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基准地价" sheetId="46" r:id="rId19"/>
    <sheet name="剩余法-待开发" sheetId="12" state="hidden" r:id="rId20"/>
    <sheet name="剩余法-现房" sheetId="43" state="hidden" r:id="rId21"/>
    <sheet name="比较法-工业" sheetId="40" state="hidden" r:id="rId22"/>
    <sheet name="不动产收益法" sheetId="15" state="hidden" r:id="rId23"/>
    <sheet name="酒店收入计算养老院" sheetId="70"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其他项目经营收益" sheetId="69" r:id="rId43"/>
    <sheet name="Sheet1" sheetId="71" r:id="rId44"/>
  </sheets>
  <externalReferences>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'比较法-住宅、综合'!$A$1:$K$68,'比较法-住宅、综合'!$A$71:$N$134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2">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18">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3">'[1]不动产比较法-办公'!$B$119:$M$119</definedName>
    <definedName name="办公层高" localSheetId="42">'[1]不动产比较法-办公'!$B$119:$M$119</definedName>
    <definedName name="办公层高">'不动产比较法-办公'!$B$119:$M$119</definedName>
    <definedName name="办公朝向" localSheetId="23">'[1]不动产比较法-办公'!$B$91:$M$91</definedName>
    <definedName name="办公朝向" localSheetId="42">'[1]不动产比较法-办公'!$B$91:$M$91</definedName>
    <definedName name="办公朝向">'不动产比较法-办公'!$B$91:$M$91</definedName>
    <definedName name="办公道路级别" localSheetId="23">'[1]不动产比较法-办公'!$B$87:$M$87</definedName>
    <definedName name="办公道路级别" localSheetId="42">'[1]不动产比较法-办公'!$B$87:$M$87</definedName>
    <definedName name="办公道路级别">'不动产比较法-办公'!$B$87:$M$87</definedName>
    <definedName name="办公公共部分装修" localSheetId="23">'[1]不动产比较法-办公'!$B$108:$M$108</definedName>
    <definedName name="办公公共部分装修" localSheetId="42">'[1]不动产比较法-办公'!$B$108:$M$108</definedName>
    <definedName name="办公公共部分装修">'不动产比较法-办公'!$B$108:$M$108</definedName>
    <definedName name="办公基础设施水平" localSheetId="23">'[1]不动产比较法-办公'!$B$117:$M$117</definedName>
    <definedName name="办公基础设施水平" localSheetId="42">'[1]不动产比较法-办公'!$B$117:$M$117</definedName>
    <definedName name="办公基础设施水平">'不动产比较法-办公'!$B$117:$M$117</definedName>
    <definedName name="办公集聚程度" localSheetId="23">[1]定义!$M$1:$M$6</definedName>
    <definedName name="办公集聚程度" localSheetId="42">[1]定义!$M$1:$M$6</definedName>
    <definedName name="办公集聚程度">定义!$M$1:$M$6</definedName>
    <definedName name="办公建筑结构" localSheetId="23">'[1]不动产比较法-办公'!$B$106:$M$106</definedName>
    <definedName name="办公建筑结构" localSheetId="42">'[1]不动产比较法-办公'!$B$106:$M$106</definedName>
    <definedName name="办公建筑结构">'不动产比较法-办公'!$B$106:$M$106</definedName>
    <definedName name="办公建筑类型" localSheetId="23">'[1]不动产比较法-办公'!$B$101:$M$101</definedName>
    <definedName name="办公建筑类型" localSheetId="42">'[1]不动产比较法-办公'!$B$101:$M$101</definedName>
    <definedName name="办公建筑类型">'不动产比较法-办公'!$B$101:$M$101</definedName>
    <definedName name="办公交易情况" localSheetId="23">'[1]不动产比较法-办公'!$A$62:$M$62</definedName>
    <definedName name="办公交易情况" localSheetId="42">'[1]不动产比较法-办公'!$A$62:$M$62</definedName>
    <definedName name="办公交易情况">'不动产比较法-办公'!$A$62:$M$62</definedName>
    <definedName name="办公楼层" localSheetId="23">'[1]不动产比较法-办公'!$B$89:$M$89</definedName>
    <definedName name="办公楼层" localSheetId="42">'[1]不动产比较法-办公'!$B$89:$M$89</definedName>
    <definedName name="办公楼层">'不动产比较法-办公'!$B$89:$M$89</definedName>
    <definedName name="办公内部装修" localSheetId="23">'[1]不动产比较法-办公'!$B$123:$M$123</definedName>
    <definedName name="办公内部装修" localSheetId="42">'[1]不动产比较法-办公'!$B$123:$M$123</definedName>
    <definedName name="办公内部装修">'不动产比较法-办公'!$B$123:$M$123</definedName>
    <definedName name="办公物业管理" localSheetId="23">'[1]不动产比较法-办公'!$B$115:$M$115</definedName>
    <definedName name="办公物业管理" localSheetId="42">'[1]不动产比较法-办公'!$B$115:$M$115</definedName>
    <definedName name="办公物业管理">'不动产比较法-办公'!$B$115:$M$115</definedName>
    <definedName name="办公用途" localSheetId="23">'[1]不动产比较法-办公'!$B$64:$M$64</definedName>
    <definedName name="办公用途" localSheetId="42">'[1]不动产比较法-办公'!$B$64:$M$64</definedName>
    <definedName name="办公用途">'不动产比较法-办公'!$B$64:$M$64</definedName>
    <definedName name="仓储公共部分装修" localSheetId="23">'[1]不动产比较法-仓储'!$B$77:$M$77</definedName>
    <definedName name="仓储公共部分装修" localSheetId="42">'[1]不动产比较法-仓储'!$B$77:$M$77</definedName>
    <definedName name="仓储公共部分装修">'不动产比较法-仓储'!$B$77:$M$77</definedName>
    <definedName name="仓储交易情况" localSheetId="23">'[1]不动产比较法-仓储'!$A$49:$M$49</definedName>
    <definedName name="仓储交易情况" localSheetId="42">'[1]不动产比较法-仓储'!$A$49:$M$49</definedName>
    <definedName name="仓储交易情况">'不动产比较法-仓储'!$A$49:$M$49</definedName>
    <definedName name="仓储楼层" localSheetId="23">'[1]不动产比较法-仓储'!$B$69:$M$69</definedName>
    <definedName name="仓储楼层" localSheetId="42">'[1]不动产比较法-仓储'!$B$69:$M$69</definedName>
    <definedName name="仓储楼层">'不动产比较法-仓储'!$B$69:$M$69</definedName>
    <definedName name="仓储物业等级" localSheetId="23">'[1]不动产比较法-仓储'!$B$82:$M$82</definedName>
    <definedName name="仓储物业等级" localSheetId="42">'[1]不动产比较法-仓储'!$B$82:$M$82</definedName>
    <definedName name="仓储物业等级">'不动产比较法-仓储'!$B$82:$M$82</definedName>
    <definedName name="仓储用途" localSheetId="23">'[1]不动产比较法-仓储'!$B$51:$M$51</definedName>
    <definedName name="仓储用途" localSheetId="42">'[1]不动产比较法-仓储'!$B$51:$M$51</definedName>
    <definedName name="仓储用途">'不动产比较法-仓储'!$B$51:$M$51</definedName>
    <definedName name="产业集聚程度" localSheetId="23">[1]定义!$N$1:$N$6</definedName>
    <definedName name="产业集聚程度" localSheetId="42">[1]定义!$N$1:$N$6</definedName>
    <definedName name="产业集聚程度">定义!$N$1:$N$6</definedName>
    <definedName name="车位公共部分装修" localSheetId="23">'[1]不动产比较法-车位'!$B$83:$M$83</definedName>
    <definedName name="车位公共部分装修" localSheetId="42">'[1]不动产比较法-车位'!$B$83:$M$83</definedName>
    <definedName name="车位公共部分装修">'不动产比较法-车位'!$B$83:$M$83</definedName>
    <definedName name="车位交易情况" localSheetId="23">'[1]不动产比较法-车位'!$A$51:$M$51</definedName>
    <definedName name="车位交易情况" localSheetId="42">'[1]不动产比较法-车位'!$A$51:$M$51</definedName>
    <definedName name="车位交易情况">'不动产比较法-车位'!$A$51:$M$51</definedName>
    <definedName name="车位类型" localSheetId="23">'[1]不动产比较法-车位'!$B$93:$M$93</definedName>
    <definedName name="车位类型" localSheetId="42">'[1]不动产比较法-车位'!$B$93:$M$93</definedName>
    <definedName name="车位类型">'不动产比较法-车位'!$B$93:$M$93</definedName>
    <definedName name="车位楼层" localSheetId="23">'[1]不动产比较法-车位'!$B$71:$M$71</definedName>
    <definedName name="车位楼层" localSheetId="42">'[1]不动产比较法-车位'!$B$71:$M$71</definedName>
    <definedName name="车位楼层">'不动产比较法-车位'!$B$71:$M$71</definedName>
    <definedName name="车位配套类型" localSheetId="23">'[1]不动产比较法-车位'!$B$79:$M$79</definedName>
    <definedName name="车位配套类型" localSheetId="42">'[1]不动产比较法-车位'!$B$79:$M$79</definedName>
    <definedName name="车位配套类型">'不动产比较法-车位'!$B$79:$M$79</definedName>
    <definedName name="车位物业等级" localSheetId="23">'[1]不动产比较法-车位'!$B$88:$M$88</definedName>
    <definedName name="车位物业等级" localSheetId="42">'[1]不动产比较法-车位'!$B$88:$M$88</definedName>
    <definedName name="车位物业等级">'不动产比较法-车位'!$B$88:$M$88</definedName>
    <definedName name="车位用途" localSheetId="23">'[1]不动产比较法-车位'!$B$53:$M$53</definedName>
    <definedName name="车位用途" localSheetId="42">'[1]不动产比较法-车位'!$B$53:$M$53</definedName>
    <definedName name="车位用途">'不动产比较法-车位'!$B$53:$M$53</definedName>
    <definedName name="城镇土地纳税等级分级范围" localSheetId="23">'[1]数据-取费表'!$A$53:$A$63</definedName>
    <definedName name="城镇土地纳税等级分级范围" localSheetId="42">'[1]数据-取费表'!$A$53:$A$63</definedName>
    <definedName name="城镇土地纳税等级分级范围">'数据-取费表'!$A$53:$A$63</definedName>
    <definedName name="单价内涵" localSheetId="23">[1]定义!$V$1:$V$3</definedName>
    <definedName name="单价内涵" localSheetId="42">[1]定义!$V$1:$V$3</definedName>
    <definedName name="单价内涵">定义!$V$1:$V$3</definedName>
    <definedName name="地类判定" localSheetId="23">[1]定义!$H$1:$H$9</definedName>
    <definedName name="地类判定" localSheetId="42">[1]定义!$H$1:$H$9</definedName>
    <definedName name="地类判定">定义!$H$1:$H$9</definedName>
    <definedName name="二级">区片价!$J$1:$J$20</definedName>
    <definedName name="二级分类" localSheetId="23">[1]修正!$C$17:$C$39</definedName>
    <definedName name="二级分类" localSheetId="42">[1]修正!$C$17:$C$39</definedName>
    <definedName name="二级分类">修正!$C$17:$C$39</definedName>
    <definedName name="法定最高年限" localSheetId="23">[1]定义!$G$2:$G$4</definedName>
    <definedName name="法定最高年限" localSheetId="42">[1]定义!$G$2:$G$4</definedName>
    <definedName name="法定最高年限">定义!$G$2:$G$4</definedName>
    <definedName name="工业公共部分装修" localSheetId="23">'[1]不动产比较法-工业'!$B$95:$M$95</definedName>
    <definedName name="工业公共部分装修" localSheetId="42">'[1]不动产比较法-工业'!$B$95:$M$95</definedName>
    <definedName name="工业公共部分装修">'不动产比较法-工业'!$B$95:$M$95</definedName>
    <definedName name="工业基础设施水平" localSheetId="23">'[1]不动产比较法-工业'!$B$102:$M$102</definedName>
    <definedName name="工业基础设施水平" localSheetId="42">'[1]不动产比较法-工业'!$B$102:$M$102</definedName>
    <definedName name="工业基础设施水平">'不动产比较法-工业'!$B$102:$M$102</definedName>
    <definedName name="工业建筑结构" localSheetId="23">'[1]不动产比较法-工业'!$B$93:$M$93</definedName>
    <definedName name="工业建筑结构" localSheetId="42">'[1]不动产比较法-工业'!$B$93:$M$93</definedName>
    <definedName name="工业建筑结构">'不动产比较法-工业'!$B$93:$M$93</definedName>
    <definedName name="工业建筑类型" localSheetId="23">'[1]不动产比较法-工业'!$B$88:$M$88</definedName>
    <definedName name="工业建筑类型" localSheetId="42">'[1]不动产比较法-工业'!$B$88:$M$88</definedName>
    <definedName name="工业建筑类型">'不动产比较法-工业'!$B$88:$M$88</definedName>
    <definedName name="工业交易情况" localSheetId="23">'[1]不动产比较法-工业'!$A$55:$M$55</definedName>
    <definedName name="工业交易情况" localSheetId="42">'[1]不动产比较法-工业'!$A$55:$M$55</definedName>
    <definedName name="工业交易情况">'不动产比较法-工业'!$A$55:$M$55</definedName>
    <definedName name="工业内部装修" localSheetId="23">'[1]不动产比较法-工业'!$B$104:$M$104</definedName>
    <definedName name="工业内部装修" localSheetId="42">'[1]不动产比较法-工业'!$B$104:$M$104</definedName>
    <definedName name="工业内部装修">'不动产比较法-工业'!$B$104:$M$104</definedName>
    <definedName name="工业物业管理" localSheetId="23">'[1]不动产比较法-工业'!$B$100:$M$100</definedName>
    <definedName name="工业物业管理" localSheetId="42">'[1]不动产比较法-工业'!$B$100:$M$100</definedName>
    <definedName name="工业物业管理">'不动产比较法-工业'!$B$100:$M$100</definedName>
    <definedName name="工业用途" localSheetId="23">'[1]不动产比较法-工业'!$B$57:$M$57</definedName>
    <definedName name="工业用途" localSheetId="42">'[1]不动产比较法-工业'!$B$57:$M$57</definedName>
    <definedName name="工业用途">'不动产比较法-工业'!$B$57:$M$57</definedName>
    <definedName name="公共配套设施" localSheetId="23">[1]定义!$Q$1:$Q$6</definedName>
    <definedName name="公共配套设施" localSheetId="42">[1]定义!$Q$1:$Q$6</definedName>
    <definedName name="公共配套设施">定义!$Q$1:$Q$6</definedName>
    <definedName name="估价方法" localSheetId="23">[1]定义!$B$1:$B$50</definedName>
    <definedName name="估价方法" localSheetId="42">[1]定义!$B$1:$B$50</definedName>
    <definedName name="估价方法">定义!$B$1:$B$50</definedName>
    <definedName name="环境" localSheetId="23">[1]定义!$S$1:$S$6</definedName>
    <definedName name="环境" localSheetId="42">[1]定义!$S$1:$S$6</definedName>
    <definedName name="环境">定义!$S$1:$S$6</definedName>
    <definedName name="基础设施水平" localSheetId="23">[1]定义!$R$1:$R$6</definedName>
    <definedName name="基础设施水平" localSheetId="42">[1]定义!$R$1:$R$6</definedName>
    <definedName name="基础设施水平">定义!$R$1:$R$6</definedName>
    <definedName name="季度">基准地价!$N$19:$AB$19</definedName>
    <definedName name="季度2014">地价!$A$2:$A$33</definedName>
    <definedName name="价值类型2" localSheetId="23">[1]定义!$B$54:$B$56</definedName>
    <definedName name="价值类型2" localSheetId="42">[1]定义!$B$54:$B$56</definedName>
    <definedName name="价值类型2">定义!$B$54:$B$56</definedName>
    <definedName name="交通便捷度" localSheetId="23">[1]定义!$O$1:$O$6</definedName>
    <definedName name="交通便捷度" localSheetId="42">[1]定义!$O$1:$O$6</definedName>
    <definedName name="交通便捷度">定义!$O$1:$O$6</definedName>
    <definedName name="九级">区片价!$Q$1:$Q$46</definedName>
    <definedName name="居住社区成熟度" localSheetId="23">[1]定义!$K$1:$K$6</definedName>
    <definedName name="居住社区成熟度" localSheetId="42">[1]定义!$K$1:$K$6</definedName>
    <definedName name="居住社区成熟度">定义!$K$1:$K$6</definedName>
    <definedName name="类别" localSheetId="23">[1]定义!$J$1:$J$3</definedName>
    <definedName name="类别" localSheetId="42">[1]定义!$J$1:$J$3</definedName>
    <definedName name="类别">定义!$J$1:$J$3</definedName>
    <definedName name="临街状况" localSheetId="23">[1]定义!$T$1:$T$5</definedName>
    <definedName name="临街状况" localSheetId="42">[1]定义!$T$1:$T$5</definedName>
    <definedName name="临街状况">定义!$T$1:$T$5</definedName>
    <definedName name="六级">区片价!$N$1:$N$49</definedName>
    <definedName name="内部装修维护情况" localSheetId="23">[1]定义!$U$1:$U$6</definedName>
    <definedName name="内部装修维护情况" localSheetId="42">[1]定义!$U$1:$U$6</definedName>
    <definedName name="内部装修维护情况">定义!$U$1:$U$6</definedName>
    <definedName name="判定" localSheetId="23">[1]定义!$D$1:$D$4</definedName>
    <definedName name="判定" localSheetId="42">[1]定义!$D$1:$D$4</definedName>
    <definedName name="判定">定义!$D$1:$D$4</definedName>
    <definedName name="七级">区片价!$O$1:$O$49</definedName>
    <definedName name="七通一平" localSheetId="23">[1]修正!$A$6:$A$14</definedName>
    <definedName name="七通一平" localSheetId="42">[1]修正!$A$6:$A$14</definedName>
    <definedName name="七通一平">修正!$A$6:$A$14</definedName>
    <definedName name="区域土地利用方向" localSheetId="23">[1]定义!$P$1:$P$6</definedName>
    <definedName name="区域土地利用方向" localSheetId="42">[1]定义!$P$1:$P$6</definedName>
    <definedName name="区域土地利用方向">定义!$P$1:$P$6</definedName>
    <definedName name="三级">区片价!$K$1:$K$21</definedName>
    <definedName name="商业层高" localSheetId="23">'[1]不动产比较法-商业'!$B$116:$M$116</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 localSheetId="42">[1]定义!$L$1:$L$6</definedName>
    <definedName name="商业繁华度">定义!$L$1:$L$6</definedName>
    <definedName name="商业公共部分装修" localSheetId="23">'[1]不动产比较法-商业'!$B$107:$M$107</definedName>
    <definedName name="商业公共部分装修" localSheetId="42">'[1]不动产比较法-商业'!$B$107:$M$107</definedName>
    <definedName name="商业公共部分装修">'不动产比较法-商业'!$B$107:$M$107</definedName>
    <definedName name="商业基础设施水平" localSheetId="23">'[1]不动产比较法-商业'!$B$112:$M$112</definedName>
    <definedName name="商业基础设施水平" localSheetId="42">'[1]不动产比较法-商业'!$B$112:$M$112</definedName>
    <definedName name="商业基础设施水平">'不动产比较法-商业'!$B$112:$M$112</definedName>
    <definedName name="商业建筑结构" localSheetId="23">'[1]不动产比较法-商业'!$B$105:$M$105</definedName>
    <definedName name="商业建筑结构" localSheetId="42">'[1]不动产比较法-商业'!$B$105:$M$105</definedName>
    <definedName name="商业建筑结构">'不动产比较法-商业'!$B$105:$M$105</definedName>
    <definedName name="商业交易情况" localSheetId="23">'[1]不动产比较法-商业'!$A$61:$M$61</definedName>
    <definedName name="商业交易情况" localSheetId="42">'[1]不动产比较法-商业'!$A$61:$M$61</definedName>
    <definedName name="商业交易情况">'不动产比较法-商业'!$A$61:$M$61</definedName>
    <definedName name="商业街名称" localSheetId="23">[1]修正!$C$59:$C$119</definedName>
    <definedName name="商业街名称" localSheetId="42">[1]修正!$C$59:$C$119</definedName>
    <definedName name="商业街名称">修正!$C$59:$C$119</definedName>
    <definedName name="商业进深比" localSheetId="23">'[1]不动产比较法-商业'!$B$120:$M$120</definedName>
    <definedName name="商业进深比" localSheetId="42">'[1]不动产比较法-商业'!$B$120:$M$120</definedName>
    <definedName name="商业进深比">'不动产比较法-商业'!$B$120:$M$120</definedName>
    <definedName name="商业类型" localSheetId="23">'[1]不动产比较法-商业'!$B$100:$M$100</definedName>
    <definedName name="商业类型" localSheetId="42">'[1]不动产比较法-商业'!$B$100:$M$100</definedName>
    <definedName name="商业类型">'不动产比较法-商业'!$B$100:$M$100</definedName>
    <definedName name="商业临街状况" localSheetId="23">'[1]不动产比较法-商业'!$B$86:$M$86</definedName>
    <definedName name="商业临街状况" localSheetId="42">'[1]不动产比较法-商业'!$B$86:$M$86</definedName>
    <definedName name="商业临街状况">'不动产比较法-商业'!$B$86:$M$86</definedName>
    <definedName name="商业楼层" localSheetId="23">'[1]不动产比较法-商业'!$B$92:$M$92</definedName>
    <definedName name="商业楼层" localSheetId="42">'[1]不动产比较法-商业'!$B$92:$M$92</definedName>
    <definedName name="商业楼层">'不动产比较法-商业'!$B$92:$M$92</definedName>
    <definedName name="商业内部装修" localSheetId="23">'[1]不动产比较法-商业'!$B$122:$M$122</definedName>
    <definedName name="商业内部装修" localSheetId="42">'[1]不动产比较法-商业'!$B$122:$M$122</definedName>
    <definedName name="商业内部装修">'不动产比较法-商业'!$B$122:$M$122</definedName>
    <definedName name="商业人流量" localSheetId="23">'[1]不动产比较法-商业'!$B$90:$M$90</definedName>
    <definedName name="商业人流量" localSheetId="42">'[1]不动产比较法-商业'!$B$90:$M$90</definedName>
    <definedName name="商业人流量">'不动产比较法-商业'!$B$90:$M$90</definedName>
    <definedName name="商业业态" localSheetId="23">'[1]不动产比较法-商业'!$B$114:$M$114</definedName>
    <definedName name="商业业态" localSheetId="42">'[1]不动产比较法-商业'!$B$114:$M$114</definedName>
    <definedName name="商业业态">'不动产比较法-商业'!$B$114:$M$114</definedName>
    <definedName name="商业用途" localSheetId="23">'[1]不动产比较法-商业'!$B$63:$M$63</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3">'[1]不动产比较法-仓储'!$B$89:$M$89</definedName>
    <definedName name="是否封闭" localSheetId="42">'[1]不动产比较法-仓储'!$B$89:$M$89</definedName>
    <definedName name="是否封闭">'不动产比较法-仓储'!$B$89:$M$89</definedName>
    <definedName name="是否直接入户" localSheetId="23">'[1]不动产比较法-车位'!$B$95:$M$95</definedName>
    <definedName name="是否直接入户" localSheetId="42">'[1]不动产比较法-车位'!$B$95:$M$95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 localSheetId="23">'[1]比较法-工业'!$B$116:$M$116</definedName>
    <definedName name="套工工程地质条件" localSheetId="42">'[1]比较法-工业'!$B$116:$M$116</definedName>
    <definedName name="套工工程地质条件">'比较法-工业'!$B$116:$M$116</definedName>
    <definedName name="套工交易情况" localSheetId="23">'[1]比较法-住宅、综合'!$A$75:$M$75</definedName>
    <definedName name="套工交易情况" localSheetId="42">'[1]比较法-住宅、综合'!$A$75:$M$75</definedName>
    <definedName name="套工交易情况">'比较法-住宅、综合'!$A$75:$M$75</definedName>
    <definedName name="套工开发程度" localSheetId="23">'[1]比较法-工业'!$B$114:$M$114</definedName>
    <definedName name="套工开发程度" localSheetId="42">'[1]比较法-工业'!$B$114:$M$114</definedName>
    <definedName name="套工开发程度">'比较法-工业'!$B$114:$M$114</definedName>
    <definedName name="套工临街等级" localSheetId="23">'[1]比较法-工业'!$B$99:$M$99</definedName>
    <definedName name="套工临街等级" localSheetId="42">'[1]比较法-工业'!$B$99:$M$99</definedName>
    <definedName name="套工临街等级">'比较法-工业'!$B$99:$M$99</definedName>
    <definedName name="套工土地级别" localSheetId="23">'[1]比较法-工业'!$B$101:$M$101</definedName>
    <definedName name="套工土地级别" localSheetId="42">'[1]比较法-工业'!$B$101:$M$101</definedName>
    <definedName name="套工土地级别">'比较法-工业'!$B$101:$M$101</definedName>
    <definedName name="套工用途" localSheetId="23">'[1]比较法-工业'!$B$72:$M$72</definedName>
    <definedName name="套工用途" localSheetId="42">'[1]比较法-工业'!$B$72:$M$72</definedName>
    <definedName name="套工用途">'比较法-工业'!$B$72:$M$72</definedName>
    <definedName name="套工宗地开发程度">'[2]土地比较法-工业'!$B$112:$M$112</definedName>
    <definedName name="套工宗地形状" localSheetId="23">'[1]比较法-工业'!$B$112:$M$112</definedName>
    <definedName name="套工宗地形状" localSheetId="42">'[1]比较法-工业'!$B$112:$M$112</definedName>
    <definedName name="套工宗地形状">'比较法-工业'!$B$112:$M$112</definedName>
    <definedName name="套综道路等级" localSheetId="23">'[1]比较法-住宅、综合'!$B$108:$M$108</definedName>
    <definedName name="套综道路等级" localSheetId="42">'[1]比较法-住宅、综合'!$B$108:$M$108</definedName>
    <definedName name="套综道路等级">'比较法-住宅、综合'!$B$108:$M$108</definedName>
    <definedName name="套综工程地质条件" localSheetId="23">'[1]比较法-住宅、综合'!$B$127:$M$127</definedName>
    <definedName name="套综工程地质条件" localSheetId="42">'[1]比较法-住宅、综合'!$B$127:$M$127</definedName>
    <definedName name="套综工程地质条件">'比较法-住宅、综合'!$B$127:$M$127</definedName>
    <definedName name="套综交易情况" localSheetId="23">'[1]比较法-住宅、综合'!$A$75:$M$75</definedName>
    <definedName name="套综交易情况" localSheetId="42">'[1]比较法-住宅、综合'!$A$75:$M$75</definedName>
    <definedName name="套综交易情况">'比较法-住宅、综合'!$A$75:$M$75</definedName>
    <definedName name="套综临街宽度及深度" localSheetId="23">'[1]比较法-住宅、综合'!$B$123:$M$123</definedName>
    <definedName name="套综临街宽度及深度" localSheetId="42">'[1]比较法-住宅、综合'!$B$123:$M$123</definedName>
    <definedName name="套综临街宽度及深度">'比较法-住宅、综合'!$B$123:$M$123</definedName>
    <definedName name="套综土地级别" localSheetId="23">'[1]比较法-住宅、综合'!$B$110:$M$110</definedName>
    <definedName name="套综土地级别" localSheetId="42">'[1]比较法-住宅、综合'!$B$110:$M$110</definedName>
    <definedName name="套综土地级别">'比较法-住宅、综合'!$B$110:$M$110</definedName>
    <definedName name="套综用途" localSheetId="23">'[1]比较法-住宅、综合'!$B$77:$M$77</definedName>
    <definedName name="套综用途" localSheetId="42">'[1]比较法-住宅、综合'!$B$77:$M$77</definedName>
    <definedName name="套综用途">'比较法-住宅、综合'!$B$77:$M$77</definedName>
    <definedName name="套综宗地内开发程度" localSheetId="23">'[1]比较法-住宅、综合'!$B$125:$M$125</definedName>
    <definedName name="套综宗地内开发程度" localSheetId="42">'[1]比较法-住宅、综合'!$B$125:$M$125</definedName>
    <definedName name="套综宗地内开发程度">'比较法-住宅、综合'!$B$125:$M$125</definedName>
    <definedName name="套综宗地形状" localSheetId="23">'[1]比较法-住宅、综合'!$B$121:$M$121</definedName>
    <definedName name="套综宗地形状" localSheetId="42">'[1]比较法-住宅、综合'!$B$121:$M$121</definedName>
    <definedName name="套综宗地形状">'比较法-住宅、综合'!$B$121:$M$121</definedName>
    <definedName name="土地估价师" localSheetId="23">[1]估价师及机构信息!$D$3:$D$16</definedName>
    <definedName name="土地估价师" localSheetId="42">[1]估价师及机构信息!$D$3:$D$16</definedName>
    <definedName name="土地估价师">估价师及机构信息!$D$3:$D$16</definedName>
    <definedName name="土地级别" localSheetId="23">[1]定义!$C$1:$C$14</definedName>
    <definedName name="土地级别" localSheetId="42">[1]定义!$C$1:$C$14</definedName>
    <definedName name="土地级别">定义!$C$1:$C$14</definedName>
    <definedName name="土地利用方向">定义!$P$1:$P$6</definedName>
    <definedName name="土地年限区间" localSheetId="23">[1]定义!$I$1:$I$8</definedName>
    <definedName name="土地年限区间" localSheetId="42">[1]定义!$I$1:$I$8</definedName>
    <definedName name="土地年限区间">定义!$I$1:$I$8</definedName>
    <definedName name="位置" localSheetId="23">[1]定义!$E$2:$E$4</definedName>
    <definedName name="位置" localSheetId="42">[1]定义!$E$2:$E$4</definedName>
    <definedName name="位置">定义!$E$2:$E$4</definedName>
    <definedName name="五等判定" localSheetId="23">[1]定义!$W$1:$W$6</definedName>
    <definedName name="五等判定" localSheetId="42">[1]定义!$W$1:$W$6</definedName>
    <definedName name="五等判定">定义!$W$1:$W$6</definedName>
    <definedName name="五级">区片价!$M$1:$M$35</definedName>
    <definedName name="项目类型" localSheetId="23">'[1]数据-汇总表'!$C$17:$C$26</definedName>
    <definedName name="项目类型" localSheetId="42">'[1]数据-汇总表'!$C$17:$C$26</definedName>
    <definedName name="项目类型">'数据-汇总表'!$C$17:$C$26</definedName>
    <definedName name="写字楼等级" localSheetId="23">'[1]不动产比较法-办公'!$B$113:$M$113</definedName>
    <definedName name="写字楼等级" localSheetId="42">'[1]不动产比较法-办公'!$B$113:$M$113</definedName>
    <definedName name="写字楼等级">'不动产比较法-办公'!$B$113:$M$113</definedName>
    <definedName name="一级">区片价!$I$1:$I$6</definedName>
    <definedName name="一修多修正项2" localSheetId="23">[1]典型户型修正!$5:$5</definedName>
    <definedName name="一修多修正项2" localSheetId="42">[1]典型户型修正!$5:$5</definedName>
    <definedName name="一修多修正项2">典型户型修正!$5:$5</definedName>
    <definedName name="一修多修正项3" localSheetId="23">[1]典型户型修正!$7:$7</definedName>
    <definedName name="一修多修正项3" localSheetId="42">[1]典型户型修正!$7:$7</definedName>
    <definedName name="一修多修正项3">典型户型修正!$7:$7</definedName>
    <definedName name="一修多修正项4" localSheetId="23">[1]典型户型修正!$9:$9</definedName>
    <definedName name="一修多修正项4" localSheetId="42">[1]典型户型修正!$9:$9</definedName>
    <definedName name="一修多修正项4">典型户型修正!$9:$9</definedName>
    <definedName name="一修多修正项5" localSheetId="23">[1]典型户型修正!$11:$11</definedName>
    <definedName name="一修多修正项5" localSheetId="42">[1]典型户型修正!$11:$11</definedName>
    <definedName name="一修多修正项5">典型户型修正!$11:$11</definedName>
    <definedName name="一修多修正项6" localSheetId="23">[1]典型户型修正!$13:$13</definedName>
    <definedName name="一修多修正项6" localSheetId="42">[1]典型户型修正!$13:$13</definedName>
    <definedName name="一修多修正项6">典型户型修正!$13:$13</definedName>
    <definedName name="一修多修正项7" localSheetId="23">[1]典型户型修正!$15:$15</definedName>
    <definedName name="一修多修正项7" localSheetId="42">[1]典型户型修正!$15:$15</definedName>
    <definedName name="一修多修正项7">典型户型修正!$15:$15</definedName>
    <definedName name="一修多修正项8" localSheetId="23">[1]典型户型修正!$17:$17</definedName>
    <definedName name="一修多修正项8" localSheetId="42">[1]典型户型修正!$17:$17</definedName>
    <definedName name="一修多修正项8">典型户型修正!$17:$17</definedName>
    <definedName name="用途类型" localSheetId="23">[1]定义!$A$1:$A$50</definedName>
    <definedName name="用途类型" localSheetId="42">[1]定义!$A$1:$A$50</definedName>
    <definedName name="用途类型">定义!$A$1:$A$50</definedName>
    <definedName name="用途明细">[2]定义!$A$1:$A$50</definedName>
    <definedName name="有无电梯" localSheetId="23">'[1]不动产比较法-仓储'!$B$84:$M$84</definedName>
    <definedName name="有无电梯" localSheetId="42">'[1]不动产比较法-仓储'!$B$84:$M$84</definedName>
    <definedName name="有无电梯">'不动产比较法-仓储'!$B$84:$M$84</definedName>
    <definedName name="主用途" localSheetId="23">[1]定义!$F$1:$F$10</definedName>
    <definedName name="主用途" localSheetId="42">[1]定义!$F$1:$F$10</definedName>
    <definedName name="主用途">定义!$F$1:$F$10</definedName>
    <definedName name="住宅朝向" localSheetId="23">'[1]不动产比较法-住宅'!$B$88:$M$88</definedName>
    <definedName name="住宅朝向" localSheetId="42">'[1]不动产比较法-住宅'!$B$88:$M$88</definedName>
    <definedName name="住宅朝向">'不动产比较法-住宅'!$B$88:$M$88</definedName>
    <definedName name="住宅房型" localSheetId="23">'[1]不动产比较法-住宅'!$B$118:$M$118</definedName>
    <definedName name="住宅房型" localSheetId="42">'[1]不动产比较法-住宅'!$B$118:$M$118</definedName>
    <definedName name="住宅房型">'不动产比较法-住宅'!$B$118:$M$118</definedName>
    <definedName name="住宅公共部分装修" localSheetId="23">'[1]不动产比较法-住宅'!$B$109:$M$109</definedName>
    <definedName name="住宅公共部分装修" localSheetId="42">'[1]不动产比较法-住宅'!$B$109:$M$109</definedName>
    <definedName name="住宅公共部分装修">'不动产比较法-住宅'!$B$109:$M$109</definedName>
    <definedName name="住宅基础设施水平" localSheetId="23">'[1]不动产比较法-住宅'!$B$116:$M$116</definedName>
    <definedName name="住宅基础设施水平" localSheetId="42">'[1]不动产比较法-住宅'!$B$116:$M$116</definedName>
    <definedName name="住宅基础设施水平">'不动产比较法-住宅'!$B$116:$M$116</definedName>
    <definedName name="住宅建筑结构" localSheetId="23">'[1]不动产比较法-住宅'!$B$105:$M$105</definedName>
    <definedName name="住宅建筑结构" localSheetId="42">'[1]不动产比较法-住宅'!$B$105:$M$105</definedName>
    <definedName name="住宅建筑结构">'不动产比较法-住宅'!$B$105:$M$105</definedName>
    <definedName name="住宅建筑类型" localSheetId="23">'[1]不动产比较法-住宅'!$B$100:$M$100</definedName>
    <definedName name="住宅建筑类型" localSheetId="42">'[1]不动产比较法-住宅'!$B$100:$M$100</definedName>
    <definedName name="住宅建筑类型">'不动产比较法-住宅'!$B$100:$M$100</definedName>
    <definedName name="住宅建筑品质" localSheetId="23">'[1]不动产比较法-住宅'!$B$107:$M$107</definedName>
    <definedName name="住宅建筑品质" localSheetId="42">'[1]不动产比较法-住宅'!$B$107:$M$107</definedName>
    <definedName name="住宅建筑品质">'不动产比较法-住宅'!$B$107:$M$107</definedName>
    <definedName name="住宅交易情况" localSheetId="23">'[1]不动产比较法-住宅'!$A$61:$M$61</definedName>
    <definedName name="住宅交易情况" localSheetId="42">'[1]不动产比较法-住宅'!$A$61:$M$61</definedName>
    <definedName name="住宅交易情况">'不动产比较法-住宅'!$A$61:$M$61</definedName>
    <definedName name="住宅楼层" localSheetId="23">'[1]不动产比较法-住宅'!$B$86:$M$86</definedName>
    <definedName name="住宅楼层" localSheetId="42">'[1]不动产比较法-住宅'!$B$86:$M$86</definedName>
    <definedName name="住宅楼层">'不动产比较法-住宅'!$B$86:$M$86</definedName>
    <definedName name="住宅内部装修" localSheetId="23">'[1]不动产比较法-住宅'!$B$122:$M$122</definedName>
    <definedName name="住宅内部装修" localSheetId="42">'[1]不动产比较法-住宅'!$B$122:$M$122</definedName>
    <definedName name="住宅内部装修">'不动产比较法-住宅'!$B$122:$M$122</definedName>
    <definedName name="住宅物业管理" localSheetId="23">'[1]不动产比较法-住宅'!$B$114:$M$114</definedName>
    <definedName name="住宅物业管理" localSheetId="42">'[1]不动产比较法-住宅'!$B$114:$M$114</definedName>
    <definedName name="住宅物业管理">'不动产比较法-住宅'!$B$114:$M$114</definedName>
    <definedName name="住宅用途" localSheetId="23">'[1]不动产比较法-住宅'!$B$63:$M$63</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0" i="70" l="1"/>
  <c r="K17" i="1"/>
  <c r="L19" i="1"/>
  <c r="L6" i="1" s="1"/>
  <c r="D10" i="70" l="1"/>
  <c r="L11" i="70"/>
  <c r="C12" i="15" l="1"/>
  <c r="P4" i="68"/>
  <c r="P3" i="68"/>
  <c r="P2" i="68"/>
  <c r="D27" i="9" l="1"/>
  <c r="I6" i="70"/>
  <c r="K6" i="70"/>
  <c r="K2" i="70"/>
  <c r="K3" i="70" s="1"/>
  <c r="K4" i="70" s="1"/>
  <c r="K5" i="70" s="1"/>
  <c r="L18" i="1"/>
  <c r="K19" i="1"/>
  <c r="K18" i="1"/>
  <c r="C30" i="9" l="1"/>
  <c r="M6" i="70"/>
  <c r="F36" i="69"/>
  <c r="F37" i="69" s="1"/>
  <c r="F35" i="69"/>
  <c r="G23" i="69"/>
  <c r="G21" i="69"/>
  <c r="I40" i="39" l="1"/>
  <c r="G40" i="39"/>
  <c r="E40" i="39"/>
  <c r="I9" i="39"/>
  <c r="G9" i="39"/>
  <c r="E9" i="39"/>
  <c r="I7" i="39"/>
  <c r="G7" i="39"/>
  <c r="E7" i="39"/>
  <c r="I23" i="70"/>
  <c r="D20" i="70"/>
  <c r="I19" i="70"/>
  <c r="I18" i="70"/>
  <c r="I17" i="70"/>
  <c r="E15" i="70"/>
  <c r="I14" i="70"/>
  <c r="I13" i="70"/>
  <c r="I12" i="70"/>
  <c r="I9" i="70"/>
  <c r="I8" i="70"/>
  <c r="I7" i="70"/>
  <c r="I5" i="70"/>
  <c r="I4" i="70"/>
  <c r="I3" i="70"/>
  <c r="G22" i="69"/>
  <c r="D13" i="69"/>
  <c r="I10" i="70" l="1"/>
  <c r="I21" i="70" s="1"/>
  <c r="C27" i="70" s="1"/>
  <c r="I15" i="70"/>
  <c r="I20" i="70"/>
  <c r="F19" i="6"/>
  <c r="D3" i="4"/>
  <c r="C31" i="70" l="1"/>
  <c r="C30" i="70"/>
  <c r="C32" i="70"/>
  <c r="M2" i="70"/>
  <c r="M3" i="70" s="1"/>
  <c r="M4" i="70" s="1"/>
  <c r="M5" i="70" s="1"/>
  <c r="N5" i="70" s="1"/>
  <c r="L5" i="70"/>
  <c r="D29" i="46"/>
  <c r="D1" i="70"/>
  <c r="AH5" i="59"/>
  <c r="AG5" i="59"/>
  <c r="AE5" i="59"/>
  <c r="AF5" i="59" s="1"/>
  <c r="AD5" i="59"/>
  <c r="Q5" i="59"/>
  <c r="P5" i="59"/>
  <c r="O5" i="59"/>
  <c r="N5" i="59"/>
  <c r="E26" i="70" l="1"/>
  <c r="AH6" i="59"/>
  <c r="AG6" i="59"/>
  <c r="AE6" i="59"/>
  <c r="AF6" i="59" s="1"/>
  <c r="AD6" i="59"/>
  <c r="Q6" i="59"/>
  <c r="P6" i="59"/>
  <c r="O6" i="59"/>
  <c r="N6" i="59"/>
  <c r="M26" i="70" l="1"/>
  <c r="U6" i="1"/>
  <c r="C16" i="1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J50" i="15"/>
  <c r="D18" i="59"/>
  <c r="AH16" i="59"/>
  <c r="AG16" i="59"/>
  <c r="AE16" i="59"/>
  <c r="AF16" i="59" s="1"/>
  <c r="AD16" i="59"/>
  <c r="AE17" i="59"/>
  <c r="AF17" i="59"/>
  <c r="AG17" i="59"/>
  <c r="AH17" i="59"/>
  <c r="AD17" i="59"/>
  <c r="Q17" i="59"/>
  <c r="P17" i="59"/>
  <c r="O17" i="59"/>
  <c r="N17" i="59"/>
  <c r="N18" i="59"/>
  <c r="Q18" i="59"/>
  <c r="P18" i="59"/>
  <c r="O18" i="59"/>
  <c r="K59" i="15"/>
  <c r="P62" i="15" s="1"/>
  <c r="Q74" i="44"/>
  <c r="Q61" i="44"/>
  <c r="Q60" i="44"/>
  <c r="Q53" i="44"/>
  <c r="J51" i="44"/>
  <c r="J52" i="44" s="1"/>
  <c r="M48" i="44"/>
  <c r="A16" i="55"/>
  <c r="A15" i="55"/>
  <c r="B66" i="63" s="1"/>
  <c r="A10" i="55"/>
  <c r="B61" i="63" s="1"/>
  <c r="A9" i="55"/>
  <c r="B60" i="63" s="1"/>
  <c r="A8" i="55"/>
  <c r="A6" i="54"/>
  <c r="A8" i="54"/>
  <c r="B53" i="63" s="1"/>
  <c r="A7" i="54"/>
  <c r="A27" i="51"/>
  <c r="B20" i="63"/>
  <c r="Q19" i="59"/>
  <c r="O19" i="59"/>
  <c r="N20" i="59"/>
  <c r="O20" i="59"/>
  <c r="P20" i="59"/>
  <c r="Q20" i="59"/>
  <c r="N19" i="59"/>
  <c r="P19" i="59"/>
  <c r="C21" i="59"/>
  <c r="K75" i="9"/>
  <c r="K6" i="4"/>
  <c r="O76" i="9"/>
  <c r="L76" i="9"/>
  <c r="K76" i="9"/>
  <c r="B22" i="31"/>
  <c r="E15" i="66"/>
  <c r="F15" i="66"/>
  <c r="E16" i="66"/>
  <c r="F16" i="66"/>
  <c r="E17" i="66"/>
  <c r="F17" i="66"/>
  <c r="E18" i="66"/>
  <c r="F18" i="66"/>
  <c r="E19" i="66"/>
  <c r="F19" i="66"/>
  <c r="E20" i="66"/>
  <c r="F20" i="66"/>
  <c r="E21" i="66"/>
  <c r="F21" i="66"/>
  <c r="E22" i="66"/>
  <c r="F22" i="66"/>
  <c r="E23" i="66"/>
  <c r="F23" i="66"/>
  <c r="B3" i="66"/>
  <c r="B17" i="59"/>
  <c r="E17" i="59"/>
  <c r="F20" i="59"/>
  <c r="F19" i="59" s="1"/>
  <c r="U17" i="59"/>
  <c r="S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AB22" i="59"/>
  <c r="X26" i="59"/>
  <c r="Y29" i="59"/>
  <c r="Z29" i="59" s="1"/>
  <c r="S2" i="31"/>
  <c r="M2" i="31"/>
  <c r="N2" i="31"/>
  <c r="O2" i="31"/>
  <c r="P2" i="31"/>
  <c r="Q2" i="31"/>
  <c r="R2" i="31"/>
  <c r="C3" i="65"/>
  <c r="C1" i="65"/>
  <c r="N1" i="65" s="1"/>
  <c r="B76" i="63"/>
  <c r="M5" i="54"/>
  <c r="A23" i="51"/>
  <c r="Y12" i="46"/>
  <c r="AA9" i="46"/>
  <c r="AB9" i="46"/>
  <c r="AB10" i="46" s="1"/>
  <c r="AC9" i="46"/>
  <c r="AC10" i="46" s="1"/>
  <c r="AD9" i="46"/>
  <c r="AD10" i="46" s="1"/>
  <c r="AE9" i="46"/>
  <c r="AF9" i="46"/>
  <c r="AF10" i="46"/>
  <c r="AG9" i="46"/>
  <c r="AH9" i="46"/>
  <c r="AH10" i="46" s="1"/>
  <c r="AI9" i="46"/>
  <c r="AI10" i="46" s="1"/>
  <c r="AJ9" i="46"/>
  <c r="AJ10" i="46" s="1"/>
  <c r="Z9" i="46"/>
  <c r="Z10" i="46" s="1"/>
  <c r="AG10" i="46"/>
  <c r="AA10" i="46"/>
  <c r="Y10" i="46"/>
  <c r="Z12" i="46"/>
  <c r="AI12" i="46"/>
  <c r="AG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67" i="63"/>
  <c r="I19" i="46"/>
  <c r="Q21" i="59"/>
  <c r="F21" i="59" s="1"/>
  <c r="V21" i="59" s="1"/>
  <c r="P21" i="59"/>
  <c r="O21" i="59"/>
  <c r="N21" i="59"/>
  <c r="D82" i="59"/>
  <c r="F81" i="59"/>
  <c r="F80" i="59" s="1"/>
  <c r="F79" i="59" s="1"/>
  <c r="E81" i="59"/>
  <c r="E80" i="59"/>
  <c r="E79" i="59" s="1"/>
  <c r="C81" i="59"/>
  <c r="D81" i="59" s="1"/>
  <c r="B81" i="59"/>
  <c r="B80" i="59" s="1"/>
  <c r="B79" i="59"/>
  <c r="D78" i="59"/>
  <c r="F77" i="59"/>
  <c r="F76" i="59" s="1"/>
  <c r="F75" i="59" s="1"/>
  <c r="E77" i="59"/>
  <c r="E76" i="59"/>
  <c r="E75" i="59" s="1"/>
  <c r="C77" i="59"/>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C61" i="59"/>
  <c r="B61" i="59"/>
  <c r="N61" i="59"/>
  <c r="F60" i="59"/>
  <c r="F59" i="59"/>
  <c r="B60" i="59"/>
  <c r="N60"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c r="D54" i="59"/>
  <c r="Q53" i="59"/>
  <c r="P53" i="59"/>
  <c r="O53" i="59"/>
  <c r="N53" i="59"/>
  <c r="Q52" i="59"/>
  <c r="P52" i="59"/>
  <c r="O52" i="59"/>
  <c r="N52" i="59"/>
  <c r="Q51" i="59"/>
  <c r="P51" i="59"/>
  <c r="O51" i="59"/>
  <c r="C52" i="59" s="1"/>
  <c r="N51" i="59"/>
  <c r="Q50" i="59"/>
  <c r="F51" i="59" s="1"/>
  <c r="F52" i="59" s="1"/>
  <c r="F53" i="59" s="1"/>
  <c r="V53" i="59" s="1"/>
  <c r="P50" i="59"/>
  <c r="E51" i="59" s="1"/>
  <c r="E52" i="59"/>
  <c r="E53" i="59" s="1"/>
  <c r="U53" i="59" s="1"/>
  <c r="O50" i="59"/>
  <c r="C51" i="59"/>
  <c r="D51" i="59" s="1"/>
  <c r="N50" i="59"/>
  <c r="B51" i="59"/>
  <c r="B52" i="59" s="1"/>
  <c r="B53" i="59"/>
  <c r="S53" i="59" s="1"/>
  <c r="D50" i="59"/>
  <c r="Q49" i="59"/>
  <c r="P49" i="59"/>
  <c r="O49" i="59"/>
  <c r="N49" i="59"/>
  <c r="Q48" i="59"/>
  <c r="P48" i="59"/>
  <c r="O48" i="59"/>
  <c r="N48" i="59"/>
  <c r="Q47" i="59"/>
  <c r="P47" i="59"/>
  <c r="O47" i="59"/>
  <c r="N47" i="59"/>
  <c r="Q46" i="59"/>
  <c r="F47" i="59"/>
  <c r="P46" i="59"/>
  <c r="E47" i="59"/>
  <c r="E48" i="59" s="1"/>
  <c r="E49" i="59"/>
  <c r="U49" i="59" s="1"/>
  <c r="O46" i="59"/>
  <c r="C47" i="59" s="1"/>
  <c r="D47" i="59" s="1"/>
  <c r="N46" i="59"/>
  <c r="B47" i="59" s="1"/>
  <c r="B48" i="59" s="1"/>
  <c r="B49" i="59" s="1"/>
  <c r="S49" i="59"/>
  <c r="D46" i="59"/>
  <c r="Q45" i="59"/>
  <c r="P45" i="59"/>
  <c r="O45" i="59"/>
  <c r="N45" i="59"/>
  <c r="Q44" i="59"/>
  <c r="P44" i="59"/>
  <c r="O44" i="59"/>
  <c r="N44" i="59"/>
  <c r="Q43" i="59"/>
  <c r="P43" i="59"/>
  <c r="O43" i="59"/>
  <c r="C44" i="59" s="1"/>
  <c r="N43" i="59"/>
  <c r="Q42" i="59"/>
  <c r="F43" i="59" s="1"/>
  <c r="F44" i="59" s="1"/>
  <c r="F45" i="59" s="1"/>
  <c r="V45" i="59" s="1"/>
  <c r="P42" i="59"/>
  <c r="E43" i="59"/>
  <c r="E44" i="59" s="1"/>
  <c r="E45" i="59" s="1"/>
  <c r="U45" i="59" s="1"/>
  <c r="O42" i="59"/>
  <c r="C43" i="59"/>
  <c r="D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P34" i="59"/>
  <c r="E35" i="59"/>
  <c r="E36" i="59" s="1"/>
  <c r="E37" i="59"/>
  <c r="U37" i="59" s="1"/>
  <c r="O34" i="59"/>
  <c r="C35" i="59" s="1"/>
  <c r="C36" i="59" s="1"/>
  <c r="N34" i="59"/>
  <c r="B35" i="59" s="1"/>
  <c r="B36" i="59" s="1"/>
  <c r="B37" i="59" s="1"/>
  <c r="S37" i="59" s="1"/>
  <c r="D34" i="59"/>
  <c r="Q33" i="59"/>
  <c r="P33" i="59"/>
  <c r="O33" i="59"/>
  <c r="N33" i="59"/>
  <c r="Q32" i="59"/>
  <c r="P32" i="59"/>
  <c r="O32" i="59"/>
  <c r="Y32" i="59"/>
  <c r="Z32" i="59" s="1"/>
  <c r="N32" i="59"/>
  <c r="Q31" i="59"/>
  <c r="P31" i="59"/>
  <c r="AA31" i="59" s="1"/>
  <c r="O31" i="59"/>
  <c r="Y31" i="59" s="1"/>
  <c r="Z31" i="59" s="1"/>
  <c r="N31" i="59"/>
  <c r="Q30" i="59"/>
  <c r="F31" i="59" s="1"/>
  <c r="F32" i="59" s="1"/>
  <c r="P30" i="59"/>
  <c r="O30" i="59"/>
  <c r="C31" i="59"/>
  <c r="N30" i="59"/>
  <c r="B31" i="59"/>
  <c r="B32" i="59" s="1"/>
  <c r="B33" i="59" s="1"/>
  <c r="S33" i="59" s="1"/>
  <c r="D30" i="59"/>
  <c r="Q29" i="59"/>
  <c r="P29" i="59"/>
  <c r="AA29" i="59" s="1"/>
  <c r="O29" i="59"/>
  <c r="N29" i="59"/>
  <c r="X29" i="59" s="1"/>
  <c r="Q28" i="59"/>
  <c r="P28" i="59"/>
  <c r="AA28" i="59" s="1"/>
  <c r="O28" i="59"/>
  <c r="N28" i="59"/>
  <c r="X28" i="59" s="1"/>
  <c r="Q27" i="59"/>
  <c r="P27" i="59"/>
  <c r="AA23" i="59" s="1"/>
  <c r="O27" i="59"/>
  <c r="Y27" i="59" s="1"/>
  <c r="Z27" i="59" s="1"/>
  <c r="N27" i="59"/>
  <c r="X27" i="59" s="1"/>
  <c r="Q26" i="59"/>
  <c r="F27" i="59"/>
  <c r="F28" i="59" s="1"/>
  <c r="F29" i="59" s="1"/>
  <c r="P26" i="59"/>
  <c r="E27" i="59"/>
  <c r="E28" i="59" s="1"/>
  <c r="E29" i="59" s="1"/>
  <c r="U29" i="59" s="1"/>
  <c r="O26" i="59"/>
  <c r="N26" i="59"/>
  <c r="B27" i="59" s="1"/>
  <c r="B28" i="59"/>
  <c r="B29" i="59" s="1"/>
  <c r="S29" i="59" s="1"/>
  <c r="D26" i="59"/>
  <c r="Q25" i="59"/>
  <c r="P25" i="59"/>
  <c r="AA25" i="59" s="1"/>
  <c r="O25" i="59"/>
  <c r="Y25" i="59" s="1"/>
  <c r="Z25" i="59" s="1"/>
  <c r="N25" i="59"/>
  <c r="Q24" i="59"/>
  <c r="P24" i="59"/>
  <c r="O24" i="59"/>
  <c r="N24" i="59"/>
  <c r="X24" i="59" s="1"/>
  <c r="Q23" i="59"/>
  <c r="P23" i="59"/>
  <c r="O23" i="59"/>
  <c r="N23" i="59"/>
  <c r="Q22" i="59"/>
  <c r="P22" i="59"/>
  <c r="O22" i="59"/>
  <c r="C23" i="59"/>
  <c r="C24" i="59" s="1"/>
  <c r="D24" i="59" s="1"/>
  <c r="N22" i="59"/>
  <c r="B23" i="59"/>
  <c r="B24" i="59" s="1"/>
  <c r="D22" i="59"/>
  <c r="X3" i="59"/>
  <c r="X21" i="59"/>
  <c r="AA20" i="59"/>
  <c r="Y19" i="59"/>
  <c r="Z19" i="59" s="1"/>
  <c r="AB18" i="59"/>
  <c r="B25" i="59"/>
  <c r="S25" i="59" s="1"/>
  <c r="S45" i="59"/>
  <c r="S61" i="59"/>
  <c r="AA32" i="59"/>
  <c r="V29" i="59"/>
  <c r="F36" i="59"/>
  <c r="F37" i="59" s="1"/>
  <c r="V37" i="59" s="1"/>
  <c r="F41" i="59"/>
  <c r="V41" i="59" s="1"/>
  <c r="F48" i="59"/>
  <c r="F49" i="59" s="1"/>
  <c r="V49" i="59"/>
  <c r="F56" i="59"/>
  <c r="F57" i="59" s="1"/>
  <c r="V57" i="59" s="1"/>
  <c r="D23" i="59"/>
  <c r="D35" i="59"/>
  <c r="C48" i="59"/>
  <c r="C56" i="59"/>
  <c r="B59" i="59"/>
  <c r="N59" i="59" s="1"/>
  <c r="Q60" i="59"/>
  <c r="T61" i="59"/>
  <c r="D61" i="59"/>
  <c r="P61" i="59"/>
  <c r="U61" i="59"/>
  <c r="Q61" i="59"/>
  <c r="E64" i="59"/>
  <c r="E63" i="59" s="1"/>
  <c r="D65" i="59"/>
  <c r="C68" i="59"/>
  <c r="E68" i="59"/>
  <c r="E67" i="59" s="1"/>
  <c r="D69" i="59"/>
  <c r="E72" i="59"/>
  <c r="E71" i="59" s="1"/>
  <c r="C80" i="59"/>
  <c r="D80" i="59" s="1"/>
  <c r="U16" i="4"/>
  <c r="S16" i="4"/>
  <c r="Q16" i="4"/>
  <c r="O16" i="4"/>
  <c r="N16" i="4" s="1"/>
  <c r="M16" i="4"/>
  <c r="K16" i="4"/>
  <c r="C79" i="59"/>
  <c r="D79" i="59" s="1"/>
  <c r="D68" i="59"/>
  <c r="C67" i="59"/>
  <c r="D67" i="59" s="1"/>
  <c r="C57" i="59"/>
  <c r="T57" i="59" s="1"/>
  <c r="D56" i="59"/>
  <c r="C49" i="59"/>
  <c r="T49" i="59" s="1"/>
  <c r="D48" i="59"/>
  <c r="C37" i="59"/>
  <c r="T37" i="59" s="1"/>
  <c r="D36" i="59"/>
  <c r="C25" i="59"/>
  <c r="T25" i="59" s="1"/>
  <c r="L16" i="4"/>
  <c r="D37" i="59"/>
  <c r="D57"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c r="G68" i="35" s="1"/>
  <c r="Z21" i="37"/>
  <c r="Q21" i="37"/>
  <c r="F21" i="37"/>
  <c r="C21" i="37"/>
  <c r="D77" i="37"/>
  <c r="E77" i="37" s="1"/>
  <c r="F77" i="37" s="1"/>
  <c r="G77" i="37" s="1"/>
  <c r="Q21" i="34"/>
  <c r="Z21" i="34" s="1"/>
  <c r="C21" i="34"/>
  <c r="D84" i="34"/>
  <c r="F21" i="34"/>
  <c r="AA21" i="34"/>
  <c r="Q21" i="33"/>
  <c r="Z21" i="33" s="1"/>
  <c r="C21" i="33"/>
  <c r="D83" i="33"/>
  <c r="E83" i="33" s="1"/>
  <c r="F83" i="33" s="1"/>
  <c r="G83" i="33" s="1"/>
  <c r="Z21" i="21"/>
  <c r="Q21" i="21"/>
  <c r="D83" i="21"/>
  <c r="E83" i="21" s="1"/>
  <c r="F21" i="21"/>
  <c r="C21" i="21"/>
  <c r="Q27" i="40"/>
  <c r="Z27" i="40" s="1"/>
  <c r="D96" i="40"/>
  <c r="E96" i="40"/>
  <c r="F27" i="40"/>
  <c r="AA27" i="40"/>
  <c r="Q31" i="39"/>
  <c r="Z31" i="39" s="1"/>
  <c r="D105" i="39"/>
  <c r="E105" i="39" s="1"/>
  <c r="F105" i="39" s="1"/>
  <c r="G105" i="39" s="1"/>
  <c r="F31" i="39"/>
  <c r="AA31" i="39" s="1"/>
  <c r="G20" i="20"/>
  <c r="B85" i="46"/>
  <c r="C22" i="20"/>
  <c r="B65" i="46"/>
  <c r="S18" i="36"/>
  <c r="S18" i="35"/>
  <c r="S21" i="34"/>
  <c r="S27" i="40"/>
  <c r="C27" i="40"/>
  <c r="C31" i="39"/>
  <c r="B54" i="46"/>
  <c r="B74" i="46"/>
  <c r="H18" i="35"/>
  <c r="J18" i="35"/>
  <c r="H21" i="37"/>
  <c r="J21" i="37"/>
  <c r="E84" i="34"/>
  <c r="F84" i="34" s="1"/>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s="1"/>
  <c r="M64" i="46"/>
  <c r="N64" i="46" s="1"/>
  <c r="K64" i="46"/>
  <c r="J64" i="46" s="1"/>
  <c r="D64" i="46"/>
  <c r="M63" i="46"/>
  <c r="N63" i="46" s="1"/>
  <c r="K63" i="46"/>
  <c r="J63" i="46" s="1"/>
  <c r="M62" i="46"/>
  <c r="N62" i="46" s="1"/>
  <c r="D62" i="46" s="1"/>
  <c r="K62" i="46"/>
  <c r="J62" i="46" s="1"/>
  <c r="M61" i="46"/>
  <c r="N61" i="46" s="1"/>
  <c r="D61" i="46" s="1"/>
  <c r="K61" i="46"/>
  <c r="J61" i="46" s="1"/>
  <c r="M60" i="46"/>
  <c r="N60" i="46" s="1"/>
  <c r="K60" i="46"/>
  <c r="J60" i="46" s="1"/>
  <c r="D60" i="46"/>
  <c r="M59" i="46"/>
  <c r="N59" i="46" s="1"/>
  <c r="K59" i="46"/>
  <c r="J59" i="46" s="1"/>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c r="H60" i="40"/>
  <c r="H59" i="40"/>
  <c r="H58" i="40"/>
  <c r="I58" i="40" s="1"/>
  <c r="C58" i="40" s="1"/>
  <c r="H57" i="40"/>
  <c r="I57" i="40" s="1"/>
  <c r="C57" i="40" s="1"/>
  <c r="H56" i="40"/>
  <c r="I56" i="40"/>
  <c r="C56" i="40" s="1"/>
  <c r="H55" i="40"/>
  <c r="I55" i="40" s="1"/>
  <c r="C55" i="40" s="1"/>
  <c r="H54" i="40"/>
  <c r="I54" i="40"/>
  <c r="C54" i="40" s="1"/>
  <c r="H63" i="39"/>
  <c r="I63" i="39" s="1"/>
  <c r="C63" i="39" s="1"/>
  <c r="H59" i="39"/>
  <c r="I59" i="39" s="1"/>
  <c r="C59" i="39"/>
  <c r="H67" i="39"/>
  <c r="I67" i="39"/>
  <c r="C67" i="39" s="1"/>
  <c r="H66" i="39"/>
  <c r="I66" i="39"/>
  <c r="C66" i="39" s="1"/>
  <c r="H65" i="39"/>
  <c r="I65" i="39" s="1"/>
  <c r="C65" i="39" s="1"/>
  <c r="H64" i="39"/>
  <c r="I64" i="39" s="1"/>
  <c r="C64" i="39" s="1"/>
  <c r="H62" i="39"/>
  <c r="I62" i="39"/>
  <c r="C62" i="39" s="1"/>
  <c r="H61" i="39"/>
  <c r="I61" i="39" s="1"/>
  <c r="C61" i="39"/>
  <c r="H60" i="39"/>
  <c r="I60" i="39"/>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42" i="39"/>
  <c r="AA42" i="39"/>
  <c r="H10" i="39"/>
  <c r="AB10" i="39" s="1"/>
  <c r="H11" i="39"/>
  <c r="AB11" i="39" s="1"/>
  <c r="H42" i="39"/>
  <c r="AB42" i="39" s="1"/>
  <c r="J10" i="39"/>
  <c r="AC10" i="39" s="1"/>
  <c r="J11" i="39"/>
  <c r="AC11"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L20" i="3" s="1"/>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BD486" i="3"/>
  <c r="BE486" i="3"/>
  <c r="BF486" i="3"/>
  <c r="BG486" i="3"/>
  <c r="BH486" i="3"/>
  <c r="BI486" i="3"/>
  <c r="BJ486" i="3"/>
  <c r="BK486" i="3"/>
  <c r="BM486" i="3"/>
  <c r="BN486" i="3"/>
  <c r="BO486" i="3"/>
  <c r="BP486" i="3"/>
  <c r="BR486" i="3"/>
  <c r="BS486" i="3"/>
  <c r="BT486" i="3"/>
  <c r="H487" i="3"/>
  <c r="AC487" i="3"/>
  <c r="G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c r="AA38" i="39" s="1"/>
  <c r="J30" i="36"/>
  <c r="H30" i="36"/>
  <c r="F30" i="36"/>
  <c r="AA30" i="36" s="1"/>
  <c r="C26" i="35"/>
  <c r="C79" i="35" s="1"/>
  <c r="J31" i="35"/>
  <c r="AC31" i="35" s="1"/>
  <c r="H31" i="35"/>
  <c r="F31" i="35"/>
  <c r="D87" i="35"/>
  <c r="E87" i="35"/>
  <c r="F87" i="35" s="1"/>
  <c r="G87" i="35"/>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E78" i="40" s="1"/>
  <c r="F13" i="40"/>
  <c r="S13" i="40"/>
  <c r="B122" i="40"/>
  <c r="F42" i="40"/>
  <c r="AA42" i="40" s="1"/>
  <c r="B120" i="40"/>
  <c r="B118" i="40"/>
  <c r="F40" i="40"/>
  <c r="AA40" i="40" s="1"/>
  <c r="D117" i="40"/>
  <c r="E117" i="40" s="1"/>
  <c r="F117" i="40" s="1"/>
  <c r="G117" i="40" s="1"/>
  <c r="H117" i="40" s="1"/>
  <c r="I117" i="40" s="1"/>
  <c r="J117" i="40" s="1"/>
  <c r="K117" i="40" s="1"/>
  <c r="L117" i="40"/>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F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H44" i="39" s="1"/>
  <c r="U44" i="39" s="1"/>
  <c r="D124" i="39"/>
  <c r="E124" i="39" s="1"/>
  <c r="F124" i="39"/>
  <c r="G124" i="39" s="1"/>
  <c r="H124" i="39" s="1"/>
  <c r="I124" i="39" s="1"/>
  <c r="J124" i="39" s="1"/>
  <c r="K124" i="39" s="1"/>
  <c r="L124" i="39" s="1"/>
  <c r="M124" i="39" s="1"/>
  <c r="B106" i="39"/>
  <c r="D99" i="39"/>
  <c r="E99" i="39" s="1"/>
  <c r="D97" i="39"/>
  <c r="D95" i="39"/>
  <c r="E95" i="39" s="1"/>
  <c r="D93" i="39"/>
  <c r="E93" i="39" s="1"/>
  <c r="F93" i="39" s="1"/>
  <c r="G93" i="39" s="1"/>
  <c r="D91" i="39"/>
  <c r="E91" i="39" s="1"/>
  <c r="F91" i="39" s="1"/>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c r="L81" i="36" s="1"/>
  <c r="M81" i="36" s="1"/>
  <c r="F79" i="36"/>
  <c r="E79" i="36"/>
  <c r="D79" i="36"/>
  <c r="C79" i="36"/>
  <c r="B93" i="36"/>
  <c r="B91" i="36"/>
  <c r="F32" i="36" s="1"/>
  <c r="S32" i="36"/>
  <c r="B95" i="36"/>
  <c r="H34" i="36"/>
  <c r="D83" i="36"/>
  <c r="E83" i="36"/>
  <c r="F83" i="36" s="1"/>
  <c r="G83" i="36" s="1"/>
  <c r="H83" i="36" s="1"/>
  <c r="I83" i="36"/>
  <c r="J83" i="36" s="1"/>
  <c r="K83" i="36" s="1"/>
  <c r="L83" i="36" s="1"/>
  <c r="M83" i="36" s="1"/>
  <c r="D78" i="36"/>
  <c r="J26" i="36"/>
  <c r="W26" i="36" s="1"/>
  <c r="B75" i="36"/>
  <c r="B73" i="36"/>
  <c r="J24" i="36"/>
  <c r="B71" i="36"/>
  <c r="D70" i="36"/>
  <c r="H22" i="36"/>
  <c r="D68" i="36"/>
  <c r="E68" i="36" s="1"/>
  <c r="D64" i="36"/>
  <c r="E64" i="36" s="1"/>
  <c r="F64" i="36" s="1"/>
  <c r="G64" i="36" s="1"/>
  <c r="J16" i="36"/>
  <c r="W16" i="36" s="1"/>
  <c r="D62" i="36"/>
  <c r="E62" i="36"/>
  <c r="B59" i="36"/>
  <c r="B57" i="36"/>
  <c r="B55" i="36"/>
  <c r="J11" i="36" s="1"/>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c r="D94" i="35"/>
  <c r="D84" i="35"/>
  <c r="E84" i="35" s="1"/>
  <c r="F84" i="35" s="1"/>
  <c r="G84" i="35" s="1"/>
  <c r="H84" i="35"/>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U40" i="33" s="1"/>
  <c r="AA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c r="H42" i="21"/>
  <c r="AB42" i="21"/>
  <c r="D119" i="2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T13" i="3"/>
  <c r="BT5"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W41" i="21"/>
  <c r="S10" i="39"/>
  <c r="U30" i="37"/>
  <c r="E103" i="37"/>
  <c r="F103" i="37" s="1"/>
  <c r="F39" i="37"/>
  <c r="W39" i="37"/>
  <c r="F29" i="36"/>
  <c r="AA29" i="36"/>
  <c r="F16" i="36"/>
  <c r="AA16" i="36"/>
  <c r="U26" i="36"/>
  <c r="AC31" i="36"/>
  <c r="J33" i="36"/>
  <c r="AC27" i="35"/>
  <c r="U31" i="35"/>
  <c r="W36" i="35"/>
  <c r="W24" i="35"/>
  <c r="W31" i="35"/>
  <c r="F36" i="34"/>
  <c r="S36" i="34" s="1"/>
  <c r="W9" i="34"/>
  <c r="W39" i="34"/>
  <c r="H39" i="33"/>
  <c r="AB39" i="33"/>
  <c r="F26" i="33"/>
  <c r="AA26" i="33"/>
  <c r="U33" i="33"/>
  <c r="S40" i="33"/>
  <c r="S8" i="21"/>
  <c r="H39" i="37"/>
  <c r="AB39" i="37" s="1"/>
  <c r="AB27" i="35"/>
  <c r="S10" i="40"/>
  <c r="W10" i="40"/>
  <c r="S11" i="40"/>
  <c r="U11" i="40"/>
  <c r="S36" i="40"/>
  <c r="U36" i="40"/>
  <c r="F11" i="21"/>
  <c r="S11" i="21" s="1"/>
  <c r="AB36" i="21"/>
  <c r="AC35" i="21"/>
  <c r="C29" i="39"/>
  <c r="C23" i="39"/>
  <c r="S42" i="39"/>
  <c r="H32" i="33"/>
  <c r="AB32" i="33"/>
  <c r="H11" i="21"/>
  <c r="U11" i="21"/>
  <c r="J11" i="21"/>
  <c r="W11" i="21"/>
  <c r="F86" i="40"/>
  <c r="G86" i="40" s="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F35" i="37"/>
  <c r="E101" i="37"/>
  <c r="F101" i="37" s="1"/>
  <c r="G101" i="37"/>
  <c r="H101" i="37" s="1"/>
  <c r="I101" i="37" s="1"/>
  <c r="J101" i="37" s="1"/>
  <c r="K101" i="37" s="1"/>
  <c r="L101" i="37" s="1"/>
  <c r="M101" i="37" s="1"/>
  <c r="J34" i="37"/>
  <c r="W34" i="37"/>
  <c r="H43" i="34"/>
  <c r="AB43" i="34" s="1"/>
  <c r="U42" i="34"/>
  <c r="E114" i="34"/>
  <c r="H36" i="34"/>
  <c r="U36" i="34"/>
  <c r="F37" i="34"/>
  <c r="AA37" i="34"/>
  <c r="F33" i="34"/>
  <c r="S33" i="34"/>
  <c r="F19" i="34"/>
  <c r="AA19" i="34" s="1"/>
  <c r="J10" i="34"/>
  <c r="AC10" i="34" s="1"/>
  <c r="U9" i="34"/>
  <c r="W8" i="34"/>
  <c r="J28" i="34"/>
  <c r="W28" i="34" s="1"/>
  <c r="S38" i="33"/>
  <c r="F36" i="33"/>
  <c r="S36" i="33" s="1"/>
  <c r="F19" i="33"/>
  <c r="S19" i="33" s="1"/>
  <c r="J19" i="33"/>
  <c r="W40" i="33"/>
  <c r="AC34" i="36"/>
  <c r="S22" i="35"/>
  <c r="H29" i="35"/>
  <c r="U34" i="37"/>
  <c r="AA34" i="37"/>
  <c r="AC43" i="34"/>
  <c r="AB42" i="34"/>
  <c r="W36" i="34"/>
  <c r="J19" i="34"/>
  <c r="AC19" i="34"/>
  <c r="H37" i="33"/>
  <c r="AB37" i="33"/>
  <c r="S37" i="33"/>
  <c r="W43" i="34"/>
  <c r="W42" i="34"/>
  <c r="AA42" i="34"/>
  <c r="S42" i="34"/>
  <c r="W38" i="34"/>
  <c r="S38" i="34"/>
  <c r="J37" i="33"/>
  <c r="W37" i="33"/>
  <c r="J42" i="21"/>
  <c r="AC42" i="21"/>
  <c r="J44" i="34"/>
  <c r="AC44" i="34"/>
  <c r="F44" i="34"/>
  <c r="S44" i="34"/>
  <c r="J10" i="35"/>
  <c r="W10" i="35"/>
  <c r="AL5" i="3"/>
  <c r="BQ13" i="3"/>
  <c r="BL572" i="3"/>
  <c r="J14" i="21"/>
  <c r="W14" i="21" s="1"/>
  <c r="J28" i="21"/>
  <c r="AC28" i="21" s="1"/>
  <c r="H30" i="21"/>
  <c r="F30" i="21"/>
  <c r="S30" i="21" s="1"/>
  <c r="J30" i="21"/>
  <c r="H26" i="33"/>
  <c r="U26" i="33"/>
  <c r="H28" i="33"/>
  <c r="F28" i="33"/>
  <c r="AA28" i="33" s="1"/>
  <c r="J28" i="33"/>
  <c r="F33" i="35"/>
  <c r="S33" i="35" s="1"/>
  <c r="J33" i="35"/>
  <c r="W33" i="35" s="1"/>
  <c r="F30" i="35"/>
  <c r="AA30" i="35" s="1"/>
  <c r="E89" i="35"/>
  <c r="F89" i="35" s="1"/>
  <c r="G89" i="35"/>
  <c r="H89" i="35" s="1"/>
  <c r="I89" i="35" s="1"/>
  <c r="J89" i="35" s="1"/>
  <c r="K89" i="35"/>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J45" i="33"/>
  <c r="F45" i="33"/>
  <c r="S45" i="33" s="1"/>
  <c r="F11" i="35"/>
  <c r="S11" i="35" s="1"/>
  <c r="H28" i="36"/>
  <c r="U28" i="36" s="1"/>
  <c r="H32" i="36"/>
  <c r="AB32" i="36" s="1"/>
  <c r="J32" i="36"/>
  <c r="W11" i="36"/>
  <c r="H13" i="36"/>
  <c r="AB13" i="36"/>
  <c r="J13" i="36"/>
  <c r="W13" i="36"/>
  <c r="F13" i="36"/>
  <c r="S13" i="36"/>
  <c r="H89" i="37"/>
  <c r="I89" i="37" s="1"/>
  <c r="J89" i="37" s="1"/>
  <c r="K89" i="37" s="1"/>
  <c r="L89" i="37"/>
  <c r="M89" i="37" s="1"/>
  <c r="J29" i="37"/>
  <c r="W29" i="37" s="1"/>
  <c r="F29" i="37"/>
  <c r="AA29" i="37" s="1"/>
  <c r="F105" i="37"/>
  <c r="G105" i="37" s="1"/>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AC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31" i="21"/>
  <c r="AB13" i="21"/>
  <c r="AC14" i="21"/>
  <c r="W42" i="21"/>
  <c r="AC13" i="36"/>
  <c r="AB45" i="33"/>
  <c r="AB31" i="33"/>
  <c r="S45" i="21"/>
  <c r="S19" i="21"/>
  <c r="G513" i="3"/>
  <c r="G499" i="3"/>
  <c r="G485" i="3"/>
  <c r="G565" i="3"/>
  <c r="BL561" i="3"/>
  <c r="BL501" i="3"/>
  <c r="BL483" i="3"/>
  <c r="BL563" i="3"/>
  <c r="BL551" i="3"/>
  <c r="G518" i="3"/>
  <c r="BA565" i="3"/>
  <c r="BA551" i="3"/>
  <c r="AZ551" i="3" s="1"/>
  <c r="BA501" i="3"/>
  <c r="BA572" i="3"/>
  <c r="AZ572" i="3" s="1"/>
  <c r="BA566" i="3"/>
  <c r="BA562" i="3"/>
  <c r="BA560" i="3"/>
  <c r="BA554" i="3"/>
  <c r="BA540" i="3"/>
  <c r="BA536" i="3"/>
  <c r="BA532" i="3"/>
  <c r="BA524" i="3"/>
  <c r="BA516" i="3"/>
  <c r="BA512" i="3"/>
  <c r="BA508" i="3"/>
  <c r="BA502" i="3"/>
  <c r="BA498" i="3"/>
  <c r="BA492" i="3"/>
  <c r="BA488" i="3"/>
  <c r="BA484" i="3"/>
  <c r="AZ484" i="3"/>
  <c r="G566" i="3"/>
  <c r="G562" i="3"/>
  <c r="G560" i="3"/>
  <c r="G554" i="3"/>
  <c r="AC542" i="3"/>
  <c r="BQ542" i="3"/>
  <c r="BQ568" i="3"/>
  <c r="BQ566" i="3"/>
  <c r="BL566" i="3" s="1"/>
  <c r="BQ564" i="3"/>
  <c r="BL564" i="3"/>
  <c r="BQ562" i="3"/>
  <c r="BL562" i="3"/>
  <c r="AZ562" i="3" s="1"/>
  <c r="BQ560" i="3"/>
  <c r="BL560" i="3" s="1"/>
  <c r="AZ560" i="3" s="1"/>
  <c r="BQ558" i="3"/>
  <c r="BQ556" i="3"/>
  <c r="BQ554" i="3"/>
  <c r="BQ552" i="3"/>
  <c r="BL552" i="3" s="1"/>
  <c r="BQ550" i="3"/>
  <c r="BQ548" i="3"/>
  <c r="BQ546" i="3"/>
  <c r="BQ544" i="3"/>
  <c r="G544" i="3"/>
  <c r="G538" i="3"/>
  <c r="G534" i="3"/>
  <c r="G526" i="3"/>
  <c r="BQ540" i="3"/>
  <c r="BL540" i="3" s="1"/>
  <c r="BQ538" i="3"/>
  <c r="BL538" i="3" s="1"/>
  <c r="BQ536" i="3"/>
  <c r="BL536" i="3" s="1"/>
  <c r="BQ534" i="3"/>
  <c r="BL534" i="3"/>
  <c r="BQ532" i="3"/>
  <c r="BL532" i="3"/>
  <c r="BQ530" i="3"/>
  <c r="BQ528" i="3"/>
  <c r="BQ526" i="3"/>
  <c r="BL526" i="3"/>
  <c r="BQ524" i="3"/>
  <c r="BL524" i="3"/>
  <c r="AZ524" i="3" s="1"/>
  <c r="BQ522" i="3"/>
  <c r="BQ520" i="3"/>
  <c r="BQ518" i="3"/>
  <c r="BQ516" i="3"/>
  <c r="BL516" i="3"/>
  <c r="BQ514" i="3"/>
  <c r="BL514" i="3"/>
  <c r="BQ512" i="3"/>
  <c r="BQ510" i="3"/>
  <c r="BQ508" i="3"/>
  <c r="BL508" i="3" s="1"/>
  <c r="AZ508" i="3" s="1"/>
  <c r="AC506" i="3"/>
  <c r="G506" i="3" s="1"/>
  <c r="BQ506" i="3"/>
  <c r="BL506" i="3" s="1"/>
  <c r="AZ506" i="3" s="1"/>
  <c r="G502" i="3"/>
  <c r="G498" i="3"/>
  <c r="BQ504" i="3"/>
  <c r="BQ502" i="3"/>
  <c r="BL502" i="3" s="1"/>
  <c r="AZ502" i="3" s="1"/>
  <c r="BQ500" i="3"/>
  <c r="BL500" i="3" s="1"/>
  <c r="BQ498" i="3"/>
  <c r="BQ496" i="3"/>
  <c r="AC494" i="3"/>
  <c r="BQ494" i="3"/>
  <c r="BL493" i="3"/>
  <c r="G492" i="3"/>
  <c r="G488" i="3"/>
  <c r="G484" i="3"/>
  <c r="G20" i="3"/>
  <c r="BQ492" i="3"/>
  <c r="BL492" i="3"/>
  <c r="BQ490" i="3"/>
  <c r="BQ488" i="3"/>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W23" i="35"/>
  <c r="AC23" i="37"/>
  <c r="U39" i="37"/>
  <c r="AC8" i="37"/>
  <c r="AC36" i="34"/>
  <c r="AB8" i="34"/>
  <c r="AC37" i="33"/>
  <c r="AA13" i="33"/>
  <c r="U19" i="21"/>
  <c r="AC33" i="21"/>
  <c r="AA36" i="21"/>
  <c r="S39" i="33"/>
  <c r="F43" i="33"/>
  <c r="AA43" i="33" s="1"/>
  <c r="AA23"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U32" i="33"/>
  <c r="AB17" i="37"/>
  <c r="AZ516" i="3"/>
  <c r="AZ532" i="3"/>
  <c r="AC29" i="33"/>
  <c r="AA45" i="33"/>
  <c r="AC11" i="36"/>
  <c r="AC10" i="36"/>
  <c r="AC14" i="37"/>
  <c r="AB35" i="35"/>
  <c r="S25" i="35"/>
  <c r="W30" i="33"/>
  <c r="AC29" i="37"/>
  <c r="W32" i="36"/>
  <c r="AC32" i="36"/>
  <c r="U28" i="33"/>
  <c r="AB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99" i="37"/>
  <c r="U25" i="35"/>
  <c r="AC40" i="37"/>
  <c r="W40" i="37"/>
  <c r="AC45" i="21"/>
  <c r="S28" i="33"/>
  <c r="AA44" i="34"/>
  <c r="AB29" i="35"/>
  <c r="U29" i="35"/>
  <c r="AC19" i="33"/>
  <c r="W19" i="33"/>
  <c r="U43" i="34"/>
  <c r="AC34" i="37"/>
  <c r="S35" i="37"/>
  <c r="AA35" i="37"/>
  <c r="AB10" i="35"/>
  <c r="AA32" i="21"/>
  <c r="S32" i="21"/>
  <c r="U38" i="21"/>
  <c r="AB34" i="21"/>
  <c r="BL571" i="3"/>
  <c r="BA571" i="3"/>
  <c r="AZ571" i="3"/>
  <c r="BL570" i="3"/>
  <c r="F42" i="21"/>
  <c r="AA42" i="21" s="1"/>
  <c r="AB40" i="33"/>
  <c r="AA35" i="34"/>
  <c r="S35" i="34"/>
  <c r="E90" i="34"/>
  <c r="F90" i="34" s="1"/>
  <c r="G90" i="34" s="1"/>
  <c r="H90" i="34" s="1"/>
  <c r="I90" i="34" s="1"/>
  <c r="J90" i="34" s="1"/>
  <c r="K90" i="34" s="1"/>
  <c r="L90" i="34" s="1"/>
  <c r="M90" i="34" s="1"/>
  <c r="H27" i="34"/>
  <c r="AB27" i="34"/>
  <c r="AB8" i="35"/>
  <c r="U8" i="35"/>
  <c r="S9" i="35"/>
  <c r="J14" i="35"/>
  <c r="AC14" i="35" s="1"/>
  <c r="F14" i="35"/>
  <c r="H14" i="35"/>
  <c r="U14" i="35"/>
  <c r="E80"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B14" i="37"/>
  <c r="F17" i="39"/>
  <c r="AA17" i="39" s="1"/>
  <c r="H17" i="39"/>
  <c r="U17" i="39" s="1"/>
  <c r="J17" i="39"/>
  <c r="W17" i="39" s="1"/>
  <c r="F33" i="39"/>
  <c r="S33" i="39" s="1"/>
  <c r="F44" i="39"/>
  <c r="S44" i="39" s="1"/>
  <c r="J44" i="39"/>
  <c r="W44" i="39" s="1"/>
  <c r="F46" i="39"/>
  <c r="S46" i="39" s="1"/>
  <c r="H46" i="39"/>
  <c r="U46" i="39" s="1"/>
  <c r="J46" i="39"/>
  <c r="W46" i="39" s="1"/>
  <c r="E103" i="39"/>
  <c r="F103" i="39"/>
  <c r="F34" i="39"/>
  <c r="AA34" i="39" s="1"/>
  <c r="H34" i="39"/>
  <c r="AB34" i="39" s="1"/>
  <c r="J34" i="39"/>
  <c r="AC34" i="39" s="1"/>
  <c r="F39" i="39"/>
  <c r="H39" i="39"/>
  <c r="AB39" i="39" s="1"/>
  <c r="J39" i="39"/>
  <c r="J29" i="35"/>
  <c r="AC29" i="35" s="1"/>
  <c r="F29" i="35"/>
  <c r="S29" i="35" s="1"/>
  <c r="W30" i="36"/>
  <c r="AC30" i="36"/>
  <c r="F37" i="39"/>
  <c r="S37" i="39" s="1"/>
  <c r="J37" i="39"/>
  <c r="W37" i="39" s="1"/>
  <c r="BL567" i="3"/>
  <c r="BA567" i="3"/>
  <c r="AZ567" i="3"/>
  <c r="AZ566" i="3"/>
  <c r="BL565" i="3"/>
  <c r="AZ565" i="3"/>
  <c r="BA564" i="3"/>
  <c r="AZ564" i="3"/>
  <c r="BA563" i="3"/>
  <c r="AZ563" i="3"/>
  <c r="BA552" i="3"/>
  <c r="AZ552" i="3"/>
  <c r="BA549" i="3"/>
  <c r="BL547" i="3"/>
  <c r="BA547" i="3"/>
  <c r="BL539" i="3"/>
  <c r="BA539" i="3"/>
  <c r="AZ539" i="3" s="1"/>
  <c r="BA538" i="3"/>
  <c r="AZ538" i="3" s="1"/>
  <c r="BL537" i="3"/>
  <c r="BA537" i="3"/>
  <c r="BA535" i="3"/>
  <c r="BA533" i="3"/>
  <c r="BL530" i="3"/>
  <c r="BL528" i="3"/>
  <c r="BA526" i="3"/>
  <c r="AZ526" i="3" s="1"/>
  <c r="BA525" i="3"/>
  <c r="BL523" i="3"/>
  <c r="BA522" i="3"/>
  <c r="BA519" i="3"/>
  <c r="BL518" i="3"/>
  <c r="BA518" i="3"/>
  <c r="AZ518" i="3"/>
  <c r="BL517" i="3"/>
  <c r="BA517" i="3"/>
  <c r="AZ517" i="3" s="1"/>
  <c r="BL515" i="3"/>
  <c r="BA515" i="3"/>
  <c r="BA514" i="3"/>
  <c r="AZ514" i="3" s="1"/>
  <c r="BL513" i="3"/>
  <c r="BA513" i="3"/>
  <c r="AZ513" i="3"/>
  <c r="BL512" i="3"/>
  <c r="AZ512" i="3"/>
  <c r="BL507" i="3"/>
  <c r="BA507" i="3"/>
  <c r="AZ507" i="3" s="1"/>
  <c r="BA506" i="3"/>
  <c r="BL505" i="3"/>
  <c r="BA504" i="3"/>
  <c r="BA500" i="3"/>
  <c r="AZ500" i="3"/>
  <c r="BL499" i="3"/>
  <c r="BA499" i="3"/>
  <c r="AZ499" i="3" s="1"/>
  <c r="BL498" i="3"/>
  <c r="AZ498" i="3" s="1"/>
  <c r="BL497" i="3"/>
  <c r="BA497" i="3"/>
  <c r="BL494" i="3"/>
  <c r="BA494" i="3"/>
  <c r="AZ494" i="3" s="1"/>
  <c r="G494" i="3"/>
  <c r="BA491" i="3"/>
  <c r="BL490" i="3"/>
  <c r="BA490" i="3"/>
  <c r="AZ490" i="3" s="1"/>
  <c r="BL489" i="3"/>
  <c r="BA489" i="3"/>
  <c r="AZ489" i="3"/>
  <c r="BA485" i="3"/>
  <c r="BA483" i="3"/>
  <c r="AZ483" i="3"/>
  <c r="BA482" i="3"/>
  <c r="AZ482" i="3"/>
  <c r="BL481" i="3"/>
  <c r="BA481" i="3"/>
  <c r="AZ481" i="3"/>
  <c r="BL19" i="3"/>
  <c r="F114" i="34"/>
  <c r="G114" i="34" s="1"/>
  <c r="H114" i="34" s="1"/>
  <c r="I114" i="34" s="1"/>
  <c r="J114" i="34" s="1"/>
  <c r="K114" i="34" s="1"/>
  <c r="L114" i="34" s="1"/>
  <c r="M114" i="34" s="1"/>
  <c r="H38" i="34"/>
  <c r="U38" i="34" s="1"/>
  <c r="H30" i="40"/>
  <c r="AB30" i="40" s="1"/>
  <c r="G100" i="40"/>
  <c r="J30" i="40"/>
  <c r="AC30" i="40"/>
  <c r="F38" i="40"/>
  <c r="AA38" i="40"/>
  <c r="AA36" i="34"/>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6" i="33"/>
  <c r="AB36" i="33"/>
  <c r="H37" i="34"/>
  <c r="F15" i="39"/>
  <c r="AA15" i="39" s="1"/>
  <c r="J15" i="39"/>
  <c r="AC15" i="39" s="1"/>
  <c r="F45" i="39"/>
  <c r="AA45" i="39" s="1"/>
  <c r="H45" i="39"/>
  <c r="U45" i="39" s="1"/>
  <c r="J45" i="39"/>
  <c r="AC45" i="39" s="1"/>
  <c r="F47" i="39"/>
  <c r="AA47" i="39" s="1"/>
  <c r="H47" i="39"/>
  <c r="AB47" i="39" s="1"/>
  <c r="J47" i="39"/>
  <c r="W47" i="39" s="1"/>
  <c r="H41" i="39"/>
  <c r="AB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C6" i="46" s="1"/>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27" i="43"/>
  <c r="F66" i="9"/>
  <c r="P72" i="9" s="1"/>
  <c r="F71" i="9"/>
  <c r="F72" i="9"/>
  <c r="W35" i="40"/>
  <c r="S33" i="40"/>
  <c r="AB32" i="40"/>
  <c r="AC47" i="39"/>
  <c r="U37" i="34"/>
  <c r="AB37" i="34"/>
  <c r="AC41" i="40"/>
  <c r="U41" i="40"/>
  <c r="J23" i="40"/>
  <c r="AC23" i="40"/>
  <c r="F23" i="40"/>
  <c r="S23" i="40" s="1"/>
  <c r="AC15" i="40"/>
  <c r="W15" i="40"/>
  <c r="AB16" i="39"/>
  <c r="W14" i="39"/>
  <c r="U23" i="35"/>
  <c r="AB23" i="35"/>
  <c r="H20" i="35"/>
  <c r="AB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7" i="3"/>
  <c r="AZ547" i="3"/>
  <c r="AA29" i="35"/>
  <c r="J29" i="39"/>
  <c r="AC29" i="39" s="1"/>
  <c r="AB33" i="36"/>
  <c r="AA11" i="36"/>
  <c r="AA14" i="35"/>
  <c r="S14" i="35"/>
  <c r="G99" i="37"/>
  <c r="F33" i="37"/>
  <c r="AA33" i="37" s="1"/>
  <c r="AB19" i="39"/>
  <c r="U46" i="34"/>
  <c r="AA14" i="34"/>
  <c r="U29" i="33"/>
  <c r="U17" i="34"/>
  <c r="AA11" i="34"/>
  <c r="W32" i="33"/>
  <c r="H15" i="33"/>
  <c r="U15" i="33"/>
  <c r="AA40" i="21"/>
  <c r="U17" i="21"/>
  <c r="U16" i="40"/>
  <c r="AB34" i="40"/>
  <c r="AB42" i="40"/>
  <c r="U42" i="40"/>
  <c r="AC16" i="40"/>
  <c r="W32" i="40"/>
  <c r="H25" i="40"/>
  <c r="AB25" i="40"/>
  <c r="J37" i="34"/>
  <c r="AC37" i="34"/>
  <c r="J36" i="33"/>
  <c r="W36" i="33"/>
  <c r="AB23" i="40"/>
  <c r="F97" i="39"/>
  <c r="F23" i="39" s="1"/>
  <c r="AA23" i="39" s="1"/>
  <c r="S16" i="39"/>
  <c r="S15" i="34"/>
  <c r="AA15" i="34"/>
  <c r="AA41" i="33"/>
  <c r="AA34" i="33"/>
  <c r="F106" i="33"/>
  <c r="G106" i="33"/>
  <c r="H106" i="33" s="1"/>
  <c r="I106" i="33" s="1"/>
  <c r="J106" i="33" s="1"/>
  <c r="K106" i="33" s="1"/>
  <c r="L106" i="33" s="1"/>
  <c r="M106" i="33" s="1"/>
  <c r="J34" i="33"/>
  <c r="AC34" i="33"/>
  <c r="AA37" i="39"/>
  <c r="AC39" i="39"/>
  <c r="W39" i="39"/>
  <c r="AA39" i="39"/>
  <c r="S39" i="39"/>
  <c r="AB46" i="39"/>
  <c r="AA33" i="39"/>
  <c r="S17" i="39"/>
  <c r="U11" i="36"/>
  <c r="F80" i="35"/>
  <c r="G80" i="35" s="1"/>
  <c r="H80" i="35" s="1"/>
  <c r="I80" i="35" s="1"/>
  <c r="J80" i="35" s="1"/>
  <c r="K80" i="35" s="1"/>
  <c r="L80" i="35" s="1"/>
  <c r="M80" i="35" s="1"/>
  <c r="W14" i="35"/>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S8" i="36"/>
  <c r="AA28" i="36"/>
  <c r="H20" i="36"/>
  <c r="U20" i="36" s="1"/>
  <c r="F68" i="36"/>
  <c r="G68" i="36" s="1"/>
  <c r="J20" i="36"/>
  <c r="AC20" i="36" s="1"/>
  <c r="F20" i="36"/>
  <c r="S20" i="36" s="1"/>
  <c r="F62" i="36"/>
  <c r="G62" i="36" s="1"/>
  <c r="J14" i="36"/>
  <c r="W14" i="36" s="1"/>
  <c r="H14" i="36"/>
  <c r="F14" i="36"/>
  <c r="AA14" i="36" s="1"/>
  <c r="W20" i="36"/>
  <c r="U27" i="36"/>
  <c r="U32" i="36"/>
  <c r="U9" i="36"/>
  <c r="AA27" i="36"/>
  <c r="S16" i="36"/>
  <c r="S29" i="36"/>
  <c r="AC33" i="35"/>
  <c r="U22" i="35"/>
  <c r="AA13" i="35"/>
  <c r="AC9" i="35"/>
  <c r="U33" i="35"/>
  <c r="AA20" i="35"/>
  <c r="W20" i="35"/>
  <c r="S16" i="35"/>
  <c r="AB14" i="35"/>
  <c r="AC10" i="35"/>
  <c r="U9" i="35"/>
  <c r="W13" i="35"/>
  <c r="AC18" i="35"/>
  <c r="W18" i="35"/>
  <c r="U18" i="35"/>
  <c r="AB18" i="35"/>
  <c r="S30" i="35"/>
  <c r="AA35" i="35"/>
  <c r="AB30" i="35"/>
  <c r="S27" i="35"/>
  <c r="S28" i="35"/>
  <c r="J26" i="35"/>
  <c r="AC26" i="35" s="1"/>
  <c r="H26" i="35"/>
  <c r="AB26" i="35" s="1"/>
  <c r="AB9" i="37"/>
  <c r="W12" i="37"/>
  <c r="AA9" i="37"/>
  <c r="S17" i="37"/>
  <c r="W28" i="37"/>
  <c r="AB37" i="37"/>
  <c r="S33" i="37"/>
  <c r="U32" i="37"/>
  <c r="AA32" i="37"/>
  <c r="J33" i="37"/>
  <c r="W33" i="37" s="1"/>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1" i="37"/>
  <c r="U21" i="37"/>
  <c r="S37" i="37"/>
  <c r="AA11" i="37"/>
  <c r="S10" i="37"/>
  <c r="W46" i="34"/>
  <c r="AA40" i="34"/>
  <c r="U30" i="34"/>
  <c r="AB33" i="34"/>
  <c r="AC35" i="34"/>
  <c r="AA30" i="34"/>
  <c r="AC32" i="34"/>
  <c r="AA33" i="34"/>
  <c r="U44" i="34"/>
  <c r="U34" i="34"/>
  <c r="U28" i="34"/>
  <c r="AA27" i="34"/>
  <c r="J25" i="34"/>
  <c r="AC25" i="34" s="1"/>
  <c r="H25" i="34"/>
  <c r="F25" i="34"/>
  <c r="S25" i="34" s="1"/>
  <c r="J23" i="34"/>
  <c r="F86" i="34"/>
  <c r="G86" i="34" s="1"/>
  <c r="F23" i="34"/>
  <c r="S23" i="34" s="1"/>
  <c r="H23" i="34"/>
  <c r="W17" i="34"/>
  <c r="U11" i="34"/>
  <c r="U10" i="34"/>
  <c r="W37" i="34"/>
  <c r="AC40" i="34"/>
  <c r="W44" i="34"/>
  <c r="W19" i="34"/>
  <c r="AC21" i="34"/>
  <c r="W21" i="34"/>
  <c r="U15" i="34"/>
  <c r="AB21" i="34"/>
  <c r="U21" i="34"/>
  <c r="U27" i="34"/>
  <c r="U19" i="34"/>
  <c r="AB41" i="34"/>
  <c r="S9" i="34"/>
  <c r="S10" i="34"/>
  <c r="U39" i="33"/>
  <c r="U37" i="33"/>
  <c r="S35" i="33"/>
  <c r="W34" i="33"/>
  <c r="AC12" i="33"/>
  <c r="AB41" i="33"/>
  <c r="U36" i="33"/>
  <c r="AC35" i="33"/>
  <c r="S29" i="33"/>
  <c r="W31" i="33"/>
  <c r="W39" i="33"/>
  <c r="U35" i="33"/>
  <c r="W26" i="33"/>
  <c r="AB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W10" i="33"/>
  <c r="AC21" i="33"/>
  <c r="W21" i="33"/>
  <c r="W14" i="33"/>
  <c r="AB10" i="33"/>
  <c r="AB21" i="33"/>
  <c r="U21" i="33"/>
  <c r="AA21" i="33"/>
  <c r="S21" i="33"/>
  <c r="AA36" i="33"/>
  <c r="W39" i="21"/>
  <c r="AC34" i="21"/>
  <c r="W32" i="21"/>
  <c r="U35" i="21"/>
  <c r="W43" i="21"/>
  <c r="AA37" i="21"/>
  <c r="AB37" i="21"/>
  <c r="AB32" i="21"/>
  <c r="W28"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S11" i="39"/>
  <c r="AC19" i="39"/>
  <c r="AC38" i="39"/>
  <c r="S14" i="39"/>
  <c r="U11" i="39"/>
  <c r="U31" i="39"/>
  <c r="AB31" i="39"/>
  <c r="S38" i="39"/>
  <c r="S22" i="31"/>
  <c r="M20" i="15"/>
  <c r="D96" i="9"/>
  <c r="F28" i="15"/>
  <c r="M18" i="15"/>
  <c r="BA16" i="3"/>
  <c r="BA17" i="3"/>
  <c r="AZ17" i="3"/>
  <c r="F3" i="35"/>
  <c r="K1" i="43"/>
  <c r="K1" i="12"/>
  <c r="G1" i="44"/>
  <c r="I4" i="6"/>
  <c r="AZ15" i="3"/>
  <c r="BK5" i="3"/>
  <c r="BO5" i="3"/>
  <c r="BP5" i="3"/>
  <c r="BN5" i="3"/>
  <c r="BL18" i="3"/>
  <c r="AZ18" i="3"/>
  <c r="BC5" i="3"/>
  <c r="BD5" i="3"/>
  <c r="BR5" i="3"/>
  <c r="G28" i="6" s="1"/>
  <c r="BS5" i="3"/>
  <c r="BQ5" i="3"/>
  <c r="BL16" i="3"/>
  <c r="BM5" i="3"/>
  <c r="F29" i="6" s="1"/>
  <c r="BA13" i="3"/>
  <c r="G28" i="12"/>
  <c r="G22" i="43"/>
  <c r="G26" i="12"/>
  <c r="D24" i="44"/>
  <c r="D26" i="44"/>
  <c r="G27" i="12"/>
  <c r="G23" i="43"/>
  <c r="G21" i="43"/>
  <c r="N8" i="46"/>
  <c r="N4" i="46"/>
  <c r="N1" i="46"/>
  <c r="F47" i="46"/>
  <c r="H49" i="46" s="1"/>
  <c r="M9" i="46"/>
  <c r="M2" i="46"/>
  <c r="N11" i="46"/>
  <c r="N9" i="46"/>
  <c r="M4" i="46"/>
  <c r="M12" i="46"/>
  <c r="M8" i="46"/>
  <c r="M3" i="46"/>
  <c r="M5" i="46"/>
  <c r="H6" i="48"/>
  <c r="H15" i="48"/>
  <c r="H5" i="48"/>
  <c r="H14" i="48"/>
  <c r="F36" i="46"/>
  <c r="K17" i="46"/>
  <c r="F39" i="46"/>
  <c r="H13" i="48"/>
  <c r="H11" i="48"/>
  <c r="D17" i="46"/>
  <c r="D71" i="46"/>
  <c r="D84" i="46"/>
  <c r="E80" i="46" s="1"/>
  <c r="B78" i="46" s="1"/>
  <c r="D69" i="46"/>
  <c r="E69" i="46"/>
  <c r="B67" i="46" s="1"/>
  <c r="E47" i="46"/>
  <c r="B45" i="46" s="1"/>
  <c r="A4" i="64"/>
  <c r="A4" i="51"/>
  <c r="B6" i="63" s="1"/>
  <c r="C51" i="10"/>
  <c r="I100" i="46"/>
  <c r="N100" i="46"/>
  <c r="H100" i="46"/>
  <c r="F108" i="46"/>
  <c r="H80" i="46"/>
  <c r="E100" i="46"/>
  <c r="G100" i="46"/>
  <c r="H84" i="46"/>
  <c r="C100" i="46"/>
  <c r="J100" i="46"/>
  <c r="M100" i="46"/>
  <c r="W11" i="35"/>
  <c r="AA11" i="35"/>
  <c r="S14" i="37"/>
  <c r="S13" i="21"/>
  <c r="G9" i="1"/>
  <c r="G8" i="1"/>
  <c r="I20" i="46"/>
  <c r="B46" i="50"/>
  <c r="B4" i="63" s="1"/>
  <c r="C46" i="36"/>
  <c r="D46" i="36" s="1"/>
  <c r="E46" i="36" s="1"/>
  <c r="F46" i="36" s="1"/>
  <c r="G46" i="36" s="1"/>
  <c r="H46" i="36" s="1"/>
  <c r="C48" i="35"/>
  <c r="D48" i="35"/>
  <c r="C52" i="37"/>
  <c r="D52" i="37"/>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G1" i="15"/>
  <c r="F66" i="36"/>
  <c r="G66" i="36" s="1"/>
  <c r="H18" i="36"/>
  <c r="U16" i="36"/>
  <c r="AA34" i="36"/>
  <c r="U23" i="36"/>
  <c r="AC27" i="36"/>
  <c r="W28" i="36"/>
  <c r="AA32" i="36"/>
  <c r="U13" i="36"/>
  <c r="AA22" i="36"/>
  <c r="U10" i="36"/>
  <c r="AA13" i="36"/>
  <c r="W29" i="36"/>
  <c r="W9" i="36"/>
  <c r="S9" i="36"/>
  <c r="W8" i="36"/>
  <c r="AC30" i="35"/>
  <c r="U24" i="35"/>
  <c r="W32" i="35"/>
  <c r="S24" i="35"/>
  <c r="AA33" i="35"/>
  <c r="U32" i="35"/>
  <c r="W22" i="35"/>
  <c r="S32" i="35"/>
  <c r="W35" i="37"/>
  <c r="U33" i="37"/>
  <c r="AC15" i="37"/>
  <c r="S12" i="37"/>
  <c r="W36" i="37"/>
  <c r="U26" i="37"/>
  <c r="AB28" i="37"/>
  <c r="S28" i="37"/>
  <c r="S26" i="37"/>
  <c r="AB35"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AC46" i="39"/>
  <c r="W42" i="39"/>
  <c r="AC37" i="39"/>
  <c r="U14" i="39"/>
  <c r="W16" i="39"/>
  <c r="W45" i="39"/>
  <c r="AA46" i="39"/>
  <c r="W10" i="39"/>
  <c r="W11" i="39"/>
  <c r="U42" i="39"/>
  <c r="S32" i="40"/>
  <c r="C27" i="39"/>
  <c r="C17" i="40"/>
  <c r="C19" i="40"/>
  <c r="C17" i="39"/>
  <c r="C19" i="39"/>
  <c r="C21" i="39"/>
  <c r="C23" i="40"/>
  <c r="B48" i="46"/>
  <c r="B51" i="46"/>
  <c r="B55" i="46"/>
  <c r="B59" i="46"/>
  <c r="B62" i="46"/>
  <c r="B66" i="46"/>
  <c r="B53" i="46"/>
  <c r="B64" i="46"/>
  <c r="D24" i="15"/>
  <c r="F28" i="6"/>
  <c r="F30" i="6" s="1"/>
  <c r="AB20" i="36"/>
  <c r="AC14" i="36"/>
  <c r="U14" i="36"/>
  <c r="AB14" i="36"/>
  <c r="U18" i="36"/>
  <c r="AB18" i="36"/>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B20" i="31"/>
  <c r="R22" i="31"/>
  <c r="B21" i="31"/>
  <c r="E5" i="6"/>
  <c r="D12" i="11" s="1"/>
  <c r="C12" i="11" s="1"/>
  <c r="AT6" i="3"/>
  <c r="G29" i="6"/>
  <c r="AZ16" i="3"/>
  <c r="A9" i="64"/>
  <c r="A9" i="51"/>
  <c r="B9" i="63" s="1"/>
  <c r="E4" i="4"/>
  <c r="C4" i="4"/>
  <c r="B20" i="55" s="1"/>
  <c r="B70" i="63" s="1"/>
  <c r="J18" i="36"/>
  <c r="W18" i="36" s="1"/>
  <c r="AE8" i="1"/>
  <c r="AE7" i="1"/>
  <c r="AC18" i="36"/>
  <c r="AG6" i="1"/>
  <c r="L20" i="6"/>
  <c r="L19" i="6"/>
  <c r="B21" i="55"/>
  <c r="B72" i="63" s="1"/>
  <c r="S7" i="1"/>
  <c r="S8" i="1"/>
  <c r="S9" i="1"/>
  <c r="R9" i="1"/>
  <c r="R7" i="1"/>
  <c r="R8" i="1"/>
  <c r="C45" i="9"/>
  <c r="H14" i="66"/>
  <c r="B7" i="66" s="1"/>
  <c r="O40" i="9"/>
  <c r="K31" i="9"/>
  <c r="K32" i="9" s="1"/>
  <c r="R7" i="54"/>
  <c r="B52" i="63" s="1"/>
  <c r="N76" i="9"/>
  <c r="C46" i="9"/>
  <c r="K33" i="9" s="1"/>
  <c r="O41" i="9"/>
  <c r="R8" i="54" s="1"/>
  <c r="B54" i="63" s="1"/>
  <c r="D58" i="21"/>
  <c r="E58" i="21" s="1"/>
  <c r="D70" i="39"/>
  <c r="E70" i="39" s="1"/>
  <c r="E72" i="39" s="1"/>
  <c r="C72" i="39"/>
  <c r="D58" i="33"/>
  <c r="E58" i="33" s="1"/>
  <c r="F58" i="33" s="1"/>
  <c r="J17" i="46"/>
  <c r="C17" i="46"/>
  <c r="F34" i="46"/>
  <c r="F38" i="46"/>
  <c r="F37" i="46"/>
  <c r="H113" i="46"/>
  <c r="H53" i="46"/>
  <c r="Y15" i="59"/>
  <c r="Z15" i="59"/>
  <c r="AA15" i="59"/>
  <c r="AB15" i="59"/>
  <c r="Y14" i="59"/>
  <c r="Z14" i="59"/>
  <c r="Y13" i="59"/>
  <c r="Z13" i="59" s="1"/>
  <c r="Y12" i="59"/>
  <c r="Z12" i="59" s="1"/>
  <c r="AB14" i="59"/>
  <c r="AB13" i="59"/>
  <c r="AB12" i="59"/>
  <c r="AA17" i="59"/>
  <c r="X15" i="59"/>
  <c r="X13" i="59"/>
  <c r="X12" i="59"/>
  <c r="AA13" i="59"/>
  <c r="AA12" i="59"/>
  <c r="H1" i="65"/>
  <c r="X7" i="46"/>
  <c r="E17" i="46"/>
  <c r="N17" i="46"/>
  <c r="O17" i="46"/>
  <c r="M17" i="46"/>
  <c r="L17" i="46"/>
  <c r="E28" i="6"/>
  <c r="AP7" i="1"/>
  <c r="G13" i="1"/>
  <c r="E52" i="37"/>
  <c r="F52" i="37" s="1"/>
  <c r="G52" i="37" s="1"/>
  <c r="H52" i="37" s="1"/>
  <c r="I52" i="37" s="1"/>
  <c r="J52" i="37" s="1"/>
  <c r="K52" i="37" s="1"/>
  <c r="E48" i="35"/>
  <c r="F48" i="35" s="1"/>
  <c r="G48" i="35" s="1"/>
  <c r="H48" i="35" s="1"/>
  <c r="I48" i="35" s="1"/>
  <c r="J48" i="35" s="1"/>
  <c r="K48" i="35" s="1"/>
  <c r="H50" i="46"/>
  <c r="F35" i="46"/>
  <c r="I17" i="46"/>
  <c r="D100" i="46"/>
  <c r="AF12" i="46"/>
  <c r="K100" i="46"/>
  <c r="AB12" i="46"/>
  <c r="AJ12" i="46"/>
  <c r="H72" i="46"/>
  <c r="H55" i="46"/>
  <c r="H52" i="46"/>
  <c r="AD12" i="46"/>
  <c r="AH12" i="46"/>
  <c r="D72" i="39"/>
  <c r="K14" i="1"/>
  <c r="F70" i="39"/>
  <c r="F72" i="39" s="1"/>
  <c r="F14" i="67"/>
  <c r="M22" i="15"/>
  <c r="B14" i="67"/>
  <c r="B8" i="67"/>
  <c r="F26" i="15"/>
  <c r="M24" i="15"/>
  <c r="J4" i="65"/>
  <c r="E10" i="67"/>
  <c r="N4" i="65"/>
  <c r="J6" i="65"/>
  <c r="F12" i="67"/>
  <c r="F8" i="67"/>
  <c r="M6" i="15"/>
  <c r="B11" i="67"/>
  <c r="I4" i="65"/>
  <c r="M29" i="15"/>
  <c r="F10" i="44"/>
  <c r="F13" i="15"/>
  <c r="M8" i="15"/>
  <c r="M28" i="15"/>
  <c r="N5" i="65"/>
  <c r="F43" i="15"/>
  <c r="F9" i="44"/>
  <c r="B10" i="67"/>
  <c r="E12" i="67"/>
  <c r="N7" i="65"/>
  <c r="F36" i="15"/>
  <c r="E9" i="67"/>
  <c r="I7" i="65"/>
  <c r="F42" i="15"/>
  <c r="J7" i="65"/>
  <c r="E8" i="67"/>
  <c r="E14" i="67"/>
  <c r="F18" i="44"/>
  <c r="B9" i="67"/>
  <c r="B13" i="67"/>
  <c r="F38" i="15"/>
  <c r="J15" i="15"/>
  <c r="L48" i="15"/>
  <c r="F43" i="44"/>
  <c r="M9" i="15"/>
  <c r="M23" i="44"/>
  <c r="M30" i="44"/>
  <c r="M10" i="44"/>
  <c r="F33" i="12"/>
  <c r="J36" i="15"/>
  <c r="J17" i="44"/>
  <c r="M26" i="15"/>
  <c r="F8" i="15"/>
  <c r="F8" i="44"/>
  <c r="J5" i="65"/>
  <c r="F7" i="15"/>
  <c r="F9" i="15"/>
  <c r="F45" i="44"/>
  <c r="F10" i="67"/>
  <c r="F15" i="44"/>
  <c r="L47" i="15"/>
  <c r="F39" i="44"/>
  <c r="I5" i="65"/>
  <c r="I3" i="65"/>
  <c r="F11" i="67"/>
  <c r="M23" i="15"/>
  <c r="M27" i="15"/>
  <c r="F40" i="15"/>
  <c r="N3" i="65"/>
  <c r="F6" i="15"/>
  <c r="F16" i="15"/>
  <c r="C15" i="12"/>
  <c r="E13" i="67"/>
  <c r="F37" i="15"/>
  <c r="N6" i="65"/>
  <c r="J3" i="65"/>
  <c r="F13" i="67"/>
  <c r="I6" i="65"/>
  <c r="B12" i="67"/>
  <c r="F9" i="67"/>
  <c r="E11" i="67"/>
  <c r="M28" i="44"/>
  <c r="J41" i="39" l="1"/>
  <c r="AC41" i="39" s="1"/>
  <c r="F41" i="39"/>
  <c r="AA41" i="39" s="1"/>
  <c r="E128" i="39"/>
  <c r="F128" i="39" s="1"/>
  <c r="G128" i="39" s="1"/>
  <c r="H128" i="39" s="1"/>
  <c r="I128" i="39" s="1"/>
  <c r="J128" i="39" s="1"/>
  <c r="K128" i="39" s="1"/>
  <c r="L128" i="39" s="1"/>
  <c r="M128" i="39" s="1"/>
  <c r="AC44" i="39"/>
  <c r="AB44" i="39"/>
  <c r="AA44" i="39"/>
  <c r="W15" i="39"/>
  <c r="U41" i="39"/>
  <c r="U15" i="39"/>
  <c r="AB15" i="39"/>
  <c r="G70" i="39"/>
  <c r="L27" i="6"/>
  <c r="AC27" i="40"/>
  <c r="E29" i="6"/>
  <c r="K15" i="1" s="1"/>
  <c r="K16" i="1" s="1"/>
  <c r="G30" i="6"/>
  <c r="G31" i="6" s="1"/>
  <c r="U37" i="39"/>
  <c r="AB37" i="39"/>
  <c r="AZ544" i="3"/>
  <c r="AZ531" i="3"/>
  <c r="H77" i="46"/>
  <c r="G6" i="1"/>
  <c r="K34" i="9"/>
  <c r="AA20" i="36"/>
  <c r="S14" i="36"/>
  <c r="S15" i="39"/>
  <c r="AC33" i="37"/>
  <c r="AB38" i="39"/>
  <c r="AB45" i="39"/>
  <c r="AA23" i="40"/>
  <c r="S30" i="40"/>
  <c r="S42" i="21"/>
  <c r="U25" i="33"/>
  <c r="S14" i="33"/>
  <c r="AC11" i="33"/>
  <c r="AB34" i="33"/>
  <c r="W43" i="33"/>
  <c r="AB11" i="33"/>
  <c r="AA41" i="34"/>
  <c r="W10" i="34"/>
  <c r="AC11" i="34"/>
  <c r="AA12" i="34"/>
  <c r="S32" i="34"/>
  <c r="W33" i="34"/>
  <c r="S40" i="37"/>
  <c r="AA31" i="37"/>
  <c r="F26" i="35"/>
  <c r="S23" i="35"/>
  <c r="S8" i="35"/>
  <c r="S33" i="36"/>
  <c r="AA26" i="36"/>
  <c r="AA19" i="39"/>
  <c r="W29" i="35"/>
  <c r="U30" i="40"/>
  <c r="G97" i="39"/>
  <c r="J23" i="39"/>
  <c r="S41" i="40"/>
  <c r="U47" i="39"/>
  <c r="W34" i="40"/>
  <c r="AA11" i="33"/>
  <c r="AC13" i="33"/>
  <c r="W12" i="34"/>
  <c r="AC30" i="34"/>
  <c r="U39" i="39"/>
  <c r="S47" i="39"/>
  <c r="AB14" i="40"/>
  <c r="J14" i="40"/>
  <c r="G103" i="39"/>
  <c r="H29" i="39"/>
  <c r="U29" i="39" s="1"/>
  <c r="F29" i="39"/>
  <c r="AC31" i="37"/>
  <c r="AA36" i="37"/>
  <c r="AZ352" i="3"/>
  <c r="AZ304" i="3"/>
  <c r="AZ323" i="3"/>
  <c r="AA10" i="35"/>
  <c r="S10" i="35"/>
  <c r="AZ536" i="3"/>
  <c r="AC30" i="21"/>
  <c r="W30" i="21"/>
  <c r="U30" i="21"/>
  <c r="AB30" i="21"/>
  <c r="W33" i="36"/>
  <c r="AC33" i="36"/>
  <c r="AB9" i="33"/>
  <c r="U9" i="33"/>
  <c r="AA33" i="33"/>
  <c r="S33" i="33"/>
  <c r="AC33" i="33"/>
  <c r="W33" i="33"/>
  <c r="AB38" i="33"/>
  <c r="U38" i="33"/>
  <c r="J12" i="36"/>
  <c r="F12" i="36"/>
  <c r="H12" i="36"/>
  <c r="H13" i="37"/>
  <c r="F13" i="37"/>
  <c r="J13" i="37"/>
  <c r="H25" i="37"/>
  <c r="J25" i="37"/>
  <c r="F25" i="37"/>
  <c r="H33" i="39"/>
  <c r="J33" i="39"/>
  <c r="W33" i="39" s="1"/>
  <c r="S41" i="21"/>
  <c r="AA41" i="21"/>
  <c r="AZ519" i="3"/>
  <c r="AZ533" i="3"/>
  <c r="W41" i="34"/>
  <c r="AC41" i="34"/>
  <c r="AA42" i="33"/>
  <c r="S42" i="33"/>
  <c r="AB30" i="33"/>
  <c r="U30" i="33"/>
  <c r="W45" i="33"/>
  <c r="AC45" i="33"/>
  <c r="BL13" i="3"/>
  <c r="AA10" i="21"/>
  <c r="S10" i="21"/>
  <c r="AA34" i="34"/>
  <c r="S34" i="34"/>
  <c r="W8" i="35"/>
  <c r="AC8" i="35"/>
  <c r="AA12" i="35"/>
  <c r="S12" i="35"/>
  <c r="U30" i="36"/>
  <c r="AB30" i="36"/>
  <c r="BA569" i="3"/>
  <c r="AZ569" i="3" s="1"/>
  <c r="BL568" i="3"/>
  <c r="AZ568" i="3" s="1"/>
  <c r="BL558" i="3"/>
  <c r="BA558" i="3"/>
  <c r="AZ558" i="3" s="1"/>
  <c r="BL557" i="3"/>
  <c r="BA557" i="3"/>
  <c r="AZ557" i="3" s="1"/>
  <c r="BL556" i="3"/>
  <c r="BA556" i="3"/>
  <c r="AZ556" i="3" s="1"/>
  <c r="BL555" i="3"/>
  <c r="BA555" i="3"/>
  <c r="AZ555" i="3" s="1"/>
  <c r="BL554" i="3"/>
  <c r="AZ554" i="3" s="1"/>
  <c r="BA553" i="3"/>
  <c r="AZ553" i="3" s="1"/>
  <c r="BL550" i="3"/>
  <c r="BA550" i="3"/>
  <c r="AZ550" i="3" s="1"/>
  <c r="BL549" i="3"/>
  <c r="AZ549" i="3" s="1"/>
  <c r="BL548" i="3"/>
  <c r="AZ548" i="3" s="1"/>
  <c r="BA546" i="3"/>
  <c r="AZ546" i="3" s="1"/>
  <c r="BL545" i="3"/>
  <c r="BA545" i="3"/>
  <c r="BL543" i="3"/>
  <c r="BA543" i="3"/>
  <c r="BL542" i="3"/>
  <c r="BA542" i="3"/>
  <c r="BL541" i="3"/>
  <c r="BA541" i="3"/>
  <c r="BL535" i="3"/>
  <c r="AZ535" i="3" s="1"/>
  <c r="BL533" i="3"/>
  <c r="BA530" i="3"/>
  <c r="AZ530" i="3" s="1"/>
  <c r="BA529" i="3"/>
  <c r="AZ529" i="3" s="1"/>
  <c r="BL527" i="3"/>
  <c r="AZ527" i="3" s="1"/>
  <c r="BA523" i="3"/>
  <c r="AZ523" i="3" s="1"/>
  <c r="BL522" i="3"/>
  <c r="AZ522" i="3" s="1"/>
  <c r="BA521" i="3"/>
  <c r="AZ521" i="3" s="1"/>
  <c r="BL520" i="3"/>
  <c r="AZ520" i="3" s="1"/>
  <c r="BL519" i="3"/>
  <c r="BL511" i="3"/>
  <c r="BA511" i="3"/>
  <c r="BL510" i="3"/>
  <c r="BA510" i="3"/>
  <c r="BL509" i="3"/>
  <c r="BA509" i="3"/>
  <c r="BL504" i="3"/>
  <c r="AZ504" i="3" s="1"/>
  <c r="BL503" i="3"/>
  <c r="BA503" i="3"/>
  <c r="AZ503" i="3" s="1"/>
  <c r="BA496" i="3"/>
  <c r="AZ496" i="3" s="1"/>
  <c r="BB5" i="3"/>
  <c r="E8" i="6" s="1"/>
  <c r="BL495" i="3"/>
  <c r="BA495" i="3"/>
  <c r="AZ495" i="3" s="1"/>
  <c r="BL488" i="3"/>
  <c r="AZ488" i="3" s="1"/>
  <c r="BL487" i="3"/>
  <c r="AZ487" i="3" s="1"/>
  <c r="BL486" i="3"/>
  <c r="AZ486" i="3" s="1"/>
  <c r="BA20" i="3"/>
  <c r="AZ20" i="3" s="1"/>
  <c r="BA19" i="3"/>
  <c r="BE5" i="3"/>
  <c r="F34" i="15"/>
  <c r="F61" i="15" s="1"/>
  <c r="F36" i="44"/>
  <c r="AZ492" i="3"/>
  <c r="AC8" i="21"/>
  <c r="W8" i="21"/>
  <c r="W40" i="21"/>
  <c r="AC40" i="21"/>
  <c r="S28" i="34"/>
  <c r="AA28" i="34"/>
  <c r="AA31" i="33"/>
  <c r="S31" i="33"/>
  <c r="H44" i="33"/>
  <c r="J44" i="33"/>
  <c r="F44" i="33"/>
  <c r="H12" i="35"/>
  <c r="J12" i="35"/>
  <c r="AA10" i="36"/>
  <c r="S10" i="36"/>
  <c r="AB22" i="36"/>
  <c r="U22" i="36"/>
  <c r="J23" i="36"/>
  <c r="F23" i="36"/>
  <c r="H27" i="37"/>
  <c r="F27" i="37"/>
  <c r="J27" i="37"/>
  <c r="AB36" i="37"/>
  <c r="U36" i="37"/>
  <c r="H38" i="37"/>
  <c r="J38" i="37"/>
  <c r="F38" i="37"/>
  <c r="W28" i="33"/>
  <c r="AC28" i="33"/>
  <c r="S39" i="37"/>
  <c r="AA39" i="37"/>
  <c r="S38" i="21"/>
  <c r="AA38" i="21"/>
  <c r="BG5" i="3"/>
  <c r="F12" i="21"/>
  <c r="J12" i="21"/>
  <c r="F14" i="21"/>
  <c r="H14" i="21"/>
  <c r="H28" i="21"/>
  <c r="F28" i="21"/>
  <c r="J44" i="21"/>
  <c r="H44" i="21"/>
  <c r="F44" i="21"/>
  <c r="H46" i="21"/>
  <c r="J46" i="21"/>
  <c r="F46" i="21"/>
  <c r="S12" i="33"/>
  <c r="AA12" i="33"/>
  <c r="AC38" i="33"/>
  <c r="W38" i="33"/>
  <c r="H27" i="33"/>
  <c r="J27" i="33"/>
  <c r="F27" i="33"/>
  <c r="U40" i="34"/>
  <c r="AB40" i="34"/>
  <c r="J46" i="33"/>
  <c r="F46" i="33"/>
  <c r="H46" i="33"/>
  <c r="H13" i="34"/>
  <c r="J13" i="34"/>
  <c r="F13" i="34"/>
  <c r="J29" i="34"/>
  <c r="F29" i="34"/>
  <c r="H29" i="34"/>
  <c r="J31" i="34"/>
  <c r="H31" i="34"/>
  <c r="F31" i="34"/>
  <c r="H45" i="34"/>
  <c r="J45" i="34"/>
  <c r="F45" i="34"/>
  <c r="H47" i="34"/>
  <c r="F47" i="34"/>
  <c r="J47" i="34"/>
  <c r="J34" i="35"/>
  <c r="H34" i="35"/>
  <c r="F34" i="35"/>
  <c r="AC22" i="36"/>
  <c r="W22" i="36"/>
  <c r="AB24" i="36"/>
  <c r="U24" i="36"/>
  <c r="W24" i="36"/>
  <c r="AC24" i="36"/>
  <c r="J25" i="36"/>
  <c r="F25" i="36"/>
  <c r="H25" i="36"/>
  <c r="AC41" i="33"/>
  <c r="W41" i="33"/>
  <c r="AA31" i="35"/>
  <c r="S31" i="35"/>
  <c r="BA561" i="3"/>
  <c r="AZ561" i="3" s="1"/>
  <c r="BL559" i="3"/>
  <c r="BA559" i="3"/>
  <c r="G553" i="3"/>
  <c r="G548" i="3"/>
  <c r="G527" i="3"/>
  <c r="BL525" i="3"/>
  <c r="AZ525" i="3" s="1"/>
  <c r="G519" i="3"/>
  <c r="BA505" i="3"/>
  <c r="AZ505" i="3" s="1"/>
  <c r="G503" i="3"/>
  <c r="G495" i="3"/>
  <c r="BA493" i="3"/>
  <c r="AZ493" i="3" s="1"/>
  <c r="BL491" i="3"/>
  <c r="AZ491" i="3" s="1"/>
  <c r="G486" i="3"/>
  <c r="BL485" i="3"/>
  <c r="AZ485" i="3" s="1"/>
  <c r="H5" i="3"/>
  <c r="BI5" i="3"/>
  <c r="AZ405" i="3"/>
  <c r="AZ408" i="3"/>
  <c r="AZ411" i="3"/>
  <c r="AZ413" i="3"/>
  <c r="AZ417" i="3"/>
  <c r="AZ432"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D44" i="59"/>
  <c r="C45" i="59"/>
  <c r="C53" i="59"/>
  <c r="D52" i="59"/>
  <c r="R12" i="1"/>
  <c r="K12" i="1"/>
  <c r="Y26" i="59"/>
  <c r="Z26" i="59" s="1"/>
  <c r="C27" i="59"/>
  <c r="Y18" i="59"/>
  <c r="Z18" i="59" s="1"/>
  <c r="Y20" i="59"/>
  <c r="Z20" i="59" s="1"/>
  <c r="C32" i="59"/>
  <c r="D31" i="59"/>
  <c r="AZ21" i="3"/>
  <c r="AZ25" i="3"/>
  <c r="AZ28" i="3"/>
  <c r="AZ30" i="3"/>
  <c r="AZ34" i="3"/>
  <c r="AZ53" i="3"/>
  <c r="AZ57" i="3"/>
  <c r="AZ60" i="3"/>
  <c r="AZ62" i="3"/>
  <c r="AZ68" i="3"/>
  <c r="AZ72" i="3"/>
  <c r="AZ75" i="3"/>
  <c r="AZ77" i="3"/>
  <c r="AZ81" i="3"/>
  <c r="AZ88" i="3"/>
  <c r="AZ92" i="3"/>
  <c r="AZ95" i="3"/>
  <c r="AZ97" i="3"/>
  <c r="AZ101" i="3"/>
  <c r="I21" i="57"/>
  <c r="D1" i="57" s="1"/>
  <c r="E10" i="57" s="1"/>
  <c r="AA21" i="21"/>
  <c r="S21" i="21"/>
  <c r="AA21" i="37"/>
  <c r="S21" i="37"/>
  <c r="D49" i="59"/>
  <c r="D25" i="59"/>
  <c r="N58" i="59"/>
  <c r="Y21" i="59"/>
  <c r="Z21" i="59" s="1"/>
  <c r="AA22" i="59"/>
  <c r="E23" i="59"/>
  <c r="E24" i="59" s="1"/>
  <c r="E25" i="59" s="1"/>
  <c r="U25" i="59" s="1"/>
  <c r="AA30" i="59"/>
  <c r="E31" i="59"/>
  <c r="E32" i="59" s="1"/>
  <c r="E33" i="59" s="1"/>
  <c r="U33" i="59" s="1"/>
  <c r="X32" i="59"/>
  <c r="X30" i="59"/>
  <c r="X31" i="59"/>
  <c r="AB32" i="59"/>
  <c r="AB21" i="59"/>
  <c r="AB20" i="59"/>
  <c r="F33" i="59"/>
  <c r="V33" i="59" s="1"/>
  <c r="P60" i="59"/>
  <c r="E59" i="59"/>
  <c r="T65" i="59"/>
  <c r="C64" i="59"/>
  <c r="T73" i="59"/>
  <c r="C72" i="59"/>
  <c r="D73" i="59"/>
  <c r="B21" i="59"/>
  <c r="X19" i="59"/>
  <c r="E21" i="59"/>
  <c r="AA21" i="59"/>
  <c r="AA18" i="59"/>
  <c r="AE10" i="46"/>
  <c r="AE12" i="46"/>
  <c r="AB30" i="59"/>
  <c r="AA27" i="59"/>
  <c r="Y16" i="59"/>
  <c r="Z16" i="59" s="1"/>
  <c r="C17" i="59"/>
  <c r="Y17" i="59"/>
  <c r="Z17" i="59" s="1"/>
  <c r="AB16" i="59"/>
  <c r="AB17" i="59"/>
  <c r="F17" i="59"/>
  <c r="X16" i="59"/>
  <c r="B16" i="59"/>
  <c r="B15" i="59" s="1"/>
  <c r="B14" i="59" s="1"/>
  <c r="B13" i="59" s="1"/>
  <c r="AA16" i="59"/>
  <c r="X14" i="59"/>
  <c r="Y11" i="59"/>
  <c r="Z11" i="59" s="1"/>
  <c r="Y10" i="59"/>
  <c r="Z10" i="59" s="1"/>
  <c r="AA14" i="59"/>
  <c r="AB3" i="59"/>
  <c r="AB5" i="59"/>
  <c r="AB10" i="59"/>
  <c r="AB11" i="59"/>
  <c r="AA3" i="59"/>
  <c r="AA7" i="59"/>
  <c r="AA10" i="59"/>
  <c r="Y6" i="59"/>
  <c r="Z6" i="59" s="1"/>
  <c r="F23" i="59"/>
  <c r="F24" i="59" s="1"/>
  <c r="F25" i="59" s="1"/>
  <c r="V25" i="59" s="1"/>
  <c r="AB19" i="59"/>
  <c r="Y23" i="59"/>
  <c r="Z23" i="59" s="1"/>
  <c r="AB23" i="59"/>
  <c r="Y24" i="59"/>
  <c r="Z24" i="59" s="1"/>
  <c r="AB24" i="59"/>
  <c r="AB25" i="59"/>
  <c r="AB28" i="59"/>
  <c r="AB31" i="59"/>
  <c r="C40" i="59"/>
  <c r="D40" i="59" s="1"/>
  <c r="D39" i="59"/>
  <c r="Q59" i="59"/>
  <c r="Q58" i="59"/>
  <c r="O61" i="59"/>
  <c r="C60" i="59"/>
  <c r="D77" i="59"/>
  <c r="C76" i="59"/>
  <c r="AB26" i="59"/>
  <c r="X22" i="59"/>
  <c r="D21" i="59"/>
  <c r="T21" i="59"/>
  <c r="C20" i="59"/>
  <c r="X17" i="59"/>
  <c r="X18" i="59"/>
  <c r="AA19" i="59"/>
  <c r="X20" i="59"/>
  <c r="X11" i="59"/>
  <c r="X6" i="59"/>
  <c r="X7" i="59"/>
  <c r="X10" i="59"/>
  <c r="Y22" i="59"/>
  <c r="Z22" i="59" s="1"/>
  <c r="X23" i="59"/>
  <c r="AA24" i="59"/>
  <c r="X25" i="59"/>
  <c r="AA26" i="59"/>
  <c r="AB27" i="59"/>
  <c r="Y28" i="59"/>
  <c r="Z28" i="59" s="1"/>
  <c r="AB29" i="59"/>
  <c r="Y30" i="59"/>
  <c r="Z30" i="59" s="1"/>
  <c r="A28" i="64"/>
  <c r="E16" i="59"/>
  <c r="E15" i="59" s="1"/>
  <c r="E14" i="59" s="1"/>
  <c r="E13" i="59" s="1"/>
  <c r="AA11" i="59"/>
  <c r="Y7" i="59"/>
  <c r="Z7" i="59" s="1"/>
  <c r="Y5" i="59"/>
  <c r="Z5" i="59" s="1"/>
  <c r="AB8" i="59"/>
  <c r="AB6" i="59"/>
  <c r="AB7" i="59"/>
  <c r="AA5" i="59"/>
  <c r="AA8" i="59"/>
  <c r="X9" i="59"/>
  <c r="AA6" i="59"/>
  <c r="X5" i="59"/>
  <c r="H23" i="39"/>
  <c r="AB23" i="39" s="1"/>
  <c r="D63" i="46"/>
  <c r="E58" i="46" s="1"/>
  <c r="B56" i="46" s="1"/>
  <c r="C24" i="46" s="1"/>
  <c r="C18" i="9"/>
  <c r="M43" i="9" s="1"/>
  <c r="AA36" i="39"/>
  <c r="S36" i="39"/>
  <c r="E111" i="39"/>
  <c r="F111" i="39" s="1"/>
  <c r="G111" i="39" s="1"/>
  <c r="H111" i="39" s="1"/>
  <c r="I111" i="39" s="1"/>
  <c r="J111" i="39" s="1"/>
  <c r="K111" i="39" s="1"/>
  <c r="L111" i="39" s="1"/>
  <c r="M111" i="39" s="1"/>
  <c r="J36" i="39"/>
  <c r="H36" i="39"/>
  <c r="S34" i="39"/>
  <c r="AC33" i="39"/>
  <c r="W34" i="39"/>
  <c r="U34" i="39"/>
  <c r="S31" i="39"/>
  <c r="W31" i="39"/>
  <c r="H25" i="39"/>
  <c r="U25" i="39" s="1"/>
  <c r="F25" i="39"/>
  <c r="AA25" i="39" s="1"/>
  <c r="F99" i="39"/>
  <c r="G99" i="39" s="1"/>
  <c r="J25" i="39"/>
  <c r="AB25" i="39"/>
  <c r="S25" i="39"/>
  <c r="AC17" i="39"/>
  <c r="AB17" i="39"/>
  <c r="E9" i="46"/>
  <c r="E8" i="46"/>
  <c r="E11" i="46"/>
  <c r="E10" i="46"/>
  <c r="H47" i="46"/>
  <c r="H54" i="46"/>
  <c r="H76" i="46"/>
  <c r="H69" i="46"/>
  <c r="H75" i="46"/>
  <c r="H74" i="46"/>
  <c r="H48" i="46"/>
  <c r="H73" i="46"/>
  <c r="H70" i="46"/>
  <c r="H51" i="46"/>
  <c r="H61" i="46"/>
  <c r="H58" i="46"/>
  <c r="H63" i="46"/>
  <c r="H66" i="46"/>
  <c r="H59" i="46"/>
  <c r="H65" i="46"/>
  <c r="H60" i="46"/>
  <c r="H64" i="46"/>
  <c r="H62" i="46"/>
  <c r="F43" i="39"/>
  <c r="J43" i="39"/>
  <c r="H126" i="39"/>
  <c r="I126" i="39" s="1"/>
  <c r="J126" i="39" s="1"/>
  <c r="K126" i="39" s="1"/>
  <c r="L126" i="39" s="1"/>
  <c r="M126" i="39" s="1"/>
  <c r="H43" i="39"/>
  <c r="AB29" i="39"/>
  <c r="W29" i="39"/>
  <c r="U27" i="39"/>
  <c r="S27" i="39"/>
  <c r="W27" i="39"/>
  <c r="F95" i="39"/>
  <c r="G95" i="39" s="1"/>
  <c r="F21" i="39"/>
  <c r="S21" i="39" s="1"/>
  <c r="J21" i="39"/>
  <c r="H21" i="39"/>
  <c r="AB21" i="39" s="1"/>
  <c r="U23" i="39"/>
  <c r="S23" i="39"/>
  <c r="C95" i="9"/>
  <c r="C92" i="9" s="1"/>
  <c r="C25" i="12"/>
  <c r="C27" i="43"/>
  <c r="C28" i="15"/>
  <c r="C30" i="44"/>
  <c r="C15" i="43"/>
  <c r="C31" i="43"/>
  <c r="J51" i="15"/>
  <c r="G17" i="46"/>
  <c r="C16" i="46" s="1"/>
  <c r="D5" i="46" s="1"/>
  <c r="D18" i="9"/>
  <c r="M44" i="9" s="1"/>
  <c r="A30" i="64"/>
  <c r="A30" i="51"/>
  <c r="B22" i="63" s="1"/>
  <c r="C34" i="12"/>
  <c r="D33" i="12" s="1"/>
  <c r="P75" i="15"/>
  <c r="D23" i="15"/>
  <c r="H16" i="1"/>
  <c r="M14" i="1"/>
  <c r="O14" i="1" s="1"/>
  <c r="P14" i="1" s="1"/>
  <c r="O7" i="1"/>
  <c r="P7" i="1" s="1"/>
  <c r="O11" i="1"/>
  <c r="P11" i="1" s="1"/>
  <c r="O9" i="1"/>
  <c r="P9" i="1" s="1"/>
  <c r="E13" i="6"/>
  <c r="E15" i="6"/>
  <c r="E11" i="6"/>
  <c r="O13" i="1"/>
  <c r="P13" i="1" s="1"/>
  <c r="L5" i="54"/>
  <c r="B39" i="63" s="1"/>
  <c r="K5" i="54"/>
  <c r="A18" i="64"/>
  <c r="B74" i="63" s="1"/>
  <c r="C53" i="10"/>
  <c r="A18" i="51"/>
  <c r="B14" i="63" s="1"/>
  <c r="T41" i="4"/>
  <c r="A17" i="51" s="1"/>
  <c r="B13" i="63" s="1"/>
  <c r="A11" i="55"/>
  <c r="B62" i="63" s="1"/>
  <c r="G16" i="1"/>
  <c r="F12" i="39" s="1"/>
  <c r="AP16" i="1"/>
  <c r="F22" i="11" s="1"/>
  <c r="K17" i="4"/>
  <c r="A22" i="51" s="1"/>
  <c r="B16" i="63" s="1"/>
  <c r="I14" i="66"/>
  <c r="B8" i="66" s="1"/>
  <c r="L52" i="37"/>
  <c r="M52" i="37" s="1"/>
  <c r="N52" i="37" s="1"/>
  <c r="O52" i="37" s="1"/>
  <c r="J7" i="37"/>
  <c r="L48" i="35"/>
  <c r="M48" i="35" s="1"/>
  <c r="N48" i="35" s="1"/>
  <c r="O48" i="35" s="1"/>
  <c r="H7" i="35"/>
  <c r="F7" i="35"/>
  <c r="I46" i="36"/>
  <c r="G58" i="33"/>
  <c r="H58" i="33" s="1"/>
  <c r="I58" i="33" s="1"/>
  <c r="J58" i="33" s="1"/>
  <c r="K58" i="33" s="1"/>
  <c r="L58" i="33" s="1"/>
  <c r="M58" i="33" s="1"/>
  <c r="N58" i="33" s="1"/>
  <c r="O58" i="33" s="1"/>
  <c r="H7" i="33"/>
  <c r="F7" i="33"/>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5" i="40"/>
  <c r="C67" i="40"/>
  <c r="J7" i="33"/>
  <c r="K77" i="9"/>
  <c r="K79" i="9" s="1"/>
  <c r="K81" i="9" s="1"/>
  <c r="E12" i="52"/>
  <c r="B15" i="52"/>
  <c r="F31" i="15"/>
  <c r="F33" i="44"/>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P21" i="46"/>
  <c r="E20" i="46"/>
  <c r="Q73" i="44"/>
  <c r="C6" i="15"/>
  <c r="F65" i="15"/>
  <c r="J1" i="65"/>
  <c r="F67" i="15"/>
  <c r="F50" i="15"/>
  <c r="C27" i="15"/>
  <c r="F64" i="15"/>
  <c r="I1" i="65"/>
  <c r="F70" i="15"/>
  <c r="M9" i="44"/>
  <c r="L59" i="15"/>
  <c r="L58" i="15"/>
  <c r="J53" i="15"/>
  <c r="J57" i="15"/>
  <c r="J55" i="15" s="1"/>
  <c r="J58" i="15" s="1"/>
  <c r="Q51" i="15" s="1"/>
  <c r="I54" i="15"/>
  <c r="L56" i="15"/>
  <c r="F49" i="15"/>
  <c r="F58" i="15" s="1"/>
  <c r="M7" i="15"/>
  <c r="M17" i="15" s="1"/>
  <c r="Q72" i="15"/>
  <c r="J22" i="44"/>
  <c r="F63" i="15"/>
  <c r="C4" i="65"/>
  <c r="B39" i="1" s="1"/>
  <c r="M11" i="44"/>
  <c r="F28" i="44"/>
  <c r="L48" i="44"/>
  <c r="E2" i="65"/>
  <c r="M24" i="44"/>
  <c r="C18" i="44"/>
  <c r="M26" i="44"/>
  <c r="L49" i="44"/>
  <c r="F37" i="44"/>
  <c r="F46" i="44"/>
  <c r="C19" i="44"/>
  <c r="M25" i="44"/>
  <c r="F38" i="44"/>
  <c r="F11" i="44"/>
  <c r="M31" i="44"/>
  <c r="F40" i="44"/>
  <c r="M8" i="44"/>
  <c r="M29" i="44"/>
  <c r="D21" i="12"/>
  <c r="E3" i="65"/>
  <c r="W41" i="39" l="1"/>
  <c r="S41" i="39"/>
  <c r="L59" i="44"/>
  <c r="Q75" i="44" s="1"/>
  <c r="L60" i="44"/>
  <c r="Q63" i="44" s="1"/>
  <c r="C36" i="44"/>
  <c r="C29" i="44"/>
  <c r="C8" i="44"/>
  <c r="C34" i="44" s="1"/>
  <c r="I55" i="44"/>
  <c r="L57" i="44"/>
  <c r="J60" i="44"/>
  <c r="J54" i="44"/>
  <c r="F1" i="44" s="1"/>
  <c r="J58" i="44"/>
  <c r="J56" i="44" s="1"/>
  <c r="J59" i="44" s="1"/>
  <c r="Q52" i="44" s="1"/>
  <c r="J61" i="44"/>
  <c r="Q50" i="44" s="1"/>
  <c r="M6" i="1"/>
  <c r="C19" i="59"/>
  <c r="D19" i="59" s="1"/>
  <c r="D20" i="59"/>
  <c r="D27" i="59"/>
  <c r="C28" i="59"/>
  <c r="T53" i="59"/>
  <c r="D53" i="59"/>
  <c r="G5" i="3"/>
  <c r="B3" i="3" s="1"/>
  <c r="E503" i="3"/>
  <c r="E527" i="3"/>
  <c r="AB25" i="36"/>
  <c r="U25" i="36"/>
  <c r="W25" i="36"/>
  <c r="AC25" i="36"/>
  <c r="U34" i="35"/>
  <c r="AB34" i="35"/>
  <c r="AC47" i="34"/>
  <c r="W47" i="34"/>
  <c r="U47" i="34"/>
  <c r="AB47" i="34"/>
  <c r="W45" i="34"/>
  <c r="AC45" i="34"/>
  <c r="S31" i="34"/>
  <c r="AA31" i="34"/>
  <c r="AC31" i="34"/>
  <c r="W31" i="34"/>
  <c r="S29" i="34"/>
  <c r="AA29" i="34"/>
  <c r="AA13" i="34"/>
  <c r="S13" i="34"/>
  <c r="U13" i="34"/>
  <c r="AB13" i="34"/>
  <c r="S46" i="33"/>
  <c r="AA46" i="33"/>
  <c r="S27" i="33"/>
  <c r="AA27" i="33"/>
  <c r="AB27" i="33"/>
  <c r="U27" i="33"/>
  <c r="W46" i="21"/>
  <c r="AC46" i="21"/>
  <c r="AA44" i="21"/>
  <c r="S44" i="21"/>
  <c r="AC44" i="21"/>
  <c r="W44" i="21"/>
  <c r="U28" i="21"/>
  <c r="AB28" i="21"/>
  <c r="AA14" i="21"/>
  <c r="S14" i="21"/>
  <c r="S12" i="21"/>
  <c r="AA12" i="21"/>
  <c r="AA38" i="37"/>
  <c r="S38" i="37"/>
  <c r="AB38" i="37"/>
  <c r="U38" i="37"/>
  <c r="AA27" i="37"/>
  <c r="S27" i="37"/>
  <c r="AA23" i="36"/>
  <c r="S23" i="36"/>
  <c r="W12" i="35"/>
  <c r="AC12" i="35"/>
  <c r="S44" i="33"/>
  <c r="AA44" i="33"/>
  <c r="U44" i="33"/>
  <c r="AB44" i="33"/>
  <c r="E58" i="39"/>
  <c r="F27" i="6"/>
  <c r="F31" i="6" s="1"/>
  <c r="E53" i="40"/>
  <c r="BL5" i="3"/>
  <c r="AZ13" i="3"/>
  <c r="U33" i="39"/>
  <c r="AB33" i="39"/>
  <c r="AC25" i="37"/>
  <c r="W25" i="37"/>
  <c r="AC13" i="37"/>
  <c r="W13" i="37"/>
  <c r="AB13" i="37"/>
  <c r="U13" i="37"/>
  <c r="S12" i="36"/>
  <c r="AA12" i="36"/>
  <c r="AA29" i="39"/>
  <c r="S29" i="39"/>
  <c r="AC14" i="40"/>
  <c r="W14" i="40"/>
  <c r="S26" i="35"/>
  <c r="AA26" i="35"/>
  <c r="J8" i="44"/>
  <c r="J20" i="44" s="1"/>
  <c r="B73" i="39"/>
  <c r="J7" i="21"/>
  <c r="J7" i="34"/>
  <c r="W7" i="34" s="1"/>
  <c r="F7" i="21"/>
  <c r="C5" i="46"/>
  <c r="E12" i="6"/>
  <c r="E10" i="6"/>
  <c r="E14" i="6"/>
  <c r="AA21" i="39"/>
  <c r="E12" i="59"/>
  <c r="E11" i="59" s="1"/>
  <c r="E10" i="59" s="1"/>
  <c r="E9" i="59" s="1"/>
  <c r="U13" i="59"/>
  <c r="C75" i="59"/>
  <c r="D75" i="59" s="1"/>
  <c r="D76" i="59"/>
  <c r="C59" i="59"/>
  <c r="D60" i="59"/>
  <c r="O60" i="59"/>
  <c r="B12" i="59"/>
  <c r="B11" i="59" s="1"/>
  <c r="B10" i="59" s="1"/>
  <c r="B9" i="59" s="1"/>
  <c r="S13" i="59"/>
  <c r="V17" i="59"/>
  <c r="F16" i="59"/>
  <c r="F15" i="59" s="1"/>
  <c r="F14" i="59" s="1"/>
  <c r="F13" i="59" s="1"/>
  <c r="T17" i="59"/>
  <c r="D17" i="59"/>
  <c r="C16" i="59"/>
  <c r="U21" i="59"/>
  <c r="E20" i="59"/>
  <c r="E19" i="59" s="1"/>
  <c r="B20" i="59"/>
  <c r="B19" i="59" s="1"/>
  <c r="S21" i="59"/>
  <c r="D72" i="59"/>
  <c r="C71" i="59"/>
  <c r="D71" i="59" s="1"/>
  <c r="C63" i="59"/>
  <c r="D63" i="59" s="1"/>
  <c r="D64" i="59"/>
  <c r="P58" i="59"/>
  <c r="P59" i="59"/>
  <c r="D32" i="59"/>
  <c r="C33" i="59"/>
  <c r="M12" i="1"/>
  <c r="O12" i="1" s="1"/>
  <c r="P12" i="1" s="1"/>
  <c r="Q16" i="1"/>
  <c r="F24" i="43" s="1"/>
  <c r="C26" i="43" s="1"/>
  <c r="D24" i="43" s="1"/>
  <c r="T45" i="59"/>
  <c r="D45" i="59"/>
  <c r="E548" i="3"/>
  <c r="AZ559" i="3"/>
  <c r="AA25" i="36"/>
  <c r="S25" i="36"/>
  <c r="AA34" i="35"/>
  <c r="S34" i="35"/>
  <c r="AC34" i="35"/>
  <c r="W34" i="35"/>
  <c r="AA47" i="34"/>
  <c r="S47" i="34"/>
  <c r="AA45" i="34"/>
  <c r="S45" i="34"/>
  <c r="U45" i="34"/>
  <c r="AB45" i="34"/>
  <c r="AB31" i="34"/>
  <c r="U31" i="34"/>
  <c r="U29" i="34"/>
  <c r="AB29" i="34"/>
  <c r="AC29" i="34"/>
  <c r="W29" i="34"/>
  <c r="W13" i="34"/>
  <c r="AC13" i="34"/>
  <c r="AB46" i="33"/>
  <c r="U46" i="33"/>
  <c r="W46" i="33"/>
  <c r="AC46" i="33"/>
  <c r="AC27" i="33"/>
  <c r="W27" i="33"/>
  <c r="S46" i="21"/>
  <c r="AA46" i="21"/>
  <c r="U46" i="21"/>
  <c r="AB46" i="21"/>
  <c r="AB44" i="21"/>
  <c r="U44" i="21"/>
  <c r="AA28" i="21"/>
  <c r="S28" i="21"/>
  <c r="U14" i="21"/>
  <c r="AB14" i="21"/>
  <c r="AC12" i="21"/>
  <c r="W12" i="21"/>
  <c r="AC38" i="37"/>
  <c r="W38" i="37"/>
  <c r="AC27" i="37"/>
  <c r="W27" i="37"/>
  <c r="U27" i="37"/>
  <c r="AB27" i="37"/>
  <c r="AC23" i="36"/>
  <c r="W23" i="36"/>
  <c r="U12" i="35"/>
  <c r="AB12" i="35"/>
  <c r="AC44" i="33"/>
  <c r="W44" i="33"/>
  <c r="AZ19" i="3"/>
  <c r="BA5" i="3"/>
  <c r="E27" i="6" s="1"/>
  <c r="AZ509" i="3"/>
  <c r="AZ510" i="3"/>
  <c r="AZ511" i="3"/>
  <c r="AZ541" i="3"/>
  <c r="AZ542" i="3"/>
  <c r="AZ543" i="3"/>
  <c r="AZ545" i="3"/>
  <c r="AA25" i="37"/>
  <c r="S25" i="37"/>
  <c r="U25" i="37"/>
  <c r="AB25" i="37"/>
  <c r="S13" i="37"/>
  <c r="AA13" i="37"/>
  <c r="U12" i="36"/>
  <c r="AB12" i="36"/>
  <c r="W12" i="36"/>
  <c r="AC12" i="36"/>
  <c r="AC23" i="39"/>
  <c r="W23" i="39"/>
  <c r="E30" i="6"/>
  <c r="H70" i="39"/>
  <c r="G72" i="39"/>
  <c r="U21" i="39"/>
  <c r="AC36" i="39"/>
  <c r="W36" i="39"/>
  <c r="AB36" i="39"/>
  <c r="U36" i="39"/>
  <c r="AC25" i="39"/>
  <c r="W25" i="39"/>
  <c r="C7" i="46"/>
  <c r="U43" i="39"/>
  <c r="AB43" i="39"/>
  <c r="W43" i="39"/>
  <c r="AC43" i="39"/>
  <c r="S43" i="39"/>
  <c r="AA43" i="39"/>
  <c r="W21" i="39"/>
  <c r="AC21" i="39"/>
  <c r="H7" i="21"/>
  <c r="U7" i="21" s="1"/>
  <c r="F7" i="37"/>
  <c r="C21" i="12"/>
  <c r="J12" i="40"/>
  <c r="W12" i="40" s="1"/>
  <c r="H12" i="40"/>
  <c r="AB12" i="40" s="1"/>
  <c r="M16" i="1"/>
  <c r="E63" i="39"/>
  <c r="E68" i="39" s="1"/>
  <c r="E58" i="40"/>
  <c r="E67" i="39"/>
  <c r="E62" i="40"/>
  <c r="E60" i="40"/>
  <c r="E65" i="39"/>
  <c r="E64" i="39"/>
  <c r="E59" i="40"/>
  <c r="E16" i="6"/>
  <c r="E61" i="40"/>
  <c r="E66" i="39"/>
  <c r="A17" i="64"/>
  <c r="A25" i="64"/>
  <c r="A25" i="51"/>
  <c r="B18" i="63" s="1"/>
  <c r="B38" i="63"/>
  <c r="A3" i="55"/>
  <c r="B56" i="63" s="1"/>
  <c r="F12" i="40"/>
  <c r="AA12" i="40" s="1"/>
  <c r="J12" i="39"/>
  <c r="AC12" i="39" s="1"/>
  <c r="H12" i="39"/>
  <c r="U12" i="39" s="1"/>
  <c r="AC7" i="33"/>
  <c r="V48" i="33" s="1"/>
  <c r="I48" i="33" s="1"/>
  <c r="W7" i="33"/>
  <c r="U12" i="40"/>
  <c r="D67" i="40"/>
  <c r="E65" i="40"/>
  <c r="H7" i="34"/>
  <c r="AB7" i="21"/>
  <c r="T48" i="21" s="1"/>
  <c r="G48" i="21" s="1"/>
  <c r="AA7" i="33"/>
  <c r="R48" i="33" s="1"/>
  <c r="S7" i="33"/>
  <c r="AA7" i="35"/>
  <c r="R38" i="35" s="1"/>
  <c r="S7" i="35"/>
  <c r="J7" i="35"/>
  <c r="W7" i="37"/>
  <c r="AC7" i="37"/>
  <c r="V42" i="37" s="1"/>
  <c r="I42" i="37" s="1"/>
  <c r="H7" i="37"/>
  <c r="AC7" i="21"/>
  <c r="V48" i="21" s="1"/>
  <c r="I48" i="21" s="1"/>
  <c r="W7" i="21"/>
  <c r="S12" i="39"/>
  <c r="AA12" i="39"/>
  <c r="AC7" i="34"/>
  <c r="V49" i="34" s="1"/>
  <c r="I49" i="34" s="1"/>
  <c r="F7" i="34"/>
  <c r="AA7" i="21"/>
  <c r="R48" i="21" s="1"/>
  <c r="S7" i="21"/>
  <c r="U7" i="33"/>
  <c r="AB7" i="33"/>
  <c r="T48" i="33" s="1"/>
  <c r="G48" i="33" s="1"/>
  <c r="J46" i="36"/>
  <c r="K46" i="36" s="1"/>
  <c r="L46" i="36" s="1"/>
  <c r="M46" i="36" s="1"/>
  <c r="N46" i="36" s="1"/>
  <c r="O46" i="36" s="1"/>
  <c r="J7" i="36"/>
  <c r="F7" i="36"/>
  <c r="U7" i="35"/>
  <c r="AB7" i="35"/>
  <c r="T38" i="35" s="1"/>
  <c r="G38" i="35" s="1"/>
  <c r="AA7" i="37"/>
  <c r="R42" i="37" s="1"/>
  <c r="S7" i="37"/>
  <c r="M19" i="44"/>
  <c r="C19" i="46"/>
  <c r="B40" i="1"/>
  <c r="F17" i="11"/>
  <c r="Q62" i="15"/>
  <c r="Q75" i="15"/>
  <c r="M13" i="44"/>
  <c r="J12" i="44" s="1"/>
  <c r="F11" i="15"/>
  <c r="M11" i="15"/>
  <c r="J10" i="15" s="1"/>
  <c r="F13" i="44"/>
  <c r="C12" i="44" s="1"/>
  <c r="C48" i="15"/>
  <c r="C32" i="15"/>
  <c r="M28" i="46"/>
  <c r="P28" i="46"/>
  <c r="O28" i="46"/>
  <c r="N28" i="46"/>
  <c r="G20" i="46" s="1"/>
  <c r="F1" i="15"/>
  <c r="Q53" i="15"/>
  <c r="Q61" i="15"/>
  <c r="Q74" i="15"/>
  <c r="J6" i="15"/>
  <c r="AE6" i="1"/>
  <c r="C16" i="15"/>
  <c r="J7" i="44" l="1"/>
  <c r="J28" i="44" s="1"/>
  <c r="J31" i="44" s="1"/>
  <c r="C7" i="44"/>
  <c r="C40" i="44" s="1"/>
  <c r="L47" i="44"/>
  <c r="Q54" i="44"/>
  <c r="Q62" i="44"/>
  <c r="Q76" i="44"/>
  <c r="I70" i="39"/>
  <c r="H72" i="39"/>
  <c r="T33" i="59"/>
  <c r="D33" i="59"/>
  <c r="M19" i="46" s="1"/>
  <c r="AZ5"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130" i="3"/>
  <c r="E273" i="3"/>
  <c r="E352" i="3"/>
  <c r="E542" i="3"/>
  <c r="E461" i="3"/>
  <c r="E563" i="3"/>
  <c r="E138" i="3"/>
  <c r="E254" i="3"/>
  <c r="E328" i="3"/>
  <c r="E112" i="3"/>
  <c r="E341" i="3"/>
  <c r="E155" i="3"/>
  <c r="E268" i="3"/>
  <c r="E252" i="3"/>
  <c r="E316" i="3"/>
  <c r="E346" i="3"/>
  <c r="E175" i="3"/>
  <c r="E544" i="3"/>
  <c r="E318" i="3"/>
  <c r="E541" i="3"/>
  <c r="E565" i="3"/>
  <c r="E380"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84" i="3"/>
  <c r="E482" i="3"/>
  <c r="E473" i="3"/>
  <c r="N6" i="3"/>
  <c r="E232" i="3"/>
  <c r="E533" i="3"/>
  <c r="E189" i="3"/>
  <c r="E37" i="3"/>
  <c r="E507" i="3"/>
  <c r="E303" i="3"/>
  <c r="E275" i="3"/>
  <c r="L6" i="3"/>
  <c r="E467" i="3"/>
  <c r="E429" i="3"/>
  <c r="E67" i="3"/>
  <c r="E116" i="3"/>
  <c r="E214" i="3"/>
  <c r="E372"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27" i="3"/>
  <c r="E266" i="3"/>
  <c r="E215" i="3"/>
  <c r="I6" i="3"/>
  <c r="Z6" i="3"/>
  <c r="E454" i="3"/>
  <c r="E520" i="3"/>
  <c r="AK6"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AD6" i="3"/>
  <c r="E299" i="3"/>
  <c r="E327" i="3"/>
  <c r="E103" i="3"/>
  <c r="E200" i="3"/>
  <c r="E62" i="3"/>
  <c r="E389" i="3"/>
  <c r="E230" i="3"/>
  <c r="E143"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H6" i="3" s="1"/>
  <c r="E178" i="3"/>
  <c r="E119" i="3"/>
  <c r="J6" i="3"/>
  <c r="E500" i="3"/>
  <c r="E48" i="3"/>
  <c r="E97" i="3"/>
  <c r="E438" i="3"/>
  <c r="AE6" i="3"/>
  <c r="E455" i="3"/>
  <c r="E289"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494" i="3"/>
  <c r="E546" i="3"/>
  <c r="E52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D16" i="59"/>
  <c r="C15" i="59"/>
  <c r="B8" i="59"/>
  <c r="B7" i="59" s="1"/>
  <c r="B6" i="59" s="1"/>
  <c r="B5" i="59" s="1"/>
  <c r="S5" i="59" s="1"/>
  <c r="S9" i="59"/>
  <c r="E31" i="6"/>
  <c r="K26" i="6"/>
  <c r="M26" i="6" s="1"/>
  <c r="I26" i="6" s="1"/>
  <c r="S26" i="6" s="1"/>
  <c r="K22" i="6"/>
  <c r="M22" i="6" s="1"/>
  <c r="I22" i="6" s="1"/>
  <c r="S22" i="6" s="1"/>
  <c r="K25" i="6"/>
  <c r="M25" i="6" s="1"/>
  <c r="I25" i="6" s="1"/>
  <c r="S25" i="6" s="1"/>
  <c r="K20" i="6"/>
  <c r="M20" i="6" s="1"/>
  <c r="I20" i="6" s="1"/>
  <c r="S20" i="6" s="1"/>
  <c r="K19" i="6"/>
  <c r="K24" i="6"/>
  <c r="M24" i="6" s="1"/>
  <c r="I24" i="6" s="1"/>
  <c r="S24" i="6" s="1"/>
  <c r="K23" i="6"/>
  <c r="M23" i="6" s="1"/>
  <c r="I23" i="6" s="1"/>
  <c r="S23" i="6" s="1"/>
  <c r="K21" i="6"/>
  <c r="M21" i="6" s="1"/>
  <c r="I21" i="6" s="1"/>
  <c r="S21" i="6" s="1"/>
  <c r="E495" i="3"/>
  <c r="F12" i="59"/>
  <c r="F11" i="59" s="1"/>
  <c r="F10" i="59" s="1"/>
  <c r="F9" i="59" s="1"/>
  <c r="V13" i="59"/>
  <c r="O59" i="59"/>
  <c r="O58" i="59"/>
  <c r="D59" i="59"/>
  <c r="E8" i="59"/>
  <c r="E7" i="59" s="1"/>
  <c r="E6" i="59" s="1"/>
  <c r="E5" i="59" s="1"/>
  <c r="U5" i="59" s="1"/>
  <c r="U9" i="59"/>
  <c r="E553" i="3"/>
  <c r="E519" i="3"/>
  <c r="E486" i="3"/>
  <c r="D28" i="59"/>
  <c r="C29" i="59"/>
  <c r="O6" i="1"/>
  <c r="E41" i="46"/>
  <c r="C41" i="46" s="1"/>
  <c r="C38" i="46" s="1"/>
  <c r="C20" i="46"/>
  <c r="C36" i="46" s="1"/>
  <c r="G36" i="46" s="1"/>
  <c r="I36" i="46" s="1"/>
  <c r="AC12" i="40"/>
  <c r="W12" i="39"/>
  <c r="AB12" i="39"/>
  <c r="C13" i="43"/>
  <c r="N16" i="1"/>
  <c r="C29" i="43" s="1"/>
  <c r="L16" i="1"/>
  <c r="S12" i="40"/>
  <c r="R43" i="37"/>
  <c r="E42" i="37"/>
  <c r="G42" i="35"/>
  <c r="H42" i="35" s="1"/>
  <c r="AA7" i="36"/>
  <c r="R36" i="36" s="1"/>
  <c r="S7" i="36"/>
  <c r="R49" i="21"/>
  <c r="E48" i="21"/>
  <c r="I52" i="21"/>
  <c r="J52" i="21" s="1"/>
  <c r="I53" i="21"/>
  <c r="J53" i="21" s="1"/>
  <c r="I46" i="37"/>
  <c r="J46" i="37" s="1"/>
  <c r="I47" i="37"/>
  <c r="J47" i="37" s="1"/>
  <c r="AC7" i="35"/>
  <c r="V38" i="35" s="1"/>
  <c r="I38" i="35" s="1"/>
  <c r="G43" i="35" s="1"/>
  <c r="H43" i="35" s="1"/>
  <c r="W7" i="35"/>
  <c r="AB7" i="34"/>
  <c r="T49" i="34" s="1"/>
  <c r="G49" i="34" s="1"/>
  <c r="U7" i="34"/>
  <c r="I52" i="33"/>
  <c r="J52" i="33" s="1"/>
  <c r="W7" i="36"/>
  <c r="AC7" i="36"/>
  <c r="V36" i="36" s="1"/>
  <c r="I36" i="36" s="1"/>
  <c r="G52" i="33"/>
  <c r="H52" i="33" s="1"/>
  <c r="G53" i="33"/>
  <c r="H53" i="33" s="1"/>
  <c r="AA7" i="34"/>
  <c r="R49" i="34" s="1"/>
  <c r="S7" i="34"/>
  <c r="I53" i="34"/>
  <c r="J53" i="34" s="1"/>
  <c r="AB7" i="37"/>
  <c r="T42" i="37" s="1"/>
  <c r="G42" i="37" s="1"/>
  <c r="U7" i="37"/>
  <c r="R39" i="35"/>
  <c r="E38" i="35"/>
  <c r="R49" i="33"/>
  <c r="E48" i="33"/>
  <c r="G52" i="21"/>
  <c r="H52" i="21" s="1"/>
  <c r="G53" i="21"/>
  <c r="H53" i="21" s="1"/>
  <c r="F65" i="40"/>
  <c r="E67" i="40"/>
  <c r="H7" i="36"/>
  <c r="J18" i="15"/>
  <c r="J5" i="15"/>
  <c r="C52" i="15"/>
  <c r="C47" i="15" s="1"/>
  <c r="C10" i="15"/>
  <c r="C5" i="15" s="1"/>
  <c r="F21" i="43"/>
  <c r="C23" i="43" s="1"/>
  <c r="D21" i="43" s="1"/>
  <c r="F24" i="15"/>
  <c r="C24" i="15" s="1"/>
  <c r="F26" i="12"/>
  <c r="F26" i="44"/>
  <c r="C26" i="44" s="1"/>
  <c r="F41" i="15"/>
  <c r="J26" i="44" l="1"/>
  <c r="P6" i="1"/>
  <c r="O16" i="1"/>
  <c r="F8" i="59"/>
  <c r="F7" i="59" s="1"/>
  <c r="F6" i="59" s="1"/>
  <c r="F5" i="59" s="1"/>
  <c r="V5" i="59" s="1"/>
  <c r="V9" i="59"/>
  <c r="T29" i="59"/>
  <c r="D29" i="59"/>
  <c r="S6" i="1"/>
  <c r="M19" i="6"/>
  <c r="K27" i="6"/>
  <c r="D15" i="59"/>
  <c r="C14" i="59"/>
  <c r="AC6" i="3"/>
  <c r="E6" i="3" s="1"/>
  <c r="E3" i="6"/>
  <c r="AY6" i="3"/>
  <c r="I72" i="39"/>
  <c r="J70" i="39"/>
  <c r="C35" i="46"/>
  <c r="G35" i="46" s="1"/>
  <c r="I35" i="46" s="1"/>
  <c r="C37" i="46"/>
  <c r="G37" i="46" s="1"/>
  <c r="I37" i="46" s="1"/>
  <c r="C33" i="46"/>
  <c r="E33" i="46" s="1"/>
  <c r="F68" i="15"/>
  <c r="T10" i="46"/>
  <c r="V10" i="46" s="1"/>
  <c r="C39" i="46"/>
  <c r="E39" i="46" s="1"/>
  <c r="G38" i="46"/>
  <c r="I38" i="46" s="1"/>
  <c r="E38" i="46"/>
  <c r="C34" i="46"/>
  <c r="T12" i="46"/>
  <c r="V12" i="46" s="1"/>
  <c r="T15" i="46"/>
  <c r="V15" i="46" s="1"/>
  <c r="T11" i="46"/>
  <c r="V11" i="46" s="1"/>
  <c r="T13" i="46"/>
  <c r="V13" i="46" s="1"/>
  <c r="T9" i="46"/>
  <c r="V9" i="46" s="1"/>
  <c r="T8" i="46"/>
  <c r="V8" i="46" s="1"/>
  <c r="T16" i="46"/>
  <c r="V16" i="46" s="1"/>
  <c r="T14" i="46"/>
  <c r="V14" i="46" s="1"/>
  <c r="C14" i="43"/>
  <c r="C17" i="43"/>
  <c r="E36" i="46"/>
  <c r="E52" i="33"/>
  <c r="F52" i="33" s="1"/>
  <c r="E53" i="33"/>
  <c r="F53" i="33" s="1"/>
  <c r="E43" i="35"/>
  <c r="F43" i="35" s="1"/>
  <c r="E42" i="35"/>
  <c r="F42" i="35" s="1"/>
  <c r="AB7" i="36"/>
  <c r="T36" i="36" s="1"/>
  <c r="G36" i="36" s="1"/>
  <c r="U7" i="36"/>
  <c r="G65" i="40"/>
  <c r="F67" i="40"/>
  <c r="C49" i="33"/>
  <c r="B3" i="33" s="1"/>
  <c r="B2" i="33" s="1"/>
  <c r="C48" i="33"/>
  <c r="C39" i="35"/>
  <c r="B3" i="35" s="1"/>
  <c r="B2" i="35" s="1"/>
  <c r="C38" i="35"/>
  <c r="I40" i="36"/>
  <c r="J40" i="36" s="1"/>
  <c r="I53" i="33"/>
  <c r="J53" i="33" s="1"/>
  <c r="I43" i="35"/>
  <c r="J43" i="35" s="1"/>
  <c r="I42" i="35"/>
  <c r="J42" i="35" s="1"/>
  <c r="C48" i="21"/>
  <c r="C49" i="21"/>
  <c r="B3" i="21" s="1"/>
  <c r="B2" i="21" s="1"/>
  <c r="R37" i="36"/>
  <c r="E36" i="36"/>
  <c r="C43" i="37"/>
  <c r="B3" i="37" s="1"/>
  <c r="B2" i="37" s="1"/>
  <c r="C42" i="37"/>
  <c r="G46" i="37"/>
  <c r="H46" i="37" s="1"/>
  <c r="G47" i="37"/>
  <c r="H47" i="37" s="1"/>
  <c r="R50" i="34"/>
  <c r="E49" i="34"/>
  <c r="G54" i="34"/>
  <c r="H54" i="34" s="1"/>
  <c r="G53" i="34"/>
  <c r="H53" i="34" s="1"/>
  <c r="E53" i="21"/>
  <c r="F53" i="21" s="1"/>
  <c r="E52" i="21"/>
  <c r="F52" i="21" s="1"/>
  <c r="E47" i="37"/>
  <c r="F47" i="37" s="1"/>
  <c r="E46" i="37"/>
  <c r="F46" i="37" s="1"/>
  <c r="C65" i="15"/>
  <c r="C59" i="15"/>
  <c r="C27" i="12"/>
  <c r="D26" i="12" s="1"/>
  <c r="C32" i="12" s="1"/>
  <c r="D30" i="12" s="1"/>
  <c r="J26" i="15"/>
  <c r="J29" i="15" s="1"/>
  <c r="J24" i="15"/>
  <c r="C38" i="15"/>
  <c r="Q58" i="44"/>
  <c r="Q67" i="44"/>
  <c r="Q49" i="44"/>
  <c r="Q55" i="44" s="1"/>
  <c r="F7" i="67"/>
  <c r="D16" i="12"/>
  <c r="D22" i="12"/>
  <c r="C17" i="15"/>
  <c r="E35" i="46" l="1"/>
  <c r="G33" i="46"/>
  <c r="I33" i="46" s="1"/>
  <c r="D19" i="12"/>
  <c r="C19" i="12" s="1"/>
  <c r="C16" i="12"/>
  <c r="C11" i="11" s="1"/>
  <c r="C10" i="11" s="1"/>
  <c r="C22" i="12"/>
  <c r="C20" i="12" s="1"/>
  <c r="K70" i="39"/>
  <c r="J72" i="39"/>
  <c r="AY67" i="3"/>
  <c r="AY159" i="3"/>
  <c r="AY234" i="3"/>
  <c r="AY343" i="3"/>
  <c r="AY50" i="3"/>
  <c r="AY305" i="3"/>
  <c r="AY481" i="3"/>
  <c r="AY311" i="3"/>
  <c r="AY437" i="3"/>
  <c r="AY158" i="3"/>
  <c r="BA6" i="3"/>
  <c r="AY151"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47" i="3"/>
  <c r="AY43" i="3"/>
  <c r="AY254" i="3"/>
  <c r="AY219" i="3"/>
  <c r="AY360" i="3"/>
  <c r="AY553" i="3"/>
  <c r="AY190" i="3"/>
  <c r="AY486" i="3"/>
  <c r="AY402" i="3"/>
  <c r="AY161" i="3"/>
  <c r="AY216" i="3"/>
  <c r="AY273" i="3"/>
  <c r="AY211" i="3"/>
  <c r="AY137" i="3"/>
  <c r="BP6" i="3"/>
  <c r="AY480" i="3"/>
  <c r="AY358" i="3"/>
  <c r="AY223" i="3"/>
  <c r="AY235" i="3"/>
  <c r="AY267" i="3"/>
  <c r="AY433" i="3"/>
  <c r="AY502" i="3"/>
  <c r="AY509" i="3"/>
  <c r="AY564" i="3"/>
  <c r="AY296" i="3"/>
  <c r="AY79" i="3"/>
  <c r="AY373" i="3"/>
  <c r="AY474" i="3"/>
  <c r="AY265" i="3"/>
  <c r="AY565" i="3"/>
  <c r="AY90" i="3"/>
  <c r="AY344" i="3"/>
  <c r="AY401" i="3"/>
  <c r="AY545" i="3"/>
  <c r="AY455" i="3"/>
  <c r="AY487" i="3"/>
  <c r="AY539" i="3"/>
  <c r="BB6" i="3"/>
  <c r="AY338" i="3"/>
  <c r="AY243" i="3"/>
  <c r="AY466" i="3"/>
  <c r="AY441" i="3"/>
  <c r="AY121" i="3"/>
  <c r="AY354" i="3"/>
  <c r="AY255" i="3"/>
  <c r="AY165" i="3"/>
  <c r="BG6" i="3"/>
  <c r="AY134" i="3"/>
  <c r="AY312" i="3"/>
  <c r="AY54" i="3"/>
  <c r="AY568" i="3"/>
  <c r="AY566" i="3"/>
  <c r="AY228" i="3"/>
  <c r="AY260" i="3"/>
  <c r="AY252" i="3"/>
  <c r="AY377" i="3"/>
  <c r="AY297" i="3"/>
  <c r="AY490" i="3"/>
  <c r="AY393" i="3"/>
  <c r="AY395" i="3"/>
  <c r="AY281" i="3"/>
  <c r="AY475" i="3"/>
  <c r="AY240" i="3"/>
  <c r="AY506" i="3"/>
  <c r="AY559" i="3"/>
  <c r="AY375" i="3"/>
  <c r="AY153" i="3"/>
  <c r="AY78" i="3"/>
  <c r="AY20" i="3"/>
  <c r="AY247" i="3"/>
  <c r="AY112" i="3"/>
  <c r="AY456" i="3"/>
  <c r="AY370" i="3"/>
  <c r="BT6" i="3"/>
  <c r="AY148" i="3"/>
  <c r="AY64" i="3"/>
  <c r="AY359" i="3"/>
  <c r="AY28" i="3"/>
  <c r="AY501" i="3"/>
  <c r="AY101" i="3"/>
  <c r="AY350" i="3"/>
  <c r="AY181" i="3"/>
  <c r="AY3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58" i="3"/>
  <c r="AY100" i="3"/>
  <c r="AY118" i="3"/>
  <c r="AY416" i="3"/>
  <c r="AY250" i="3"/>
  <c r="AY141" i="3"/>
  <c r="AY459" i="3"/>
  <c r="AY400" i="3"/>
  <c r="AY272" i="3"/>
  <c r="AY442" i="3"/>
  <c r="AY99" i="3"/>
  <c r="AY150" i="3"/>
  <c r="AY280" i="3"/>
  <c r="BS6" i="3"/>
  <c r="AY282" i="3"/>
  <c r="AY24" i="3"/>
  <c r="AY515" i="3"/>
  <c r="AY46" i="3"/>
  <c r="AY371" i="3"/>
  <c r="AY380"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BI6" i="3"/>
  <c r="AY508" i="3"/>
  <c r="BE6" i="3"/>
  <c r="AY521" i="3"/>
  <c r="AY570" i="3"/>
  <c r="AY196" i="3"/>
  <c r="AY261" i="3"/>
  <c r="AY444" i="3"/>
  <c r="AY460" i="3"/>
  <c r="AY451" i="3"/>
  <c r="AY488" i="3"/>
  <c r="AY18" i="3"/>
  <c r="AY423" i="3"/>
  <c r="BM6" i="3"/>
  <c r="AY205" i="3"/>
  <c r="AY468" i="3"/>
  <c r="AY210" i="3"/>
  <c r="BO6" i="3"/>
  <c r="AY189" i="3"/>
  <c r="AY322" i="3"/>
  <c r="AY40" i="3"/>
  <c r="AY60" i="3"/>
  <c r="AY108" i="3"/>
  <c r="AY483" i="3"/>
  <c r="AY185" i="3"/>
  <c r="AY447" i="3"/>
  <c r="AY299" i="3"/>
  <c r="AY208" i="3"/>
  <c r="AY503" i="3"/>
  <c r="AY415" i="3"/>
  <c r="AY518" i="3"/>
  <c r="AY388" i="3"/>
  <c r="AY323" i="3"/>
  <c r="AY446" i="3"/>
  <c r="AY443" i="3"/>
  <c r="AY493" i="3"/>
  <c r="AY257" i="3"/>
  <c r="AY204" i="3"/>
  <c r="AY429" i="3"/>
  <c r="AY346" i="3"/>
  <c r="AY65" i="3"/>
  <c r="AY317" i="3"/>
  <c r="AY105"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80" i="3"/>
  <c r="AY179" i="3"/>
  <c r="AY126" i="3"/>
  <c r="AY209" i="3"/>
  <c r="AY55" i="3"/>
  <c r="AY560" i="3"/>
  <c r="AY310" i="3"/>
  <c r="AY226" i="3"/>
  <c r="AY340" i="3"/>
  <c r="AY405" i="3"/>
  <c r="AY572" i="3"/>
  <c r="AY103" i="3"/>
  <c r="AY432" i="3"/>
  <c r="AY172" i="3"/>
  <c r="AY394" i="3"/>
  <c r="AY544" i="3"/>
  <c r="AY494" i="3"/>
  <c r="AY290" i="3"/>
  <c r="AY569" i="3"/>
  <c r="AY283"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I19" i="6"/>
  <c r="M27" i="6"/>
  <c r="P16" i="1"/>
  <c r="D16" i="43"/>
  <c r="C16" i="43" s="1"/>
  <c r="C18" i="43" s="1"/>
  <c r="C19" i="43" s="1"/>
  <c r="C25" i="43" s="1"/>
  <c r="C24" i="43" s="1"/>
  <c r="L38" i="9"/>
  <c r="B14" i="66" s="1"/>
  <c r="B1" i="66" s="1"/>
  <c r="D45" i="9"/>
  <c r="D46" i="9"/>
  <c r="E6" i="6"/>
  <c r="D13" i="11" s="1"/>
  <c r="C13" i="11" s="1"/>
  <c r="C21" i="4"/>
  <c r="O5" i="54" s="1"/>
  <c r="B45" i="63" s="1"/>
  <c r="C13" i="59"/>
  <c r="D14" i="59"/>
  <c r="S16" i="1"/>
  <c r="T6" i="1"/>
  <c r="E37" i="46"/>
  <c r="G39" i="46"/>
  <c r="I39" i="46" s="1"/>
  <c r="G34" i="46"/>
  <c r="I34" i="46" s="1"/>
  <c r="E34" i="46"/>
  <c r="E40" i="36"/>
  <c r="F40" i="36" s="1"/>
  <c r="E41" i="36"/>
  <c r="F41" i="36" s="1"/>
  <c r="I41" i="36"/>
  <c r="J41" i="36" s="1"/>
  <c r="E54" i="34"/>
  <c r="F54" i="34" s="1"/>
  <c r="E53" i="34"/>
  <c r="F53" i="34" s="1"/>
  <c r="I54" i="34"/>
  <c r="J54" i="34" s="1"/>
  <c r="C50" i="34"/>
  <c r="B3" i="34" s="1"/>
  <c r="B2" i="34" s="1"/>
  <c r="C49" i="34"/>
  <c r="C36" i="36"/>
  <c r="C37" i="36"/>
  <c r="B3" i="36" s="1"/>
  <c r="B2" i="36" s="1"/>
  <c r="H65" i="40"/>
  <c r="G67" i="40"/>
  <c r="G41" i="36"/>
  <c r="H41" i="36" s="1"/>
  <c r="G40" i="36"/>
  <c r="H40" i="36" s="1"/>
  <c r="E4" i="67"/>
  <c r="D77" i="9"/>
  <c r="N75" i="9" s="1"/>
  <c r="B7" i="67"/>
  <c r="C14" i="15"/>
  <c r="E7" i="67"/>
  <c r="C13" i="12"/>
  <c r="C18" i="15" l="1"/>
  <c r="C15" i="15"/>
  <c r="C14" i="12"/>
  <c r="C17" i="12"/>
  <c r="T9" i="1"/>
  <c r="T12" i="1"/>
  <c r="T11" i="1"/>
  <c r="T10" i="1"/>
  <c r="T13" i="1"/>
  <c r="T7" i="1"/>
  <c r="T8" i="1"/>
  <c r="C12" i="59"/>
  <c r="T13" i="59"/>
  <c r="D13" i="59"/>
  <c r="D19" i="6"/>
  <c r="D23" i="6"/>
  <c r="D8" i="6"/>
  <c r="D22" i="6"/>
  <c r="D25" i="6"/>
  <c r="D28" i="6"/>
  <c r="D24" i="6"/>
  <c r="D5" i="6"/>
  <c r="C22" i="4"/>
  <c r="F45" i="9"/>
  <c r="D9" i="6"/>
  <c r="E63" i="40"/>
  <c r="E45" i="9"/>
  <c r="D26" i="6"/>
  <c r="E46" i="9"/>
  <c r="D15" i="6"/>
  <c r="D13" i="6"/>
  <c r="H24" i="6"/>
  <c r="D10" i="6"/>
  <c r="H25" i="6"/>
  <c r="R25" i="6" s="1"/>
  <c r="H22" i="6"/>
  <c r="R22" i="6" s="1"/>
  <c r="H26" i="6"/>
  <c r="D6" i="6"/>
  <c r="D20" i="6"/>
  <c r="K38" i="9"/>
  <c r="C14" i="66" s="1"/>
  <c r="B2" i="66" s="1"/>
  <c r="F46" i="9"/>
  <c r="D21" i="6"/>
  <c r="D29" i="6"/>
  <c r="D30" i="6" s="1"/>
  <c r="D11" i="6"/>
  <c r="H21" i="6"/>
  <c r="H23" i="6"/>
  <c r="R23" i="6" s="1"/>
  <c r="D12" i="6"/>
  <c r="D14" i="6"/>
  <c r="H20" i="6"/>
  <c r="R20" i="6" s="1"/>
  <c r="H19" i="6"/>
  <c r="H27" i="6" s="1"/>
  <c r="L70" i="39"/>
  <c r="K72" i="39"/>
  <c r="C18" i="11"/>
  <c r="C17" i="11"/>
  <c r="T16" i="1"/>
  <c r="C7" i="66"/>
  <c r="C8" i="66"/>
  <c r="S19" i="6"/>
  <c r="S27" i="6" s="1"/>
  <c r="I27" i="6"/>
  <c r="C22" i="43"/>
  <c r="C21" i="43" s="1"/>
  <c r="C28" i="43" s="1"/>
  <c r="C30" i="43" s="1"/>
  <c r="C32" i="43" s="1"/>
  <c r="B2" i="43" s="1"/>
  <c r="B4" i="43" s="1"/>
  <c r="H67" i="40"/>
  <c r="I65" i="40"/>
  <c r="E3" i="67"/>
  <c r="B2" i="67"/>
  <c r="C16" i="44"/>
  <c r="C18" i="12" l="1"/>
  <c r="C23" i="12" s="1"/>
  <c r="C19" i="15"/>
  <c r="C20" i="15" s="1"/>
  <c r="C26" i="15" s="1"/>
  <c r="C19" i="11"/>
  <c r="C20" i="11" s="1"/>
  <c r="C21" i="11" s="1"/>
  <c r="C22" i="11" s="1"/>
  <c r="C23" i="11" s="1"/>
  <c r="B2" i="11" s="1"/>
  <c r="B4" i="11" s="1"/>
  <c r="C20" i="44"/>
  <c r="C17" i="44"/>
  <c r="L72" i="39"/>
  <c r="M70" i="39"/>
  <c r="R21" i="6"/>
  <c r="D27" i="6"/>
  <c r="D31" i="6" s="1"/>
  <c r="R26" i="6"/>
  <c r="C11" i="59"/>
  <c r="D12" i="59"/>
  <c r="D7" i="66"/>
  <c r="D8" i="66"/>
  <c r="N5" i="54"/>
  <c r="B43" i="63" s="1"/>
  <c r="A6" i="51"/>
  <c r="B7" i="63" s="1"/>
  <c r="A6" i="64"/>
  <c r="A20" i="64"/>
  <c r="A20" i="51"/>
  <c r="B15" i="63" s="1"/>
  <c r="R24" i="6"/>
  <c r="D16" i="6"/>
  <c r="B27" i="9"/>
  <c r="C40" i="39"/>
  <c r="R19" i="6"/>
  <c r="J59" i="15"/>
  <c r="J60" i="15" s="1"/>
  <c r="Q49" i="15" s="1"/>
  <c r="B5" i="43"/>
  <c r="B3" i="43"/>
  <c r="I67" i="40"/>
  <c r="J65" i="40"/>
  <c r="B3" i="67"/>
  <c r="B4" i="67"/>
  <c r="B5" i="11" l="1"/>
  <c r="B3" i="11"/>
  <c r="C23" i="15"/>
  <c r="C29" i="15" s="1"/>
  <c r="C21" i="44"/>
  <c r="C22" i="44" s="1"/>
  <c r="H40" i="39"/>
  <c r="F40" i="39"/>
  <c r="J40" i="39"/>
  <c r="R6" i="1"/>
  <c r="R27" i="6"/>
  <c r="B30" i="9"/>
  <c r="D30" i="9"/>
  <c r="C10" i="59"/>
  <c r="D11" i="59"/>
  <c r="I6" i="6"/>
  <c r="I5" i="6"/>
  <c r="M72" i="39"/>
  <c r="N70" i="39"/>
  <c r="N72" i="39" s="1"/>
  <c r="F9" i="39" s="1"/>
  <c r="K65" i="40"/>
  <c r="J67" i="40"/>
  <c r="F35" i="15"/>
  <c r="M21" i="15"/>
  <c r="C28" i="44" l="1"/>
  <c r="C25" i="44"/>
  <c r="F62" i="15"/>
  <c r="C61" i="15" s="1"/>
  <c r="C34" i="15"/>
  <c r="J20" i="15"/>
  <c r="AA9" i="39"/>
  <c r="S9" i="39"/>
  <c r="AC40" i="39"/>
  <c r="W40" i="39"/>
  <c r="AB40" i="39"/>
  <c r="U40" i="39"/>
  <c r="H9" i="39"/>
  <c r="J9" i="39"/>
  <c r="C13" i="39"/>
  <c r="G3" i="46"/>
  <c r="C9" i="59"/>
  <c r="D10" i="59"/>
  <c r="C25" i="9"/>
  <c r="C24" i="9"/>
  <c r="R16" i="1"/>
  <c r="AA40" i="39"/>
  <c r="S40" i="39"/>
  <c r="Q50" i="15"/>
  <c r="C13" i="15"/>
  <c r="C56" i="15"/>
  <c r="C33" i="15"/>
  <c r="J19" i="15"/>
  <c r="C36" i="15"/>
  <c r="J14" i="15"/>
  <c r="L65" i="40"/>
  <c r="K67" i="40"/>
  <c r="L57" i="15"/>
  <c r="L60" i="15" s="1"/>
  <c r="C31" i="44" l="1"/>
  <c r="C15" i="44" s="1"/>
  <c r="C31" i="15"/>
  <c r="J17" i="15"/>
  <c r="C37" i="15"/>
  <c r="Q71" i="15"/>
  <c r="C55" i="15"/>
  <c r="C64" i="15" s="1"/>
  <c r="J35" i="15"/>
  <c r="C8" i="59"/>
  <c r="T9" i="59"/>
  <c r="D9" i="59"/>
  <c r="F13" i="39"/>
  <c r="J13" i="39"/>
  <c r="H13" i="39"/>
  <c r="AB9" i="39"/>
  <c r="U9" i="39"/>
  <c r="J22" i="15"/>
  <c r="J13" i="15"/>
  <c r="J23" i="15" s="1"/>
  <c r="C60" i="15"/>
  <c r="C58" i="15" s="1"/>
  <c r="C63" i="15"/>
  <c r="H22" i="46"/>
  <c r="H101" i="46"/>
  <c r="J22" i="46"/>
  <c r="D101" i="46"/>
  <c r="M101" i="46"/>
  <c r="AC11" i="46"/>
  <c r="AC13" i="46" s="1"/>
  <c r="AJ11" i="46"/>
  <c r="AJ13" i="46" s="1"/>
  <c r="C101" i="46"/>
  <c r="J101" i="46"/>
  <c r="N104" i="45"/>
  <c r="F22" i="46"/>
  <c r="Z7" i="46"/>
  <c r="E22" i="46"/>
  <c r="Z11" i="46"/>
  <c r="Z13" i="46" s="1"/>
  <c r="AA11" i="46"/>
  <c r="AA13" i="46" s="1"/>
  <c r="AF11" i="46"/>
  <c r="AF13" i="46" s="1"/>
  <c r="AB11" i="46"/>
  <c r="AB13" i="46" s="1"/>
  <c r="S2" i="46"/>
  <c r="T2" i="46" s="1"/>
  <c r="V2" i="46" s="1"/>
  <c r="S7" i="46"/>
  <c r="T7" i="46" s="1"/>
  <c r="V7" i="46" s="1"/>
  <c r="S4" i="46"/>
  <c r="T4" i="46" s="1"/>
  <c r="V4" i="46" s="1"/>
  <c r="Y11" i="46"/>
  <c r="Y13" i="46" s="1"/>
  <c r="F101" i="46"/>
  <c r="I101" i="46"/>
  <c r="AD11" i="46"/>
  <c r="AD13" i="46" s="1"/>
  <c r="B113" i="46"/>
  <c r="E101" i="46"/>
  <c r="AG11" i="46"/>
  <c r="AG13" i="46" s="1"/>
  <c r="AI11" i="46"/>
  <c r="AI13" i="46" s="1"/>
  <c r="G22" i="46"/>
  <c r="N101" i="46"/>
  <c r="G101" i="46"/>
  <c r="L101" i="46"/>
  <c r="K101" i="46"/>
  <c r="AH11" i="46"/>
  <c r="AH13" i="46" s="1"/>
  <c r="AE11" i="46"/>
  <c r="AE13" i="46" s="1"/>
  <c r="C23" i="46"/>
  <c r="S3" i="46"/>
  <c r="T3" i="46" s="1"/>
  <c r="V3" i="46" s="1"/>
  <c r="S5" i="46"/>
  <c r="T5" i="46" s="1"/>
  <c r="V5" i="46" s="1"/>
  <c r="S6" i="46"/>
  <c r="T6" i="46" s="1"/>
  <c r="V6" i="46" s="1"/>
  <c r="AC9" i="39"/>
  <c r="W9" i="39"/>
  <c r="Q67" i="15"/>
  <c r="L46" i="15"/>
  <c r="L67" i="40"/>
  <c r="M65" i="40"/>
  <c r="Q58" i="15"/>
  <c r="C30" i="15" l="1"/>
  <c r="C39" i="15" s="1"/>
  <c r="Q70" i="15" s="1"/>
  <c r="Q69" i="15" s="1"/>
  <c r="J16" i="44"/>
  <c r="J15" i="44" s="1"/>
  <c r="J25" i="44" s="1"/>
  <c r="Q51" i="44"/>
  <c r="J21" i="44"/>
  <c r="J19" i="44" s="1"/>
  <c r="C43" i="44"/>
  <c r="C39" i="44"/>
  <c r="C38" i="44"/>
  <c r="C35" i="44"/>
  <c r="C33" i="44" s="1"/>
  <c r="Q72" i="44"/>
  <c r="C57" i="15"/>
  <c r="C66" i="15" s="1"/>
  <c r="C67" i="15" s="1"/>
  <c r="C70" i="15" s="1"/>
  <c r="K107" i="46"/>
  <c r="K105" i="46"/>
  <c r="K102" i="46"/>
  <c r="K109" i="46"/>
  <c r="K103" i="46"/>
  <c r="K106" i="46"/>
  <c r="K104" i="46"/>
  <c r="J107" i="46"/>
  <c r="J106" i="46"/>
  <c r="J105" i="46"/>
  <c r="J104" i="46"/>
  <c r="J109" i="46"/>
  <c r="J102" i="46"/>
  <c r="J103" i="46"/>
  <c r="M107" i="46"/>
  <c r="M105" i="46"/>
  <c r="M103" i="46"/>
  <c r="M102" i="46"/>
  <c r="M106" i="46"/>
  <c r="M104" i="46"/>
  <c r="M109" i="46"/>
  <c r="AC13" i="39"/>
  <c r="W13" i="39"/>
  <c r="D8" i="59"/>
  <c r="C7" i="59"/>
  <c r="G103" i="46"/>
  <c r="G104" i="46"/>
  <c r="G106" i="46"/>
  <c r="G109" i="46"/>
  <c r="G102" i="46"/>
  <c r="G107" i="46"/>
  <c r="G105" i="46"/>
  <c r="I116" i="46"/>
  <c r="J116" i="46" s="1"/>
  <c r="K116" i="46" s="1"/>
  <c r="L116" i="46" s="1"/>
  <c r="M116" i="46" s="1"/>
  <c r="I115" i="46"/>
  <c r="J115" i="46" s="1"/>
  <c r="K115" i="46" s="1"/>
  <c r="L115" i="46" s="1"/>
  <c r="M115" i="46" s="1"/>
  <c r="I117" i="46"/>
  <c r="J117" i="46" s="1"/>
  <c r="K117" i="46" s="1"/>
  <c r="L117" i="46" s="1"/>
  <c r="M117" i="46" s="1"/>
  <c r="B115" i="46"/>
  <c r="B117" i="46"/>
  <c r="C117" i="46" s="1"/>
  <c r="D115" i="46"/>
  <c r="E115" i="46" s="1"/>
  <c r="F115" i="46" s="1"/>
  <c r="G115" i="46" s="1"/>
  <c r="H115" i="46" s="1"/>
  <c r="D116" i="46"/>
  <c r="E116" i="46" s="1"/>
  <c r="F116" i="46" s="1"/>
  <c r="G116" i="46" s="1"/>
  <c r="H116" i="46" s="1"/>
  <c r="B116" i="46"/>
  <c r="C116" i="46" s="1"/>
  <c r="D118" i="46"/>
  <c r="E118" i="46" s="1"/>
  <c r="F118" i="46" s="1"/>
  <c r="B118" i="46"/>
  <c r="C118" i="46" s="1"/>
  <c r="G118" i="46"/>
  <c r="H118" i="46" s="1"/>
  <c r="D117" i="46"/>
  <c r="E117" i="46" s="1"/>
  <c r="F117" i="46" s="1"/>
  <c r="G117" i="46" s="1"/>
  <c r="H117" i="46" s="1"/>
  <c r="I118" i="46"/>
  <c r="J118" i="46" s="1"/>
  <c r="K118" i="46" s="1"/>
  <c r="L118" i="46" s="1"/>
  <c r="M118" i="46" s="1"/>
  <c r="I102" i="46"/>
  <c r="I107" i="46"/>
  <c r="I104" i="46"/>
  <c r="I103" i="46"/>
  <c r="I106" i="46"/>
  <c r="I105" i="46"/>
  <c r="I109" i="46"/>
  <c r="D22" i="46"/>
  <c r="C21" i="46" s="1"/>
  <c r="C29" i="46" s="1"/>
  <c r="V49" i="39"/>
  <c r="I49" i="39" s="1"/>
  <c r="L102" i="46"/>
  <c r="L105" i="46"/>
  <c r="L106" i="46"/>
  <c r="L107" i="46"/>
  <c r="L104" i="46"/>
  <c r="L103" i="46"/>
  <c r="L109" i="46"/>
  <c r="N105" i="46"/>
  <c r="N107" i="46"/>
  <c r="N106" i="46"/>
  <c r="N102" i="46"/>
  <c r="N103" i="46"/>
  <c r="N104" i="46"/>
  <c r="N109" i="46"/>
  <c r="E104" i="46"/>
  <c r="E103" i="46"/>
  <c r="E106" i="46"/>
  <c r="E105" i="46"/>
  <c r="E107" i="46"/>
  <c r="E109" i="46"/>
  <c r="E102" i="46"/>
  <c r="F106" i="46"/>
  <c r="F104" i="46"/>
  <c r="F107" i="46"/>
  <c r="F105" i="46"/>
  <c r="F103" i="46"/>
  <c r="F109" i="46"/>
  <c r="F102" i="46"/>
  <c r="C109" i="46"/>
  <c r="C102" i="46"/>
  <c r="C105" i="46"/>
  <c r="C106" i="46"/>
  <c r="C104" i="46"/>
  <c r="C107" i="46"/>
  <c r="C103" i="46"/>
  <c r="D106" i="46"/>
  <c r="D109" i="46"/>
  <c r="D104" i="46"/>
  <c r="D103" i="46"/>
  <c r="D105" i="46"/>
  <c r="D102" i="46"/>
  <c r="D107" i="46"/>
  <c r="H104" i="46"/>
  <c r="H107" i="46"/>
  <c r="H103" i="46"/>
  <c r="H106" i="46"/>
  <c r="H109" i="46"/>
  <c r="H102" i="46"/>
  <c r="H105" i="46"/>
  <c r="J16" i="15"/>
  <c r="J25" i="15" s="1"/>
  <c r="AB13" i="39"/>
  <c r="T49" i="39" s="1"/>
  <c r="G49" i="39" s="1"/>
  <c r="U13" i="39"/>
  <c r="AA13" i="39"/>
  <c r="R49" i="39" s="1"/>
  <c r="S13" i="39"/>
  <c r="N65" i="40"/>
  <c r="N67" i="40" s="1"/>
  <c r="M67" i="40"/>
  <c r="L51" i="15"/>
  <c r="C40" i="15" l="1"/>
  <c r="B2" i="15" s="1"/>
  <c r="B3" i="15" s="1"/>
  <c r="C8" i="12" s="1"/>
  <c r="J39" i="15"/>
  <c r="J40" i="15" s="1"/>
  <c r="J24" i="44"/>
  <c r="J18" i="44" s="1"/>
  <c r="J27" i="44" s="1"/>
  <c r="C32" i="44"/>
  <c r="C42" i="44" s="1"/>
  <c r="Q71" i="44" s="1"/>
  <c r="Q70" i="44" s="1"/>
  <c r="C10" i="12"/>
  <c r="C6" i="12" s="1"/>
  <c r="C29" i="12" s="1"/>
  <c r="Q68" i="15"/>
  <c r="G53" i="39"/>
  <c r="H53" i="39" s="1"/>
  <c r="G54" i="39"/>
  <c r="H54" i="39" s="1"/>
  <c r="E49" i="39"/>
  <c r="I54" i="39" s="1"/>
  <c r="J54" i="39" s="1"/>
  <c r="R50" i="39"/>
  <c r="C30" i="46"/>
  <c r="E30" i="46" s="1"/>
  <c r="C27" i="46" s="1"/>
  <c r="E29" i="46"/>
  <c r="C26" i="46" s="1"/>
  <c r="B2" i="46" s="1"/>
  <c r="C6" i="59"/>
  <c r="D7" i="59"/>
  <c r="I53" i="39"/>
  <c r="J53" i="39" s="1"/>
  <c r="C115" i="46"/>
  <c r="D113" i="46"/>
  <c r="H9" i="40"/>
  <c r="J9" i="40"/>
  <c r="F9" i="40"/>
  <c r="J42" i="15" l="1"/>
  <c r="J43" i="15" s="1"/>
  <c r="C43" i="15"/>
  <c r="Q57" i="15"/>
  <c r="Q63" i="15" s="1"/>
  <c r="C46" i="15"/>
  <c r="Q66" i="15"/>
  <c r="Q76" i="15" s="1"/>
  <c r="Q48" i="15"/>
  <c r="Q54" i="15" s="1"/>
  <c r="C44" i="44"/>
  <c r="C45" i="44" s="1"/>
  <c r="C24" i="12"/>
  <c r="C35" i="12" s="1"/>
  <c r="C33" i="12" s="1"/>
  <c r="C5" i="59"/>
  <c r="D6" i="59"/>
  <c r="E54" i="39"/>
  <c r="F54" i="39" s="1"/>
  <c r="E53" i="39"/>
  <c r="F53" i="39" s="1"/>
  <c r="D4" i="46"/>
  <c r="B3" i="46"/>
  <c r="B4" i="46"/>
  <c r="C49" i="39"/>
  <c r="C50" i="39"/>
  <c r="M48" i="39" s="1"/>
  <c r="S9" i="40"/>
  <c r="AA9" i="40"/>
  <c r="R44" i="40" s="1"/>
  <c r="AC9" i="40"/>
  <c r="V44" i="40" s="1"/>
  <c r="I44" i="40" s="1"/>
  <c r="I48" i="40" s="1"/>
  <c r="J48" i="40" s="1"/>
  <c r="W9" i="40"/>
  <c r="U9" i="40"/>
  <c r="AB9" i="40"/>
  <c r="T44" i="40" s="1"/>
  <c r="G44" i="40" s="1"/>
  <c r="L52" i="44" l="1"/>
  <c r="B2" i="44"/>
  <c r="C28" i="12"/>
  <c r="C26" i="12" s="1"/>
  <c r="C31" i="12" s="1"/>
  <c r="C30" i="12" s="1"/>
  <c r="C36" i="12" s="1"/>
  <c r="B2" i="12" s="1"/>
  <c r="B62" i="39"/>
  <c r="F62" i="39" s="1"/>
  <c r="B59" i="39"/>
  <c r="F59" i="39" s="1"/>
  <c r="B65" i="39"/>
  <c r="F65" i="39" s="1"/>
  <c r="B61" i="39"/>
  <c r="F61" i="39" s="1"/>
  <c r="B66" i="39"/>
  <c r="F66" i="39" s="1"/>
  <c r="B63" i="39"/>
  <c r="F63" i="39" s="1"/>
  <c r="B67" i="39"/>
  <c r="F67" i="39" s="1"/>
  <c r="B64" i="39"/>
  <c r="F64" i="39" s="1"/>
  <c r="B60" i="39"/>
  <c r="F60" i="39" s="1"/>
  <c r="B58" i="39"/>
  <c r="F58" i="39" s="1"/>
  <c r="T5" i="59"/>
  <c r="M20" i="46"/>
  <c r="D5" i="59"/>
  <c r="G49" i="40"/>
  <c r="H49" i="40" s="1"/>
  <c r="G48" i="40"/>
  <c r="H48" i="40" s="1"/>
  <c r="R45" i="40"/>
  <c r="E44" i="40"/>
  <c r="F68" i="39" l="1"/>
  <c r="B2" i="39" s="1"/>
  <c r="B3" i="44"/>
  <c r="B5" i="44"/>
  <c r="B4" i="44"/>
  <c r="L58" i="44"/>
  <c r="L61" i="44" s="1"/>
  <c r="Q69" i="44"/>
  <c r="B5" i="39"/>
  <c r="C45" i="40"/>
  <c r="C44" i="40"/>
  <c r="I49" i="40"/>
  <c r="J49" i="40" s="1"/>
  <c r="E48" i="40"/>
  <c r="F48" i="40" s="1"/>
  <c r="E49" i="40"/>
  <c r="F49" i="40" s="1"/>
  <c r="D19" i="9"/>
  <c r="B4" i="12"/>
  <c r="B5" i="12"/>
  <c r="B3" i="12"/>
  <c r="C21" i="9"/>
  <c r="C19" i="9"/>
  <c r="L44" i="9" l="1"/>
  <c r="B4" i="39"/>
  <c r="B3" i="39"/>
  <c r="D22" i="9"/>
  <c r="L43" i="9"/>
  <c r="G19" i="9"/>
  <c r="G22" i="9" s="1"/>
  <c r="Q68" i="44"/>
  <c r="Q77" i="44" s="1"/>
  <c r="Q59" i="44"/>
  <c r="Q64" i="44" s="1"/>
  <c r="B57" i="40"/>
  <c r="F57" i="40" s="1"/>
  <c r="B61" i="40"/>
  <c r="F61" i="40" s="1"/>
  <c r="F63" i="40"/>
  <c r="B2" i="40" s="1"/>
  <c r="B55" i="40"/>
  <c r="F55" i="40" s="1"/>
  <c r="B56" i="40"/>
  <c r="F56" i="40" s="1"/>
  <c r="B59" i="40"/>
  <c r="F59" i="40" s="1"/>
  <c r="B53" i="40"/>
  <c r="F53" i="40" s="1"/>
  <c r="B60" i="40"/>
  <c r="F60" i="40" s="1"/>
  <c r="B54" i="40"/>
  <c r="F54" i="40" s="1"/>
  <c r="B62" i="40"/>
  <c r="F62" i="40" s="1"/>
  <c r="B58" i="40"/>
  <c r="F58" i="40" s="1"/>
  <c r="D20" i="9"/>
  <c r="C20" i="9"/>
  <c r="D21" i="9"/>
  <c r="N43" i="9" l="1"/>
  <c r="G21" i="9"/>
  <c r="G20" i="9"/>
  <c r="C32" i="9"/>
  <c r="C42" i="9" s="1"/>
  <c r="B5" i="40"/>
  <c r="B4" i="40"/>
  <c r="B3" i="40"/>
  <c r="O43" i="9" l="1"/>
  <c r="O38" i="9"/>
  <c r="C34" i="9"/>
  <c r="M38" i="9" s="1"/>
  <c r="K27" i="9" s="1"/>
  <c r="C35" i="9"/>
  <c r="F42" i="9" s="1"/>
  <c r="C33" i="9"/>
  <c r="N38" i="9" s="1"/>
  <c r="K28" i="9" s="1"/>
  <c r="C44" i="9"/>
  <c r="R5" i="54"/>
  <c r="B48" i="63" s="1"/>
  <c r="D63" i="9"/>
  <c r="D14" i="66"/>
  <c r="N68" i="9"/>
  <c r="K26" i="9" l="1"/>
  <c r="N44" i="39"/>
  <c r="N48" i="39" s="1"/>
  <c r="K25" i="9"/>
  <c r="E42" i="9"/>
  <c r="P5" i="54" s="1"/>
  <c r="B46" i="63" s="1"/>
  <c r="D42" i="9"/>
  <c r="Q5" i="54" s="1"/>
  <c r="B47" i="63" s="1"/>
  <c r="G14" i="66"/>
  <c r="B6" i="66" s="1"/>
  <c r="O39" i="9"/>
  <c r="F44" i="9"/>
  <c r="N69" i="9"/>
  <c r="D44" i="9"/>
  <c r="E44" i="9"/>
  <c r="E14" i="66"/>
  <c r="B5" i="66"/>
  <c r="F14" i="66"/>
  <c r="D73" i="9"/>
  <c r="N73" i="9" s="1"/>
  <c r="C111" i="9"/>
  <c r="C104" i="9" s="1"/>
  <c r="C82" i="9"/>
  <c r="C81" i="9" s="1"/>
  <c r="C85" i="9" s="1"/>
  <c r="C86" i="9" s="1"/>
  <c r="D72" i="9" s="1"/>
  <c r="D70" i="9"/>
  <c r="D71" i="9"/>
  <c r="D66" i="9" s="1"/>
  <c r="N72" i="9" s="1"/>
  <c r="C96" i="9"/>
  <c r="C91" i="9" s="1"/>
  <c r="C103" i="9"/>
  <c r="C90" i="9"/>
  <c r="C97" i="9" l="1"/>
  <c r="C98" i="9" s="1"/>
  <c r="E98" i="9" s="1"/>
  <c r="E99" i="9" s="1"/>
  <c r="C6" i="66"/>
  <c r="D6" i="66"/>
  <c r="C113" i="9"/>
  <c r="D5" i="66"/>
  <c r="C5" i="66"/>
  <c r="M84" i="9"/>
  <c r="N84" i="9" s="1"/>
  <c r="M87" i="9"/>
  <c r="N87" i="9" s="1"/>
  <c r="M83" i="9"/>
  <c r="N83" i="9" s="1"/>
  <c r="M86" i="9"/>
  <c r="N86" i="9" s="1"/>
  <c r="M88" i="9"/>
  <c r="N88" i="9" s="1"/>
  <c r="M85" i="9"/>
  <c r="N85" i="9" s="1"/>
  <c r="R6" i="54"/>
  <c r="B50" i="63" s="1"/>
  <c r="K29" i="9"/>
  <c r="K30" i="9" s="1"/>
  <c r="N89" i="9" l="1"/>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<sst xmlns="http://schemas.openxmlformats.org/spreadsheetml/2006/main" count="7244" uniqueCount="3276">
  <si>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</si>
  <si>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</si>
  <si>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</si>
  <si>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</si>
  <si>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</si>
  <si>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</si>
  <si>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</si>
  <si>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</si>
  <si>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</si>
  <si>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</si>
  <si>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</si>
  <si>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</si>
  <si>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</si>
  <si>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</si>
  <si>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</si>
  <si>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</si>
  <si>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</si>
  <si>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</si>
  <si>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</si>
  <si>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</si>
  <si>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</si>
  <si>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</si>
  <si>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</si>
  <si>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</si>
  <si>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</si>
  <si>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</si>
  <si>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</si>
  <si>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</si>
  <si>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</si>
  <si>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</si>
  <si>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</si>
  <si>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</si>
  <si>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</si>
  <si>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</si>
  <si>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</si>
  <si>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</si>
  <si>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</si>
  <si>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</si>
  <si>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</si>
  <si>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</si>
  <si>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</si>
  <si>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</si>
  <si>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</si>
  <si>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</si>
  <si>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</si>
  <si>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</si>
  <si>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</si>
  <si>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</si>
  <si>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</si>
  <si>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</si>
  <si>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</si>
  <si>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</si>
  <si>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</si>
  <si>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</si>
  <si>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</si>
  <si>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</si>
  <si>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</si>
  <si>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</si>
  <si>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</si>
  <si>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</si>
  <si>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</si>
  <si>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</si>
  <si>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</si>
  <si>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</si>
  <si>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</si>
  <si>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</si>
  <si>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</si>
  <si>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</si>
  <si>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</si>
  <si>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</si>
  <si>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</si>
  <si>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</si>
  <si>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</si>
  <si>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</si>
  <si>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</si>
  <si>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</si>
  <si>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</si>
  <si>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</si>
  <si>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</si>
  <si>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</si>
  <si>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</si>
  <si>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</si>
  <si>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</si>
  <si>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</si>
  <si>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</si>
  <si>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</si>
  <si>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</si>
  <si>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</si>
  <si>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</si>
  <si>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</si>
  <si>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</si>
  <si>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</si>
  <si>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</si>
  <si>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</si>
  <si>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</si>
  <si>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</si>
  <si>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</si>
  <si>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</si>
  <si>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</si>
  <si>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</si>
  <si>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</si>
  <si>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</si>
  <si>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</si>
  <si>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</si>
  <si>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</si>
  <si>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</si>
  <si>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</si>
  <si>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</si>
  <si>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</si>
  <si>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</si>
  <si>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</si>
  <si>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</si>
  <si>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</si>
  <si>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</si>
  <si>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</si>
  <si>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</si>
  <si>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</si>
  <si>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</si>
  <si>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</si>
  <si>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</si>
  <si>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</si>
  <si>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</si>
  <si>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</si>
  <si>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</si>
  <si>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</si>
  <si>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</si>
  <si>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</si>
  <si>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</si>
  <si>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</si>
  <si>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</si>
  <si>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</si>
  <si>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</si>
  <si>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</si>
  <si>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</si>
  <si>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</si>
  <si>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</si>
  <si>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</si>
  <si>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</si>
  <si>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</si>
  <si>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</si>
  <si>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</si>
  <si>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</si>
  <si>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</si>
  <si>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</si>
  <si>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</si>
  <si>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</si>
  <si>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</si>
  <si>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</si>
  <si>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</si>
  <si>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</si>
  <si>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</si>
  <si>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</si>
  <si>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</si>
  <si>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</si>
  <si>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</si>
  <si>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</si>
  <si>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</si>
  <si>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</si>
  <si>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</si>
  <si>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</si>
  <si>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</si>
  <si>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</si>
  <si>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</si>
  <si>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</si>
  <si>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</si>
  <si>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</si>
  <si>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</si>
  <si>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</si>
  <si>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</si>
  <si>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</si>
  <si>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</si>
  <si>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</si>
  <si>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</si>
  <si>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</si>
  <si>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</si>
  <si>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</si>
  <si>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</si>
  <si>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</si>
  <si>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</si>
  <si>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</si>
  <si>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</si>
  <si>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</si>
  <si>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</si>
  <si>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</si>
  <si>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</si>
  <si>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</si>
  <si>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</si>
  <si>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</si>
  <si>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</si>
  <si>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</si>
  <si>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</si>
  <si>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</si>
  <si>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</si>
  <si>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</si>
  <si>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</si>
  <si>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</si>
  <si>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</si>
  <si>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</si>
  <si>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</si>
  <si>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</si>
  <si>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</si>
  <si>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</si>
  <si>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</si>
  <si>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</si>
  <si>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</si>
  <si>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</si>
  <si>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</si>
  <si>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</si>
  <si>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</si>
  <si>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</si>
  <si>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</si>
  <si>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</si>
  <si>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</si>
  <si>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</si>
  <si>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</si>
  <si>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</si>
  <si>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</si>
  <si>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</si>
  <si>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</si>
  <si>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</si>
  <si>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</si>
  <si>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</si>
  <si>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</si>
  <si>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</si>
  <si>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</si>
  <si>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</si>
  <si>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</si>
  <si>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</si>
  <si>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</si>
  <si>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</si>
  <si>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</si>
  <si>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</si>
  <si>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</si>
  <si>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</si>
  <si>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</si>
  <si>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</si>
  <si>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</si>
  <si>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</si>
  <si>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</si>
  <si>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</si>
  <si>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</si>
  <si>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</si>
  <si>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</si>
  <si>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</si>
  <si>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</si>
  <si>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</si>
  <si>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</si>
  <si>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</si>
  <si>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</si>
  <si>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</si>
  <si>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</si>
  <si>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</si>
  <si>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</si>
  <si>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</si>
  <si>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</si>
  <si>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</si>
  <si>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</si>
  <si>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</si>
  <si>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</si>
  <si>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</si>
  <si>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</si>
  <si>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</si>
  <si>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</si>
  <si>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</si>
  <si>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</si>
  <si>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</si>
  <si>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</si>
  <si>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</si>
  <si>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</si>
  <si>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</si>
  <si>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</si>
  <si>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</si>
  <si>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</si>
  <si>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</si>
  <si>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</si>
  <si>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</si>
  <si>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</si>
  <si>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</si>
  <si>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</si>
  <si>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</si>
  <si>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</si>
  <si>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</si>
  <si>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</si>
  <si>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</si>
  <si>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</si>
  <si>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</si>
  <si>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</si>
  <si>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</si>
  <si>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</si>
  <si>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</si>
  <si>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</si>
  <si>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</si>
  <si>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</si>
  <si>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</si>
  <si>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</si>
  <si>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</si>
  <si>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</si>
  <si>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</si>
  <si>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</si>
  <si>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</si>
  <si>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</si>
  <si>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</si>
  <si>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</si>
  <si>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</si>
  <si>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</si>
  <si>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</si>
  <si>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</si>
  <si>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</si>
  <si>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</si>
  <si>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</si>
  <si>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</si>
  <si>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</si>
  <si>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</si>
  <si>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</si>
  <si>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</si>
  <si>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</si>
  <si>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</si>
  <si>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</si>
  <si>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</si>
  <si>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</si>
  <si>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</si>
  <si>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</si>
  <si>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</si>
  <si>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</si>
  <si>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</si>
  <si>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</si>
  <si>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</si>
  <si>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</si>
  <si>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</si>
  <si>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</si>
  <si>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</si>
  <si>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</si>
  <si>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</si>
  <si>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</si>
  <si>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</si>
  <si>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</si>
  <si>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</si>
  <si>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</si>
  <si>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</si>
  <si>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</si>
  <si>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</si>
  <si>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</si>
  <si>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</si>
  <si>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</si>
  <si>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</si>
  <si>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</si>
  <si>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</si>
  <si>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</si>
  <si>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</si>
  <si>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</si>
  <si>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</si>
  <si>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</si>
  <si>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</si>
  <si>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</si>
  <si>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</si>
  <si>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</si>
  <si>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</si>
  <si>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</si>
  <si>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</si>
  <si>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</si>
  <si>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</si>
  <si>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</si>
  <si>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</si>
  <si>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</si>
  <si>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</si>
  <si>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</si>
  <si>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</si>
  <si>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</si>
  <si>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</si>
  <si>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</si>
  <si>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</si>
  <si>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</si>
  <si>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</si>
  <si>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</si>
  <si>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</si>
  <si>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</si>
  <si>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</si>
  <si>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</si>
  <si>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</si>
  <si>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</si>
  <si>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</si>
  <si>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</si>
  <si>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</si>
  <si>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</si>
  <si>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</si>
  <si>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</si>
  <si>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</si>
  <si>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</si>
  <si>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</si>
  <si>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</si>
  <si>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</si>
  <si>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</si>
  <si>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</si>
  <si>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</si>
  <si>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</si>
  <si>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</si>
  <si>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</si>
  <si>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</si>
  <si>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</si>
  <si>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</si>
  <si>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</si>
  <si>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</si>
  <si>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</si>
  <si>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</si>
  <si>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</si>
  <si>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</si>
  <si>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</si>
  <si>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</si>
  <si>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</si>
  <si>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</si>
  <si>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</si>
  <si>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</si>
  <si>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</si>
  <si>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</si>
  <si>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</si>
  <si>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</si>
  <si>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</si>
  <si>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</si>
  <si>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</si>
  <si>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</si>
  <si>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</si>
  <si>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</si>
  <si>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</si>
  <si>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</si>
  <si>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</si>
  <si>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</si>
  <si>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</si>
  <si>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</si>
  <si>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</si>
  <si>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</si>
  <si>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</si>
  <si>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</si>
  <si>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</si>
  <si>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</si>
  <si>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</si>
  <si>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</si>
  <si>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</si>
  <si>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</si>
  <si>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</si>
  <si>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</si>
  <si>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</si>
  <si>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</si>
  <si>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</si>
  <si>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</si>
  <si>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</si>
  <si>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</si>
  <si>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</si>
  <si>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</si>
  <si>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</si>
  <si>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</si>
  <si>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</si>
  <si>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</si>
  <si>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</si>
  <si>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</si>
  <si>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</si>
  <si>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</si>
  <si>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</si>
  <si>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</si>
  <si>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</si>
  <si>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</si>
  <si>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</si>
  <si>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</si>
  <si>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</si>
  <si>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</si>
  <si>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</si>
  <si>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</si>
  <si>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</si>
  <si>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</si>
  <si>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</si>
  <si>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</si>
  <si>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</si>
  <si>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</si>
  <si>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</si>
  <si>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</si>
  <si>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</si>
  <si>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</si>
  <si>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</si>
  <si>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</si>
  <si>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</si>
  <si>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</si>
  <si>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</si>
  <si>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</si>
  <si>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</si>
  <si>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</si>
  <si>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</si>
  <si>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</si>
  <si>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</si>
  <si>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</si>
  <si>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</si>
  <si>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</si>
  <si>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</si>
  <si>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</si>
  <si>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</si>
  <si>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</si>
  <si>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</si>
  <si>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</si>
  <si>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</si>
  <si>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</si>
  <si>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</si>
  <si>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</si>
  <si>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</si>
  <si>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</si>
  <si>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</si>
  <si>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</si>
  <si>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</si>
  <si>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</si>
  <si>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</si>
  <si>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</si>
  <si>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</si>
  <si>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</si>
  <si>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</si>
  <si>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</si>
  <si>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</si>
  <si>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</si>
  <si>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</si>
  <si>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</si>
  <si>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</si>
  <si>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</si>
  <si>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</si>
  <si>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</si>
  <si>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</si>
  <si>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</si>
  <si>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</si>
  <si>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</si>
  <si>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</si>
  <si>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</si>
  <si>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</si>
  <si>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</si>
  <si>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</si>
  <si>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</si>
  <si>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</si>
  <si>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</si>
  <si>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</si>
  <si>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</si>
  <si>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</si>
  <si>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</si>
  <si>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</si>
  <si>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</si>
  <si>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</si>
  <si>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</si>
  <si>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</si>
  <si>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</si>
  <si>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</si>
  <si>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</si>
  <si>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</si>
  <si>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</si>
  <si>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</si>
  <si>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</si>
  <si>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</si>
  <si>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</si>
  <si>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</si>
  <si>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</si>
  <si>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</si>
  <si>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</si>
  <si>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</si>
  <si>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</si>
  <si>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</si>
  <si>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</si>
  <si>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</si>
  <si>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</si>
  <si>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</si>
  <si>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</si>
  <si>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</si>
  <si>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</si>
  <si>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</si>
  <si>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</si>
  <si>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</si>
  <si>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</si>
  <si>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</si>
  <si>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</si>
  <si>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</si>
  <si>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</si>
  <si>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</si>
  <si>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</si>
  <si>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</si>
  <si>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</si>
  <si>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</si>
  <si>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</si>
  <si>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</si>
  <si>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</si>
  <si>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</si>
  <si>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</si>
  <si>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</si>
  <si>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</si>
  <si>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</si>
  <si>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</si>
  <si>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</si>
  <si>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</si>
  <si>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</si>
  <si>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</si>
  <si>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</si>
  <si>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</si>
  <si>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</si>
  <si>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</si>
  <si>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</si>
  <si>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</si>
  <si>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</si>
  <si>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</si>
  <si>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</si>
  <si>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</si>
  <si>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</si>
  <si>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</si>
  <si>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</si>
  <si>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</si>
  <si>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</si>
  <si>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</si>
  <si>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</si>
  <si>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</si>
  <si>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</si>
  <si>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</si>
  <si>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</si>
  <si>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</si>
  <si>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</si>
  <si>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</si>
  <si>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</si>
  <si>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</si>
  <si>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</si>
  <si>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</si>
  <si>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</si>
  <si>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</si>
  <si>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</si>
  <si>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</si>
  <si>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</si>
  <si>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</si>
  <si>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</si>
  <si>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</si>
  <si>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</si>
  <si>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</si>
  <si>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</si>
  <si>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</si>
  <si>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</si>
  <si>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</si>
  <si>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</si>
  <si>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</si>
  <si>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</si>
  <si>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</si>
  <si>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</si>
  <si>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</si>
  <si>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</si>
  <si>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</si>
  <si>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</si>
  <si>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</si>
  <si>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</si>
  <si>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</si>
  <si>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</si>
  <si>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</si>
  <si>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</si>
  <si>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</si>
  <si>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</si>
  <si>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</si>
  <si>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</si>
  <si>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</si>
  <si>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</si>
  <si>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</si>
  <si>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</si>
  <si>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</si>
  <si>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</si>
  <si>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</si>
  <si>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</si>
  <si>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</si>
  <si>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</si>
  <si>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</si>
  <si>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</si>
  <si>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</si>
  <si>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</si>
  <si>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</si>
  <si>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</si>
  <si>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</si>
  <si>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</si>
  <si>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</si>
  <si>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</si>
  <si>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</si>
  <si>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</si>
  <si>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</si>
  <si>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</si>
  <si>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</si>
  <si>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</si>
  <si>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</si>
  <si>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</si>
  <si>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</si>
  <si>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</si>
  <si>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</si>
  <si>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</si>
  <si>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</si>
  <si>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</si>
  <si>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</si>
  <si>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</si>
  <si>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</si>
  <si>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</si>
  <si>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</si>
  <si>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</si>
  <si>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</si>
  <si>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</si>
  <si>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</si>
  <si>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</si>
  <si>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</si>
  <si>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</si>
  <si>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</si>
  <si>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</si>
  <si>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</si>
  <si>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</si>
  <si>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</si>
  <si>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</si>
  <si>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</si>
  <si>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</si>
  <si>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</si>
  <si>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</si>
  <si>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</si>
  <si>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</si>
  <si>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</si>
  <si>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</si>
  <si>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</si>
  <si>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</si>
  <si>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</si>
  <si>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</si>
  <si>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</si>
  <si>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</si>
  <si>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</si>
  <si>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</si>
  <si>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</si>
  <si>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</si>
  <si>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</si>
  <si>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</si>
  <si>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</si>
  <si>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</si>
  <si>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</si>
  <si>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</si>
  <si>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</si>
  <si>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</si>
  <si>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</si>
  <si>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</si>
  <si>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</si>
  <si>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</si>
  <si>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</si>
  <si>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</si>
  <si>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</si>
  <si>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</si>
  <si>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</si>
  <si>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</si>
  <si>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</si>
  <si>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</si>
  <si>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</si>
  <si>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</si>
  <si>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</si>
  <si>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</si>
  <si>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</si>
  <si>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</si>
  <si>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</si>
  <si>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</si>
  <si>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</si>
  <si>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</si>
  <si>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</si>
  <si>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</si>
  <si>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</si>
  <si>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</si>
  <si>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</si>
  <si>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</si>
  <si>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</si>
  <si>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</si>
  <si>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</si>
  <si>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</si>
  <si>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</si>
  <si>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</si>
  <si>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</si>
  <si>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</si>
  <si>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</si>
  <si>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</si>
  <si>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</si>
  <si>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</si>
  <si>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</si>
  <si>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</si>
  <si>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</si>
  <si>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</si>
  <si>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</si>
  <si>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</si>
  <si>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</si>
  <si>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</si>
  <si>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</si>
  <si>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</si>
  <si>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</si>
  <si>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</si>
  <si>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</si>
  <si>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</si>
  <si>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</si>
  <si>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</si>
  <si>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</si>
  <si>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</si>
  <si>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</si>
  <si>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</si>
  <si>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</si>
  <si>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</si>
  <si>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</si>
  <si>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</si>
  <si>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</si>
  <si>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</si>
  <si>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</si>
  <si>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</si>
  <si>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</si>
  <si>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</si>
  <si>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</si>
  <si>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</si>
  <si>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</si>
  <si>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</si>
  <si>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</si>
  <si>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</si>
  <si>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</si>
  <si>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</si>
  <si>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</si>
  <si>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</si>
  <si>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</si>
  <si>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</si>
  <si>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</si>
  <si>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</si>
  <si>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</si>
  <si>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</si>
  <si>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</si>
  <si>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</si>
  <si>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</si>
  <si>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</si>
  <si>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</si>
  <si>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</si>
  <si>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</si>
  <si>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</si>
  <si>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</si>
  <si>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</si>
  <si>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</si>
  <si>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</si>
  <si>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</si>
  <si>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</si>
  <si>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</si>
  <si>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</si>
  <si>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</si>
  <si>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</si>
  <si>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</si>
  <si>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</si>
  <si>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</si>
  <si>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</si>
  <si>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</si>
  <si>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</si>
  <si>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</si>
  <si>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</si>
  <si>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</si>
  <si>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</si>
  <si>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</si>
  <si>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</si>
  <si>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</si>
  <si>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</si>
  <si>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</si>
  <si>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</si>
  <si>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</si>
  <si>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</si>
  <si>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</si>
  <si>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</si>
  <si>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</si>
  <si>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</si>
  <si>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</si>
  <si>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</si>
  <si>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</si>
  <si>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</si>
  <si>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</si>
  <si>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</si>
  <si>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</si>
  <si>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</si>
  <si>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</si>
  <si>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</si>
  <si>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</si>
  <si>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</si>
  <si>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</si>
  <si>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</si>
  <si>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</si>
  <si>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</si>
  <si>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</si>
  <si>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</si>
  <si>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</si>
  <si>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</si>
  <si>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</si>
  <si>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</si>
  <si>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</si>
  <si>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</si>
  <si>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</si>
  <si>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</si>
  <si>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</si>
  <si>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</si>
  <si>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</si>
  <si>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</si>
  <si>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</si>
  <si>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</si>
  <si>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</si>
  <si>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</si>
  <si>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</si>
  <si>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</si>
  <si>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</si>
  <si>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</si>
  <si>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</si>
  <si>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</si>
  <si>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</si>
  <si>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</si>
  <si>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</si>
  <si>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</si>
  <si>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</si>
  <si>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</si>
  <si>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</si>
  <si>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</si>
  <si>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</si>
  <si>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</si>
  <si>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</si>
  <si>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</si>
  <si>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</si>
  <si>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</si>
  <si>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</si>
  <si>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</si>
  <si>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</si>
  <si>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</si>
  <si>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</si>
  <si>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</si>
  <si>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</si>
  <si>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</si>
  <si>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</si>
  <si>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</si>
  <si>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</si>
  <si>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</si>
  <si>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</si>
  <si>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</si>
  <si>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</si>
  <si>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</si>
  <si>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</si>
  <si>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</si>
  <si>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</si>
  <si>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</si>
  <si>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</si>
  <si>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</si>
  <si>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</si>
  <si>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</si>
  <si>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</si>
  <si>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</si>
  <si>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</si>
  <si>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</si>
  <si>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</si>
  <si>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</si>
  <si>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</si>
  <si>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</si>
  <si>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</si>
  <si>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</si>
  <si>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</si>
  <si>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</si>
  <si>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</si>
  <si>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</si>
  <si>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</si>
  <si>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</si>
  <si>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</si>
  <si>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</si>
  <si>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</si>
  <si>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</si>
  <si>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</si>
  <si>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</si>
  <si>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</si>
  <si>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</si>
  <si>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</si>
  <si>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</si>
  <si>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</si>
  <si>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</si>
  <si>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</si>
  <si>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</si>
  <si>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</si>
  <si>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</si>
  <si>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</si>
  <si>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</si>
  <si>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</si>
  <si>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</si>
  <si>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</si>
  <si>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</si>
  <si>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</si>
  <si>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</si>
  <si>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</si>
  <si>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</si>
  <si>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</si>
  <si>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</si>
  <si>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</si>
  <si>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</si>
  <si>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</si>
  <si>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</si>
  <si>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</si>
  <si>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</si>
  <si>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</si>
  <si>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</si>
  <si>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</si>
  <si>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</si>
  <si>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</si>
  <si>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</si>
  <si>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</si>
  <si>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</si>
  <si>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</si>
  <si>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</si>
  <si>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</si>
  <si>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</si>
  <si>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</si>
  <si>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</si>
  <si>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</si>
  <si>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</si>
  <si>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</si>
  <si>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</si>
  <si>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</si>
  <si>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</si>
  <si>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</si>
  <si>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</si>
  <si>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</si>
  <si>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</si>
  <si>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</si>
  <si>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</si>
  <si>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</si>
  <si>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</si>
  <si>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</si>
  <si>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</si>
  <si>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</si>
  <si>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</si>
  <si>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</si>
  <si>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</si>
  <si>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</si>
  <si>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</si>
  <si>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</si>
  <si>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</si>
  <si>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</si>
  <si>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</si>
  <si>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</si>
  <si>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</si>
  <si>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</si>
  <si>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</si>
  <si>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</si>
  <si>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</si>
  <si>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</si>
  <si>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</si>
  <si>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</si>
  <si>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</si>
  <si>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</si>
  <si>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</si>
  <si>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</si>
  <si>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</si>
  <si>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</si>
  <si>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</si>
  <si>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</si>
  <si>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</si>
  <si>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</si>
  <si>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</si>
  <si>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</si>
  <si>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</si>
  <si>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</si>
  <si>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</si>
  <si>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</si>
  <si>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</si>
  <si>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</si>
  <si>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</si>
  <si>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</si>
  <si>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</si>
  <si>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</si>
  <si>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</si>
  <si>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</si>
  <si>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</si>
  <si>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</si>
  <si>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</si>
  <si>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</si>
  <si>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</si>
  <si>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</si>
  <si>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</si>
  <si>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</si>
  <si>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</si>
  <si>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</si>
  <si>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</si>
  <si>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</si>
  <si>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</si>
  <si>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</si>
  <si>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</si>
  <si>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</si>
  <si>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</si>
  <si>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</si>
  <si>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</si>
  <si>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</si>
  <si>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</si>
  <si>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</si>
  <si>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</si>
  <si>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</si>
  <si>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</si>
  <si>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</si>
  <si>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</si>
  <si>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</si>
  <si>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</si>
  <si>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</si>
  <si>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</si>
  <si>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</si>
  <si>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</si>
  <si>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</si>
  <si>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</si>
  <si>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</si>
  <si>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</si>
  <si>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</si>
  <si>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</si>
  <si>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</si>
  <si>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</si>
  <si>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</si>
  <si>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</si>
  <si>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</si>
  <si>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</si>
  <si>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</si>
  <si>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</si>
  <si>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</si>
  <si>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</si>
  <si>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</si>
  <si>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</si>
  <si>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</si>
  <si>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</si>
  <si>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</si>
  <si>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</si>
  <si>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</si>
  <si>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</si>
  <si>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</si>
  <si>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</si>
  <si>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</si>
  <si>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</si>
  <si>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</si>
  <si>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</si>
  <si>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</si>
  <si>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</si>
  <si>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</si>
  <si>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</si>
  <si>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</si>
  <si>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</si>
  <si>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</si>
  <si>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</si>
  <si>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</si>
  <si>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</si>
  <si>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</si>
  <si>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</si>
  <si>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</si>
  <si>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</si>
  <si>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</si>
  <si>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</si>
  <si>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</si>
  <si>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</si>
  <si>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</si>
  <si>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</si>
  <si>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</si>
  <si>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</si>
  <si>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</si>
  <si>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</si>
  <si>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</si>
  <si>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</si>
  <si>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</si>
  <si>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</si>
  <si>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</si>
  <si>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</si>
  <si>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</si>
  <si>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</si>
  <si>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</si>
  <si>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</si>
  <si>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</si>
  <si>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</si>
  <si>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</si>
  <si>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</si>
  <si>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</si>
  <si>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</si>
  <si>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</si>
  <si>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</si>
  <si>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</si>
  <si>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</si>
  <si>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</si>
  <si>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</si>
  <si>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</si>
  <si>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</si>
  <si>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</si>
  <si>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</si>
  <si>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</si>
  <si>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</si>
  <si>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</si>
  <si>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</si>
  <si>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</si>
  <si>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</si>
  <si>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</si>
  <si>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</si>
  <si>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</si>
  <si>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</si>
  <si>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</si>
  <si>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</si>
  <si>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</si>
  <si>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</si>
  <si>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</si>
  <si>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</si>
  <si>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</si>
  <si>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</si>
  <si>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</si>
  <si>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</si>
  <si>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</si>
  <si>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</si>
  <si>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</si>
  <si>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</si>
  <si>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</si>
  <si>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</si>
  <si>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</si>
  <si>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</si>
  <si>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</si>
  <si>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</si>
  <si>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</si>
  <si>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</si>
  <si>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</si>
  <si>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</si>
  <si>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</si>
  <si>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</si>
  <si>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</si>
  <si>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</si>
  <si>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</si>
  <si>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</si>
  <si>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</si>
  <si>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</si>
  <si>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</si>
  <si>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</si>
  <si>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</si>
  <si>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</si>
  <si>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</si>
  <si>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</si>
  <si>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</si>
  <si>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</si>
  <si>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</si>
  <si>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</si>
  <si>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</si>
  <si>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</si>
  <si>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</si>
  <si>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</si>
  <si>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</si>
  <si>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</si>
  <si>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</si>
  <si>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</si>
  <si>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</si>
  <si>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</si>
  <si>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</si>
  <si>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</si>
  <si>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</si>
  <si>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</si>
  <si>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</si>
  <si>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</si>
  <si>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</si>
  <si>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</si>
  <si>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</si>
  <si>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</si>
  <si>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</si>
  <si>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</si>
  <si>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</si>
  <si>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</si>
  <si>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</si>
  <si>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</si>
  <si>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</si>
  <si>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</si>
  <si>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</si>
  <si>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</si>
  <si>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</si>
  <si>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</si>
  <si>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</si>
  <si>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</si>
  <si>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</si>
  <si>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</si>
  <si>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</si>
  <si>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</si>
  <si>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</si>
  <si>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</si>
  <si>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</si>
  <si>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</si>
  <si>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</si>
  <si>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</si>
  <si>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</si>
  <si>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</si>
  <si>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</si>
  <si>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</si>
  <si>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</si>
  <si>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</si>
  <si>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</si>
  <si>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</si>
  <si>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</si>
  <si>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</si>
  <si>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</si>
  <si>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</si>
  <si>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</si>
  <si>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</si>
  <si>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</si>
  <si>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</si>
  <si>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</si>
  <si>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</si>
  <si>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</si>
  <si>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</si>
  <si>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</si>
  <si>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</si>
  <si>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</si>
  <si>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</si>
  <si>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</si>
  <si>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</si>
  <si>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</si>
  <si>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</si>
  <si>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</si>
  <si>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</si>
  <si>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</si>
  <si>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</si>
  <si>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</si>
  <si>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</si>
  <si>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</si>
  <si>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</si>
  <si>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</si>
  <si>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</si>
  <si>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</si>
  <si>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</si>
  <si>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</si>
  <si>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</si>
  <si>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</si>
  <si>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</si>
  <si>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</si>
  <si>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</si>
  <si>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</si>
  <si>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</si>
  <si>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</si>
  <si>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</si>
  <si>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</si>
  <si>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</si>
  <si>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</si>
  <si>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</si>
  <si>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</si>
  <si>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</si>
  <si>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</si>
  <si>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</si>
  <si>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</si>
  <si>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</si>
  <si>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</si>
  <si>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</si>
  <si>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</si>
  <si>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</si>
  <si>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</si>
  <si>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</si>
  <si>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</si>
  <si>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</si>
  <si>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</si>
  <si>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</si>
  <si>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</si>
  <si>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</si>
  <si>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</si>
  <si>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</si>
  <si>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</si>
  <si>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</si>
  <si>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</si>
  <si>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</si>
  <si>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</si>
  <si>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</si>
  <si>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</si>
  <si>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</si>
  <si>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</si>
  <si>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</si>
  <si>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</si>
  <si>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</si>
  <si>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</si>
  <si>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</si>
  <si>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</si>
  <si>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</si>
  <si>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</si>
  <si>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</si>
  <si>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</si>
  <si>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</si>
  <si>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</si>
  <si>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</si>
  <si>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</si>
  <si>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</si>
  <si>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</si>
  <si>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</si>
  <si>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</si>
  <si>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</si>
  <si>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</si>
  <si>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</si>
  <si>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</si>
  <si>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</si>
  <si>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</si>
  <si>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</si>
  <si>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</si>
  <si>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</si>
  <si>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</si>
  <si>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</si>
  <si>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</si>
  <si>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</si>
  <si>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</si>
  <si>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</si>
  <si>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</si>
  <si>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</si>
  <si>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</si>
  <si>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</si>
  <si>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</si>
  <si>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</si>
  <si>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</si>
  <si>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</si>
  <si>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</si>
  <si>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</si>
  <si>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</si>
  <si>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</si>
  <si>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</si>
  <si>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</si>
  <si>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</si>
  <si>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</si>
  <si>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</si>
  <si>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</si>
  <si>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</si>
  <si>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</si>
  <si>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</si>
  <si>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</si>
  <si>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</si>
  <si>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</si>
  <si>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</si>
  <si>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</si>
  <si>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</si>
  <si>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</si>
  <si>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</si>
  <si>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</si>
  <si>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</si>
  <si>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</si>
  <si>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</si>
  <si>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</si>
  <si>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</si>
  <si>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</si>
  <si>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</si>
  <si>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</si>
  <si>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</si>
  <si>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</si>
  <si>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</si>
  <si>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</si>
  <si>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</si>
  <si>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</si>
  <si>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</si>
  <si>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</si>
  <si>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</si>
  <si>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</si>
  <si>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</si>
  <si>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</si>
  <si>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</si>
  <si>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</si>
  <si>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</si>
  <si>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</si>
  <si>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</si>
  <si>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</si>
  <si>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</si>
  <si>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</si>
  <si>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</si>
  <si>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</si>
  <si>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</si>
  <si>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</si>
  <si>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</si>
  <si>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</si>
  <si>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</si>
  <si>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</si>
  <si>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</si>
  <si>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</si>
  <si>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</si>
  <si>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</si>
  <si>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</si>
  <si>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</si>
  <si>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</si>
  <si>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</si>
  <si>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</si>
  <si>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</si>
  <si>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</si>
  <si>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</si>
  <si>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</si>
  <si>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</si>
  <si>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</si>
  <si>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</si>
  <si>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</si>
  <si>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</si>
  <si>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</si>
  <si>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</si>
  <si>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</si>
  <si>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</si>
  <si>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</si>
  <si>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</si>
  <si>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</si>
  <si>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</si>
  <si>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</si>
  <si>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</si>
  <si>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</si>
  <si>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</si>
  <si>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</si>
  <si>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</si>
  <si>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</si>
  <si>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</si>
  <si>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</si>
  <si>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</si>
  <si>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</si>
  <si>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</si>
  <si>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</si>
  <si>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</si>
  <si>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</si>
  <si>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</si>
  <si>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</si>
  <si>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</si>
  <si>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</si>
  <si>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</si>
  <si>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</si>
  <si>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</si>
  <si>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</si>
  <si>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</si>
  <si>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</si>
  <si>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</si>
  <si>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</si>
  <si>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</si>
  <si>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</si>
  <si>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</si>
  <si>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</si>
  <si>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</si>
  <si>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</si>
  <si>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</si>
  <si>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</si>
  <si>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</si>
  <si>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</si>
  <si>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</si>
  <si>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</si>
  <si>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</si>
  <si>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</si>
  <si>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</si>
  <si>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</si>
  <si>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</si>
  <si>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</si>
  <si>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</si>
  <si>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</si>
  <si>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</si>
  <si>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</si>
  <si>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</si>
  <si>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</si>
  <si>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</si>
  <si>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</si>
  <si>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</si>
  <si>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</si>
  <si>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</si>
  <si>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</si>
  <si>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</si>
  <si>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</si>
  <si>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</si>
  <si>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</si>
  <si>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</si>
  <si>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</si>
  <si>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</si>
  <si>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</si>
  <si>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</si>
  <si>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</si>
  <si>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</si>
  <si>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</si>
  <si>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</si>
  <si>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</si>
  <si>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</si>
  <si>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</si>
  <si>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</si>
  <si>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</si>
  <si>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</si>
  <si>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</si>
  <si>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</si>
  <si>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</si>
  <si>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</si>
  <si>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</si>
  <si>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</si>
  <si>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</si>
  <si>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</si>
  <si>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</si>
  <si>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</si>
  <si>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</si>
  <si>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</si>
  <si>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</si>
  <si>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</si>
  <si>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</si>
  <si>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</si>
  <si>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</si>
  <si>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</si>
  <si>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</si>
  <si>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</si>
  <si>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</si>
  <si>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</si>
  <si>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</si>
  <si>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</si>
  <si>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</si>
  <si>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</si>
  <si>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</si>
  <si>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</si>
  <si>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</si>
  <si>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</si>
  <si>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</si>
  <si>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</si>
  <si>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</si>
  <si>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</si>
  <si>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</si>
  <si>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</si>
  <si>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</si>
  <si>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</si>
  <si>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</si>
  <si>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</si>
  <si>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</si>
  <si>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</si>
  <si>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</si>
  <si>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</si>
  <si>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</si>
  <si>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</si>
  <si>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</si>
  <si>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</si>
  <si>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</si>
  <si>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</si>
  <si>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</si>
  <si>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</si>
  <si>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</si>
  <si>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</si>
  <si>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</si>
  <si>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</si>
  <si>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</si>
  <si>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</si>
  <si>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</si>
  <si>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</si>
  <si>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</si>
  <si>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</si>
  <si>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</si>
  <si>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</si>
  <si>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</si>
  <si>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</si>
  <si>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</si>
  <si>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</si>
  <si>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</si>
  <si>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</si>
  <si>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</si>
  <si>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</si>
  <si>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</si>
  <si>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</si>
  <si>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</si>
  <si>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</si>
  <si>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</si>
  <si>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</si>
  <si>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</si>
  <si>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</si>
  <si>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</si>
  <si>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</si>
  <si>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</si>
  <si>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</si>
  <si>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</si>
  <si>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</si>
  <si>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</si>
  <si>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</si>
  <si>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</si>
  <si>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</si>
  <si>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</si>
  <si>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</si>
  <si>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</si>
  <si>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</si>
  <si>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</si>
  <si>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</si>
  <si>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</si>
  <si>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</si>
  <si>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</si>
  <si>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</si>
  <si>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</si>
  <si>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</si>
  <si>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</si>
  <si>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</si>
  <si>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</si>
  <si>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</si>
  <si>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</si>
  <si>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</si>
  <si>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</si>
  <si>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</si>
  <si>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</si>
  <si>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</si>
  <si>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</si>
  <si>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</si>
  <si>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</si>
  <si>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</si>
  <si>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</si>
  <si>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</si>
  <si>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</si>
  <si>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</si>
  <si>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</si>
  <si>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</si>
  <si>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</si>
  <si>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</si>
  <si>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</si>
  <si>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</si>
  <si>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</si>
  <si>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</si>
  <si>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</si>
  <si>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</si>
  <si>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</si>
  <si>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</si>
  <si>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</si>
  <si>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</si>
  <si>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</si>
  <si>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</si>
  <si>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</si>
  <si>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</si>
  <si>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</si>
  <si>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</si>
  <si>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</si>
  <si>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</si>
  <si>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</si>
  <si>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</si>
  <si>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</si>
  <si>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</si>
  <si>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</si>
  <si>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</si>
  <si>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</si>
  <si>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</si>
  <si>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</si>
  <si>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</si>
  <si>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</si>
  <si>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</si>
  <si>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</si>
  <si>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</si>
  <si>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</si>
  <si>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</si>
  <si>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</si>
  <si>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</si>
  <si>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</si>
  <si>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</si>
  <si>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</si>
  <si>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</si>
  <si>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</si>
  <si>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</si>
  <si>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</si>
  <si>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</si>
  <si>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</si>
  <si>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</si>
  <si>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</si>
  <si>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</si>
  <si>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</si>
  <si>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</si>
  <si>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</si>
  <si>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</si>
  <si>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</si>
  <si>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</si>
  <si>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</si>
  <si>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</si>
  <si>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</si>
  <si>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</si>
  <si>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</si>
  <si>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</si>
  <si>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</si>
  <si>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</si>
  <si>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</si>
  <si>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</si>
  <si>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</si>
  <si>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</si>
  <si>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</si>
  <si>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</si>
  <si>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</si>
  <si>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</si>
  <si>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</si>
  <si>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</si>
  <si>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</si>
  <si>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</si>
  <si>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</si>
  <si>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</si>
  <si>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</si>
  <si>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</si>
  <si>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</si>
  <si>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</si>
  <si>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</si>
  <si>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</si>
  <si>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</si>
  <si>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</si>
  <si>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</si>
  <si>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</si>
  <si>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</si>
  <si>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</si>
  <si>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</si>
  <si>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</si>
  <si>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</si>
  <si>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</si>
  <si>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</si>
  <si>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</si>
  <si>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</si>
  <si>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</si>
  <si>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</si>
  <si>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</si>
  <si>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</si>
  <si>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</si>
  <si>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</si>
  <si>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</si>
  <si>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</si>
  <si>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</si>
  <si>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</si>
  <si>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</si>
  <si>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</si>
  <si>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</si>
  <si>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</si>
  <si>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</si>
  <si>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</si>
  <si>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</si>
  <si>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</si>
  <si>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</si>
  <si>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</si>
  <si>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</si>
  <si>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</si>
  <si>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</si>
  <si>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</si>
  <si>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</si>
  <si>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</si>
  <si>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</si>
  <si>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</si>
  <si>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</si>
  <si>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</si>
  <si>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</si>
  <si>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</si>
  <si>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</si>
  <si>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</si>
  <si>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</si>
  <si>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</si>
  <si>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</si>
  <si>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</si>
  <si>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</si>
  <si>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</si>
  <si>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</si>
  <si>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</si>
  <si>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</si>
  <si>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</si>
  <si>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</si>
  <si>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</si>
  <si>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</si>
  <si>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</si>
  <si>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</si>
  <si>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</si>
  <si>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</si>
  <si>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</si>
  <si>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</si>
  <si>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</si>
  <si>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</si>
  <si>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</si>
  <si>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</si>
  <si>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</si>
  <si>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</si>
  <si>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</si>
  <si>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</si>
  <si>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</si>
  <si>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</si>
  <si>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</si>
  <si>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</si>
  <si>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</si>
  <si>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</si>
  <si>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</si>
  <si>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</si>
  <si>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</si>
  <si>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</si>
  <si>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</si>
  <si>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</si>
  <si>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</si>
  <si>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</si>
  <si>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</si>
  <si>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</si>
  <si>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</si>
  <si>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</si>
  <si>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</si>
  <si>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</si>
  <si>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</si>
  <si>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</si>
  <si>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</si>
  <si>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</si>
  <si>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</si>
  <si>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</si>
  <si>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</si>
  <si>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</si>
  <si>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</si>
  <si>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</si>
  <si>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</si>
  <si>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</si>
  <si>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</si>
  <si>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</si>
  <si>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</si>
  <si>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</si>
  <si>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</si>
  <si>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</si>
  <si>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</si>
  <si>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</si>
  <si>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</si>
  <si>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</si>
  <si>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</si>
  <si>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</si>
  <si>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</si>
  <si>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</si>
  <si>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</si>
  <si>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</si>
  <si>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</si>
  <si>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</si>
  <si>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</si>
  <si>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</si>
  <si>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</si>
  <si>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</si>
  <si>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</si>
  <si>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</si>
  <si>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</si>
  <si>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</si>
  <si>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</si>
  <si>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</si>
  <si>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</si>
  <si>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</si>
  <si>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</si>
  <si>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</si>
  <si>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</si>
  <si>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</si>
  <si>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</si>
  <si>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</si>
  <si>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</si>
  <si>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</si>
  <si>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</si>
  <si>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</si>
  <si>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</si>
  <si>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</si>
  <si>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</si>
  <si>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</si>
  <si>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</si>
  <si>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</si>
  <si>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</si>
  <si>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</si>
  <si>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</si>
  <si>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</si>
  <si>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</si>
  <si>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</si>
  <si>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</si>
  <si>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</si>
  <si>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</si>
  <si>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</si>
  <si>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</si>
  <si>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</si>
  <si>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</si>
  <si>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</si>
  <si>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</si>
  <si>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</si>
  <si>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</si>
  <si>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</si>
  <si>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</si>
  <si>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</si>
  <si>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</si>
  <si>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</si>
  <si>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</si>
  <si>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</si>
  <si>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</si>
  <si>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</si>
  <si>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</si>
  <si>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</si>
  <si>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</si>
  <si>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</si>
  <si>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</si>
  <si>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</si>
  <si>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</si>
  <si>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</si>
  <si>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</si>
  <si>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</si>
  <si>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</si>
  <si>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</si>
  <si>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</si>
  <si>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</si>
  <si>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</si>
  <si>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</si>
  <si>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</si>
  <si>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</si>
  <si>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</si>
  <si>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</si>
  <si>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</si>
  <si>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</si>
  <si>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</si>
  <si>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</si>
  <si>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</si>
  <si>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</si>
  <si>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</si>
  <si>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</si>
  <si>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</si>
  <si>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</si>
  <si>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</si>
  <si>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</si>
  <si>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</si>
  <si>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</si>
  <si>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</si>
  <si>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</si>
  <si>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</si>
  <si>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</si>
  <si>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</si>
  <si>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</si>
  <si>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</si>
  <si>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</si>
  <si>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</si>
  <si>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</si>
  <si>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</si>
  <si>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</si>
  <si>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</si>
  <si>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</si>
  <si>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</si>
  <si>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</si>
  <si>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</si>
  <si>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</si>
  <si>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</si>
  <si>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</si>
  <si>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</si>
  <si>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</si>
  <si>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</si>
  <si>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</si>
  <si>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</si>
  <si>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</si>
  <si>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</si>
  <si>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</si>
  <si>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</si>
  <si>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</si>
  <si>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</si>
  <si>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</si>
  <si>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</si>
  <si>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</si>
  <si>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</si>
  <si>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</si>
  <si>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</si>
  <si>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</si>
  <si>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</si>
  <si>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</si>
  <si>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</si>
  <si>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</si>
  <si>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</si>
  <si>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</si>
  <si>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</si>
  <si>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</si>
  <si>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</si>
  <si>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</si>
  <si>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</si>
  <si>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</si>
  <si>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</si>
  <si>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</si>
  <si>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</si>
  <si>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</si>
  <si>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</si>
  <si>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</si>
  <si>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</si>
  <si>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</si>
  <si>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</si>
  <si>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</si>
  <si>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</si>
  <si>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</si>
  <si>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</si>
  <si>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</si>
  <si>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</si>
  <si>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</si>
  <si>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</si>
  <si>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</si>
  <si>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</si>
  <si>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</si>
  <si>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</si>
  <si>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</si>
  <si>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</si>
  <si>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</si>
  <si>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</si>
  <si>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</si>
  <si>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</si>
  <si>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</si>
  <si>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</si>
  <si>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</si>
  <si>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</si>
  <si>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</si>
  <si>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</si>
  <si>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</si>
  <si>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</si>
  <si>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</si>
  <si>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</si>
  <si>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</si>
  <si>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</si>
  <si>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</si>
  <si>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</si>
  <si>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</si>
  <si>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</si>
  <si>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</si>
  <si>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</si>
  <si>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</si>
  <si>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</si>
  <si>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</si>
  <si>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</si>
  <si>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</si>
  <si>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</si>
  <si>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</si>
  <si>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</si>
  <si>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</si>
  <si>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</si>
  <si>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</si>
  <si>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</si>
  <si>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</si>
  <si>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</si>
  <si>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</si>
  <si>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</si>
  <si>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</si>
  <si>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</si>
  <si>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</si>
  <si>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</si>
  <si>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</si>
  <si>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</si>
  <si>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</si>
  <si>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</si>
  <si>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</si>
  <si>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</si>
  <si>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</si>
  <si>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</si>
  <si>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</si>
  <si>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</si>
  <si>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</si>
  <si>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</si>
  <si>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</si>
  <si>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</si>
  <si>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</si>
  <si>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</si>
  <si>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</si>
  <si>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</si>
  <si>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</si>
  <si>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</si>
  <si>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</si>
  <si>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</si>
  <si>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</si>
  <si>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</si>
  <si>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</si>
  <si>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</si>
  <si>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</si>
  <si>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</si>
  <si>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</si>
  <si>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</si>
  <si>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</si>
  <si>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</si>
  <si>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</si>
  <si>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</si>
  <si>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</si>
  <si>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</si>
  <si>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</si>
  <si>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</si>
  <si>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</si>
  <si>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</si>
  <si>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</si>
  <si>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</si>
  <si>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</si>
  <si>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</si>
  <si>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</si>
  <si>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</si>
  <si>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</si>
  <si>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</si>
  <si>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</si>
  <si>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</si>
  <si>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</si>
  <si>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</si>
  <si>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</si>
  <si>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</si>
  <si>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</si>
  <si>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</si>
  <si>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</si>
  <si>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</si>
  <si>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</si>
  <si>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</si>
  <si>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</si>
  <si>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</si>
  <si>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</si>
  <si>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</si>
  <si>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</si>
  <si>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</si>
  <si>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</si>
  <si>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</si>
  <si>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</si>
  <si>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</si>
  <si>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</si>
  <si>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</si>
  <si>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</si>
  <si>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</si>
  <si>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</si>
  <si>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</si>
  <si>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</si>
  <si>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</si>
  <si>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</si>
  <si>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</si>
  <si>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</si>
  <si>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</si>
  <si>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</si>
  <si>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</si>
  <si>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</si>
  <si>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</si>
  <si>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</si>
  <si>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</si>
  <si>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</si>
  <si>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</si>
  <si>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</si>
  <si>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</si>
  <si>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</si>
  <si>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</si>
  <si>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</si>
  <si>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</si>
  <si>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</si>
  <si>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</si>
  <si>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</si>
  <si>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</si>
  <si>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</si>
  <si>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</si>
  <si>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</si>
  <si>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</si>
  <si>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</si>
  <si>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</si>
  <si>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</si>
  <si>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</si>
  <si>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</si>
  <si>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</si>
  <si>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</si>
  <si>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</si>
  <si>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</si>
  <si>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</si>
  <si>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</si>
  <si>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</si>
  <si>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</si>
  <si>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</si>
  <si>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</si>
  <si>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</si>
  <si>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</si>
  <si>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</si>
  <si>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</si>
  <si>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</si>
  <si>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</si>
  <si>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</si>
  <si>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</si>
  <si>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</si>
  <si>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</si>
  <si>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</si>
  <si>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</si>
  <si>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</si>
  <si>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</si>
  <si>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</si>
  <si>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</si>
  <si>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</si>
  <si>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</si>
  <si>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</si>
  <si>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</si>
  <si>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</si>
  <si>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</si>
  <si>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</si>
  <si>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</si>
  <si>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</si>
  <si>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</si>
  <si>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</si>
  <si>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</si>
  <si>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</si>
  <si>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</si>
  <si>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</si>
  <si>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</si>
  <si>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</si>
  <si>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</si>
  <si>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</si>
  <si>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</si>
  <si>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</si>
  <si>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</si>
  <si>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</si>
  <si>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</si>
  <si>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</si>
  <si>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</si>
  <si>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</si>
  <si>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</si>
  <si>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</si>
  <si>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</si>
  <si>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</si>
  <si>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</si>
  <si>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</si>
  <si>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</si>
  <si>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</si>
  <si>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</si>
  <si>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</si>
  <si>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</si>
  <si>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</si>
  <si>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</si>
  <si>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</si>
  <si>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</si>
  <si>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</si>
  <si>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</si>
  <si>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</si>
  <si>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</si>
  <si>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</si>
  <si>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</si>
  <si>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</si>
  <si>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</si>
  <si>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</si>
  <si>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</si>
  <si>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</si>
  <si>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</si>
  <si>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</si>
  <si>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</si>
  <si>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</si>
  <si>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</si>
  <si>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</si>
  <si>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</si>
  <si>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</si>
  <si>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</si>
  <si>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</si>
  <si>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</si>
  <si>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</si>
  <si>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</si>
  <si>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</si>
  <si>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</si>
  <si>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</si>
  <si>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</si>
  <si>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</si>
  <si>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</si>
  <si>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</si>
  <si>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</si>
  <si>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</si>
  <si>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</si>
  <si>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</si>
  <si>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</si>
  <si>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</si>
  <si>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</si>
  <si>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</si>
  <si>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</si>
  <si>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</si>
  <si>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</si>
  <si>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</si>
  <si>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</si>
  <si>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</si>
  <si>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</si>
  <si>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</si>
  <si>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</si>
  <si>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</si>
  <si>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</si>
  <si>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</si>
  <si>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</si>
  <si>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</si>
  <si>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</si>
  <si>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</si>
  <si>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</si>
  <si>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</si>
  <si>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</si>
  <si>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</si>
  <si>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</si>
  <si>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</si>
  <si>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</si>
  <si>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</si>
  <si>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</si>
  <si>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</si>
  <si>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</si>
  <si>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</si>
  <si>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</si>
  <si>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</si>
  <si>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</si>
  <si>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</si>
  <si>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</si>
  <si>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</si>
  <si>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</si>
  <si>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</si>
  <si>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</si>
  <si>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</si>
  <si>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</si>
  <si>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</si>
  <si>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</si>
  <si>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</si>
  <si>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</si>
  <si>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</si>
  <si>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</si>
  <si>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</si>
  <si>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</si>
  <si>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</si>
  <si>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</si>
  <si>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</si>
  <si>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</si>
  <si>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</si>
  <si>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</si>
  <si>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</si>
  <si>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</si>
  <si>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</si>
  <si>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</si>
  <si>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</si>
  <si>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</si>
  <si>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</si>
  <si>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</si>
  <si>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</si>
  <si>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</si>
  <si>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</si>
  <si>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</si>
  <si>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</si>
  <si>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</si>
  <si>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</si>
  <si>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</si>
  <si>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</si>
  <si>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</si>
  <si>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</si>
  <si>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</si>
  <si>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</si>
  <si>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</si>
  <si>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</si>
  <si>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</si>
  <si>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</si>
  <si>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</si>
  <si>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</si>
  <si>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</si>
  <si>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</si>
  <si>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</si>
  <si>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</si>
  <si>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</si>
  <si>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</si>
  <si>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</si>
  <si>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</si>
  <si>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</si>
  <si>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</si>
  <si>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</si>
  <si>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</si>
  <si>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</si>
  <si>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</si>
  <si>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</si>
  <si>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</si>
  <si>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</si>
  <si>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</si>
  <si>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</si>
  <si>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</si>
  <si>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</si>
  <si>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</si>
  <si>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</si>
  <si>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</si>
  <si>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</si>
  <si>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</si>
  <si>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</si>
  <si>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</si>
  <si>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</si>
  <si>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</si>
  <si>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</si>
  <si>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</si>
  <si>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</si>
  <si>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</si>
  <si>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</si>
  <si>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</si>
  <si>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</si>
  <si>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</si>
  <si>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</si>
  <si>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</si>
  <si>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</si>
  <si>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</si>
  <si>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</si>
  <si>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</si>
  <si>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</si>
  <si>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</si>
  <si>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</si>
  <si>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</si>
  <si>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</si>
  <si>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</si>
  <si>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</si>
  <si>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</si>
  <si>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</si>
  <si>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</si>
  <si>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</si>
  <si>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</si>
  <si>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</si>
  <si>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</si>
  <si>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</si>
  <si>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</si>
  <si>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</si>
  <si>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</si>
  <si>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</si>
  <si>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</si>
  <si>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</si>
  <si>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</si>
  <si>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</si>
  <si>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</si>
  <si>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</si>
  <si>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</si>
  <si>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</si>
  <si>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</si>
  <si>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</si>
  <si>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</si>
  <si>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</si>
  <si>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</si>
  <si>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</si>
  <si>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</si>
  <si>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</si>
  <si>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</si>
  <si>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</si>
  <si>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</si>
  <si>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</si>
  <si>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</si>
  <si>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</si>
  <si>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</si>
  <si>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</si>
  <si>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</si>
  <si>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</si>
  <si>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</si>
  <si>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</si>
  <si>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</si>
  <si>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</si>
  <si>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</si>
  <si>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</si>
  <si>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</si>
  <si>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</si>
  <si>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</si>
  <si>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</si>
  <si>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</si>
  <si>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</si>
  <si>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</si>
  <si>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</si>
  <si>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</si>
  <si>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</si>
  <si>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</si>
  <si>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</si>
  <si>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</si>
  <si>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</si>
  <si>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</si>
  <si>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</si>
  <si>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</si>
  <si>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</si>
  <si>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</si>
  <si>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</si>
  <si>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</si>
  <si>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</si>
  <si>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</si>
  <si>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</si>
  <si>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</si>
  <si>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</si>
  <si>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</si>
  <si>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</si>
  <si>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</si>
  <si>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</si>
  <si>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</si>
  <si>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</si>
  <si>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</si>
  <si>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</si>
  <si>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</si>
  <si>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</si>
  <si>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</si>
  <si>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</si>
  <si>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</si>
  <si>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</si>
  <si>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</si>
  <si>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</si>
  <si>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</si>
  <si>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</si>
  <si>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</si>
  <si>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</si>
  <si>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</si>
  <si>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</si>
  <si>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</si>
  <si>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</si>
  <si>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</si>
  <si>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</si>
  <si>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</si>
  <si>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</si>
  <si>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</si>
  <si>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</si>
  <si>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</si>
  <si>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</si>
  <si>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</si>
  <si>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</si>
  <si>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</si>
  <si>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</si>
  <si>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</si>
  <si>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</si>
  <si>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</si>
  <si>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</si>
  <si>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</si>
  <si>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</si>
  <si>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</si>
  <si>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</si>
  <si>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</si>
  <si>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</si>
  <si>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</si>
  <si>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</si>
  <si>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</si>
  <si>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</si>
  <si>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</si>
  <si>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</si>
  <si>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</si>
  <si>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</si>
  <si>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</si>
  <si>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</si>
  <si>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</si>
  <si>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</si>
  <si>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</si>
  <si>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</si>
  <si>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</si>
  <si>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</si>
  <si>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</si>
  <si>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</si>
  <si>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</si>
  <si>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</si>
  <si>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</si>
  <si>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</si>
  <si>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</si>
  <si>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</si>
  <si>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</si>
  <si>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</si>
  <si>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</si>
  <si>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</si>
  <si>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</si>
  <si>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</si>
  <si>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</si>
  <si>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</si>
  <si>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</si>
  <si>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</si>
  <si>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</si>
  <si>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</si>
  <si>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</si>
  <si>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</si>
  <si>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</si>
  <si>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</si>
  <si>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</si>
  <si>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</si>
  <si>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</si>
  <si>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</si>
  <si>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</si>
  <si>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</si>
  <si>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</si>
  <si>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</si>
  <si>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</si>
  <si>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</si>
  <si>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</si>
  <si>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</si>
  <si>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</si>
  <si>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</si>
  <si>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</si>
  <si>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</si>
  <si>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</si>
  <si>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</si>
  <si>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</si>
  <si>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</si>
  <si>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</si>
  <si>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</si>
  <si>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</si>
  <si>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</si>
  <si>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</si>
  <si>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</si>
  <si>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</si>
  <si>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</si>
  <si>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</si>
  <si>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</si>
  <si>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</si>
  <si>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</si>
  <si>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</si>
  <si>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</si>
  <si>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</si>
  <si>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</si>
  <si>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</si>
  <si>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</si>
  <si>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</si>
  <si>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</si>
  <si>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</si>
  <si>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</si>
  <si>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</si>
  <si>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</si>
  <si>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</si>
  <si>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</si>
  <si>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</si>
  <si>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</si>
  <si>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</si>
  <si>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</si>
  <si>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</si>
  <si>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</si>
  <si>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</si>
  <si>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</si>
  <si>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</si>
  <si>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</si>
  <si>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</si>
  <si>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</si>
  <si>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</si>
  <si>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</si>
  <si>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</si>
  <si>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</si>
  <si>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</si>
  <si>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</si>
  <si>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</si>
  <si>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</si>
  <si>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</si>
  <si>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</si>
  <si>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</si>
  <si>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</si>
  <si>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</si>
  <si>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</si>
  <si>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</si>
  <si>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</si>
  <si>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</si>
  <si>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</si>
  <si>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</si>
  <si>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</si>
  <si>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</si>
  <si>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</si>
  <si>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</si>
  <si>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</si>
  <si>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</si>
  <si>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</si>
  <si>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</si>
  <si>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</si>
  <si>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</si>
  <si>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</si>
  <si>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</si>
  <si>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</si>
  <si>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</si>
  <si>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</si>
  <si>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</si>
  <si>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</si>
  <si>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</si>
  <si>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</si>
  <si>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</si>
  <si>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</si>
  <si>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</si>
  <si>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</si>
  <si>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</si>
  <si>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</si>
  <si>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</si>
  <si>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</si>
  <si>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</si>
  <si>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</si>
  <si>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</si>
  <si>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</si>
  <si>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</si>
  <si>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</si>
  <si>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</si>
  <si>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</si>
  <si>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</si>
  <si>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</si>
  <si>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</si>
  <si>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</si>
  <si>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</si>
  <si>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</si>
  <si>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</si>
  <si>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</si>
  <si>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</si>
  <si>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</si>
  <si>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</si>
  <si>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</si>
  <si>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</si>
  <si>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</si>
  <si>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</si>
  <si>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</si>
  <si>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</si>
  <si>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</si>
  <si>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</si>
  <si>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</si>
  <si>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</si>
  <si>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</si>
  <si>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</si>
  <si>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</si>
  <si>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</si>
  <si>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</si>
  <si>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</si>
  <si>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</si>
  <si>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</si>
  <si>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</si>
  <si>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</si>
  <si>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</si>
  <si>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</si>
  <si>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</si>
  <si>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</si>
  <si>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</si>
  <si>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</si>
  <si>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</si>
  <si>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</si>
  <si>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</si>
  <si>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</si>
  <si>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</si>
  <si>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</si>
  <si>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</si>
  <si>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</si>
  <si>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</si>
  <si>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</si>
  <si>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</si>
  <si>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</si>
  <si>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</si>
  <si>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</si>
  <si>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</si>
  <si>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</si>
  <si>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</si>
  <si>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</si>
  <si>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</si>
  <si>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</si>
  <si>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</si>
  <si>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</si>
  <si>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</si>
  <si>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</si>
  <si>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</si>
  <si>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</si>
  <si>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</si>
  <si>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</si>
  <si>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</si>
  <si>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</si>
  <si>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</si>
  <si>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</si>
  <si>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</si>
  <si>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</si>
  <si>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</si>
  <si>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</si>
  <si>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</si>
  <si>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</si>
  <si>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</si>
  <si>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</si>
  <si>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</si>
  <si>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</si>
  <si>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</si>
  <si>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</si>
  <si>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</si>
  <si>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</si>
  <si>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</si>
  <si>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</si>
  <si>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</si>
  <si>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</si>
  <si>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</si>
  <si>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</si>
  <si>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</si>
  <si>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</si>
  <si>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</si>
  <si>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</si>
  <si>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</si>
  <si>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</si>
  <si>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</si>
  <si>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</si>
  <si>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</si>
  <si>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</si>
  <si>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</si>
  <si>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</si>
  <si>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</si>
  <si>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</si>
  <si>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</si>
  <si>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</si>
  <si>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</si>
  <si>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</si>
  <si>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</si>
  <si>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</si>
  <si>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</si>
  <si>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</si>
  <si>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</si>
  <si>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</si>
  <si>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</si>
  <si>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</si>
  <si>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</si>
  <si>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</si>
  <si>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</si>
  <si>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</si>
  <si>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</si>
  <si>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</si>
  <si>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</si>
  <si>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</si>
  <si>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</si>
  <si>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</si>
  <si>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</si>
  <si>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</si>
  <si>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</si>
  <si>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</si>
  <si>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</si>
  <si>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</si>
  <si>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</si>
  <si>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</si>
  <si>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</si>
  <si>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</si>
  <si>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</si>
  <si>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</si>
  <si>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</si>
  <si>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</si>
  <si>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</si>
  <si>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</si>
  <si>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</si>
  <si>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</si>
  <si>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</si>
  <si>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</si>
  <si>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</si>
  <si>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</si>
  <si>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</si>
  <si>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</si>
  <si>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</si>
  <si>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</si>
  <si>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</si>
  <si>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</si>
  <si>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</si>
  <si>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</si>
  <si>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</si>
  <si>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</si>
  <si>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</si>
  <si>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</si>
  <si>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</si>
  <si>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</si>
  <si>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</si>
  <si>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</si>
  <si>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</si>
  <si>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</si>
  <si>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</si>
  <si>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</si>
  <si>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</si>
  <si>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</si>
  <si>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</si>
  <si>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</si>
  <si>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</si>
  <si>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</si>
  <si>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</si>
  <si>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</si>
  <si>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</si>
  <si>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</si>
  <si>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</si>
  <si>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</si>
  <si>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</si>
  <si>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</si>
  <si>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</si>
  <si>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</si>
  <si>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</si>
  <si>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</si>
  <si>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</si>
  <si>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</si>
  <si>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</si>
  <si>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</si>
  <si>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</si>
  <si>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</si>
  <si>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</si>
  <si>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</si>
  <si>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</si>
  <si>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</si>
  <si>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</si>
  <si>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</si>
  <si>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</si>
  <si>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</si>
  <si>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</si>
  <si>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</si>
  <si>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</si>
  <si>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</si>
  <si>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</si>
  <si>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</si>
  <si>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</si>
  <si>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</si>
  <si>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</si>
  <si>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</si>
  <si>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</si>
  <si>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</si>
  <si>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</si>
  <si>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</si>
  <si>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</si>
  <si>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</si>
  <si>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</si>
  <si>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</si>
  <si>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</si>
  <si>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</si>
  <si>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</si>
  <si>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</si>
  <si>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</si>
  <si>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</si>
  <si>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</si>
  <si>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</si>
  <si>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</si>
  <si>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</si>
  <si>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</si>
  <si>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</si>
  <si>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</si>
  <si>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</si>
  <si>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</si>
  <si>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</si>
  <si>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</si>
  <si>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</si>
  <si>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</si>
  <si>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</si>
  <si>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</si>
  <si>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</si>
  <si>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</si>
  <si>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</si>
  <si>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</si>
  <si>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</si>
  <si>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</si>
  <si>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</si>
  <si>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</si>
  <si>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</si>
  <si>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</si>
  <si>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</si>
  <si>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</si>
  <si>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</si>
  <si>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</si>
  <si>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</si>
  <si>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</si>
  <si>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</si>
  <si>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</si>
  <si>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</si>
  <si>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</si>
  <si>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</si>
  <si>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</si>
  <si>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</si>
  <si>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</si>
  <si>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</si>
  <si>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</si>
  <si>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</si>
  <si>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</si>
  <si>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</si>
  <si>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</si>
  <si>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</si>
  <si>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</si>
  <si>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</si>
  <si>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</si>
  <si>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</si>
  <si>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</si>
  <si>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</si>
  <si>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</si>
  <si>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</si>
  <si>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</si>
  <si>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</si>
  <si>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</si>
  <si>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</si>
  <si>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</si>
  <si>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</si>
  <si>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</si>
  <si>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</si>
  <si>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</si>
  <si>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</si>
  <si>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</si>
  <si>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</si>
  <si>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</si>
  <si>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</si>
  <si>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</si>
  <si>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</si>
  <si>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</si>
  <si>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</si>
  <si>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</si>
  <si>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</si>
  <si>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</si>
  <si>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</si>
  <si>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</si>
  <si>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</si>
  <si>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</si>
  <si>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</si>
  <si>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</si>
  <si>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</si>
  <si>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</si>
  <si>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</si>
  <si>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</si>
  <si>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</si>
  <si>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否</t>
  </si>
  <si>
    <t>办公项目</t>
  </si>
  <si>
    <t>场地平整</t>
  </si>
  <si>
    <t>通路</t>
  </si>
  <si>
    <t>通电</t>
  </si>
  <si>
    <t>通上水</t>
  </si>
  <si>
    <t>地上</t>
  </si>
  <si>
    <t>地下</t>
  </si>
  <si>
    <t>办公</t>
    <phoneticPr fontId="7" type="noConversion"/>
  </si>
  <si>
    <t>不动产收益法</t>
  </si>
  <si>
    <t>土地（套用方法）</t>
  </si>
  <si>
    <t>钢混</t>
  </si>
  <si>
    <t>项目全部</t>
  </si>
  <si>
    <t>土地</t>
  </si>
  <si>
    <t>地块名称</t>
  </si>
  <si>
    <t>用地性质</t>
  </si>
  <si>
    <t>出让方式</t>
  </si>
  <si>
    <t>详细规划</t>
  </si>
  <si>
    <t>建设用地面积(㎡)</t>
  </si>
  <si>
    <t>规划建筑面积(㎡)</t>
  </si>
  <si>
    <t>成交日期</t>
  </si>
  <si>
    <t>受让单位</t>
  </si>
  <si>
    <t>成交价(万元)</t>
  </si>
  <si>
    <t>成交每亩价(万元/亩)</t>
  </si>
  <si>
    <t>成交楼面价(元/㎡)</t>
  </si>
  <si>
    <t>溢价率</t>
  </si>
  <si>
    <t>出让年限</t>
  </si>
  <si>
    <t>土地星级</t>
  </si>
  <si>
    <t>商业/办公用地</t>
  </si>
  <si>
    <t>挂牌</t>
  </si>
  <si>
    <t>B1商业用地</t>
  </si>
  <si>
    <t>≤4.0</t>
  </si>
  <si>
    <t>2020-12-14</t>
  </si>
  <si>
    <t>中关村发展集团股份有限公司、北京石景山产业发展有限公司联合体</t>
  </si>
  <si>
    <t>商业40年、办公50年</t>
  </si>
  <si>
    <t>5星</t>
  </si>
  <si>
    <t>B4综合性商业金融服务业用地</t>
  </si>
  <si>
    <t>1612-775≤4,1612-769≤5</t>
  </si>
  <si>
    <t>2019-12-12</t>
  </si>
  <si>
    <t>北京璟鑫达房地产开发有限公司</t>
  </si>
  <si>
    <t>4星</t>
  </si>
  <si>
    <t>B4综合性商业金融服务业用地、F3其他类多功能用地</t>
  </si>
  <si>
    <t>1612-778≤3.5,779≤4,783、786≤1.1,784≤1.5</t>
  </si>
  <si>
    <t>北京市石景山区中关村科技园区石景山园北I区1605-636地块B23研发设计用地</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</si>
  <si>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</si>
  <si>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</si>
  <si>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</si>
  <si>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</si>
  <si>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</si>
  <si>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北京京石科园置业发展有限公司</t>
  </si>
  <si>
    <t>北京市石景山区鲁谷路1614-631地块(银河商务区L地块)B4综合性商业金融服务业用地</t>
  </si>
  <si>
    <t>2017-11-14</t>
  </si>
  <si>
    <t>天安人寿保险股份有限公司和北京保险产业园投资控股有限责任公司联合体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</si>
  <si>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</si>
  <si>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</si>
  <si>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</si>
  <si>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</si>
  <si>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石景山区苹果园交通枢纽M、N地块</t>
  </si>
  <si>
    <t>2015-11-23</t>
  </si>
  <si>
    <t>北京市华远置业有限公司和北京上同致远房地产开发有限公司联合体</t>
  </si>
  <si>
    <t>石景山区实兴大街(中关村科技园区石景山园北Ⅰ区)1605-648地块</t>
  </si>
  <si>
    <t>2015-10-27</t>
  </si>
  <si>
    <t>石景山区香山南路28号C2商业金融用地</t>
  </si>
  <si>
    <t>C2商业金融用地</t>
  </si>
  <si>
    <t>2014-08-20</t>
  </si>
  <si>
    <t>启迪控股股份有限公司</t>
  </si>
  <si>
    <t>商业40年、综合50年</t>
  </si>
  <si>
    <t>北京市国际雕塑园地下文化娱乐中心项目用地</t>
  </si>
  <si>
    <t>文化娱乐用地(地下)</t>
  </si>
  <si>
    <t>2013-10-21</t>
  </si>
  <si>
    <t>北京物美置地房地产开发有限公司</t>
  </si>
  <si>
    <t>石景山区银河商务区K地块C2商业金融用地</t>
  </si>
  <si>
    <t>招标</t>
  </si>
  <si>
    <t>2013-06-27</t>
  </si>
  <si>
    <t>福州泰禾房地产开发有限公司和北京华澜恒泰房地产开发有限公司联合体</t>
  </si>
  <si>
    <t>石景山区鲁谷路C2商业金融用地(原北京市弹簧厂)</t>
  </si>
  <si>
    <t>2013-04-09</t>
  </si>
  <si>
    <t>新能(北京)国际房地产开发有限公司</t>
  </si>
  <si>
    <t>石景山区苹果园交通枢纽商务区F地块商业金融用地</t>
  </si>
  <si>
    <t>2012-11-26</t>
  </si>
  <si>
    <t>北京住总房地产开发有限责任公司和北京骏洋房地产开发有限公司联合体</t>
  </si>
  <si>
    <r>
      <t>泰康之家预计年收入，建筑面积9</t>
    </r>
    <r>
      <rPr>
        <sz val="11"/>
        <color theme="1"/>
        <rFont val="宋体"/>
        <family val="3"/>
        <charset val="134"/>
        <scheme val="minor"/>
      </rPr>
      <t>1657.32平方米，12/-2层，养生度假酒店及医疗康复中心</t>
    </r>
    <phoneticPr fontId="228" type="noConversion"/>
  </si>
  <si>
    <t>年份</t>
  </si>
  <si>
    <t>昌平区</t>
    <phoneticPr fontId="228" type="noConversion"/>
  </si>
  <si>
    <t>营业收入</t>
  </si>
  <si>
    <t>折合租金3.6元/平米/天起</t>
    <phoneticPr fontId="228" type="noConversion"/>
  </si>
  <si>
    <t>营业成本</t>
  </si>
  <si>
    <r>
      <t>评估价单价1</t>
    </r>
    <r>
      <rPr>
        <sz val="11"/>
        <color theme="1"/>
        <rFont val="宋体"/>
        <family val="3"/>
        <charset val="134"/>
        <scheme val="minor"/>
      </rPr>
      <t>6000元/平方米</t>
    </r>
    <phoneticPr fontId="228" type="noConversion"/>
  </si>
  <si>
    <t>利润</t>
  </si>
  <si>
    <t> 幸福颐养护院</t>
  </si>
  <si>
    <t>石景山区</t>
    <phoneticPr fontId="228" type="noConversion"/>
  </si>
  <si>
    <t>建筑面积</t>
    <phoneticPr fontId="228" type="noConversion"/>
  </si>
  <si>
    <t>租金</t>
    <phoneticPr fontId="228" type="noConversion"/>
  </si>
  <si>
    <t>单位租金</t>
    <phoneticPr fontId="228" type="noConversion"/>
  </si>
  <si>
    <t>模式</t>
    <phoneticPr fontId="228" type="noConversion"/>
  </si>
  <si>
    <t>备注</t>
    <phoneticPr fontId="228" type="noConversion"/>
  </si>
  <si>
    <t>折合租金3元/平米/天起</t>
    <phoneticPr fontId="228" type="noConversion"/>
  </si>
  <si>
    <r>
      <t>半年1</t>
    </r>
    <r>
      <rPr>
        <sz val="9"/>
        <color theme="1"/>
        <rFont val="宋体"/>
        <family val="3"/>
        <charset val="134"/>
        <scheme val="minor"/>
      </rPr>
      <t>200万</t>
    </r>
    <phoneticPr fontId="228" type="noConversion"/>
  </si>
  <si>
    <t>医疗养老结合模式</t>
    <phoneticPr fontId="228" type="noConversion"/>
  </si>
  <si>
    <r>
      <t>3</t>
    </r>
    <r>
      <rPr>
        <sz val="9"/>
        <color theme="1"/>
        <rFont val="宋体"/>
        <family val="3"/>
        <charset val="134"/>
      </rPr>
      <t>年递增</t>
    </r>
    <r>
      <rPr>
        <sz val="9"/>
        <color theme="1"/>
        <rFont val="Arial"/>
        <family val="2"/>
      </rPr>
      <t>5%</t>
    </r>
    <phoneticPr fontId="228" type="noConversion"/>
  </si>
  <si>
    <t>评估价单价23000元/平方米</t>
    <phoneticPr fontId="228" type="noConversion"/>
  </si>
  <si>
    <t>天恒良乡大学城养老项目</t>
  </si>
  <si>
    <t>房山区</t>
    <phoneticPr fontId="228" type="noConversion"/>
  </si>
  <si>
    <t>5000每床位</t>
    <phoneticPr fontId="228" type="noConversion"/>
  </si>
  <si>
    <r>
      <t>1272</t>
    </r>
    <r>
      <rPr>
        <sz val="9"/>
        <color theme="1"/>
        <rFont val="宋体"/>
        <family val="3"/>
        <charset val="134"/>
      </rPr>
      <t>间</t>
    </r>
    <phoneticPr fontId="228" type="noConversion"/>
  </si>
  <si>
    <t>评估价单价7883元/平方米</t>
    <phoneticPr fontId="228" type="noConversion"/>
  </si>
  <si>
    <t>北京市石景山区寿山福海养老服务中心</t>
    <phoneticPr fontId="228" type="noConversion"/>
  </si>
  <si>
    <t>床位数量：600张</t>
    <phoneticPr fontId="228" type="noConversion"/>
  </si>
  <si>
    <t>配套面积</t>
    <phoneticPr fontId="228" type="noConversion"/>
  </si>
  <si>
    <r>
      <t>对应租赁合同约6</t>
    </r>
    <r>
      <rPr>
        <sz val="11"/>
        <color theme="1"/>
        <rFont val="宋体"/>
        <family val="3"/>
        <charset val="134"/>
        <scheme val="minor"/>
      </rPr>
      <t>000元/间</t>
    </r>
    <phoneticPr fontId="228" type="noConversion"/>
  </si>
  <si>
    <t>收费区间：4800-12000元</t>
    <phoneticPr fontId="228" type="noConversion"/>
  </si>
  <si>
    <t>配套占比</t>
    <phoneticPr fontId="228" type="noConversion"/>
  </si>
  <si>
    <t>占地面积：26800</t>
    <phoneticPr fontId="228" type="noConversion"/>
  </si>
  <si>
    <t>平均每套房面积</t>
    <phoneticPr fontId="228" type="noConversion"/>
  </si>
  <si>
    <t>总建筑面积26870㎡</t>
    <phoneticPr fontId="228" type="noConversion"/>
  </si>
  <si>
    <t>床位费（月计）：2120-3280元/床</t>
    <phoneticPr fontId="228" type="noConversion"/>
  </si>
  <si>
    <t>餐饮费（月计）：1500元/人</t>
    <phoneticPr fontId="228" type="noConversion"/>
  </si>
  <si>
    <t>服务费（月计）：1200-8000元/人</t>
    <phoneticPr fontId="228" type="noConversion"/>
  </si>
  <si>
    <t>提供各种活动室及场所50余间（处），设有2000平方米的四季厅和3500平方米百果园。</t>
    <phoneticPr fontId="228" type="noConversion"/>
  </si>
  <si>
    <t>床位数量：220张</t>
    <phoneticPr fontId="228" type="noConversion"/>
  </si>
  <si>
    <r>
      <t>1</t>
    </r>
    <r>
      <rPr>
        <sz val="11"/>
        <color theme="1"/>
        <rFont val="宋体"/>
        <family val="3"/>
        <charset val="134"/>
        <scheme val="minor"/>
      </rPr>
      <t>8平米单人间</t>
    </r>
    <phoneticPr fontId="228" type="noConversion"/>
  </si>
  <si>
    <t>收费区间：3200-8000元</t>
    <phoneticPr fontId="228" type="noConversion"/>
  </si>
  <si>
    <r>
      <t>2</t>
    </r>
    <r>
      <rPr>
        <sz val="11"/>
        <color theme="1"/>
        <rFont val="宋体"/>
        <family val="3"/>
        <charset val="134"/>
        <scheme val="minor"/>
      </rPr>
      <t>8及38平米双人间</t>
    </r>
    <phoneticPr fontId="228" type="noConversion"/>
  </si>
  <si>
    <t>北京英智养老服务有限公司</t>
    <phoneticPr fontId="228" type="noConversion"/>
  </si>
  <si>
    <t>床位数量：100张</t>
    <phoneticPr fontId="228" type="noConversion"/>
  </si>
  <si>
    <t>收费区间：5100-11700元</t>
    <phoneticPr fontId="228" type="noConversion"/>
  </si>
  <si>
    <t>占地面积：15000</t>
    <phoneticPr fontId="228" type="noConversion"/>
  </si>
  <si>
    <t>总建筑面积15000㎡</t>
    <phoneticPr fontId="228" type="noConversion"/>
  </si>
  <si>
    <t>北京市石景山区颐和康泰养老护理院</t>
    <phoneticPr fontId="228" type="noConversion"/>
  </si>
  <si>
    <t>床位数量：310张</t>
    <phoneticPr fontId="228" type="noConversion"/>
  </si>
  <si>
    <t>收费区间：2700-4950元</t>
    <phoneticPr fontId="228" type="noConversion"/>
  </si>
  <si>
    <t>占地面积：6000平方米</t>
    <phoneticPr fontId="228" type="noConversion"/>
  </si>
  <si>
    <t>1.年总收入</t>
    <phoneticPr fontId="3" type="noConversion"/>
  </si>
  <si>
    <t>设定较高端养老院</t>
    <phoneticPr fontId="228" type="noConversion"/>
  </si>
  <si>
    <t>设定一般养老院</t>
    <phoneticPr fontId="228"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</si>
  <si>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</si>
  <si>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</si>
  <si>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</si>
  <si>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</si>
  <si>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</si>
  <si>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</si>
  <si>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月数</t>
    <phoneticPr fontId="3" type="noConversion"/>
  </si>
  <si>
    <t>年收入</t>
    <phoneticPr fontId="3" type="noConversion"/>
  </si>
  <si>
    <t>总统套房</t>
    <phoneticPr fontId="3" type="noConversion"/>
  </si>
  <si>
    <t>行政套房</t>
    <phoneticPr fontId="3" type="noConversion"/>
  </si>
  <si>
    <t>房间数</t>
    <phoneticPr fontId="228" type="noConversion"/>
  </si>
  <si>
    <t>沙龙套房</t>
    <phoneticPr fontId="3" type="noConversion"/>
  </si>
  <si>
    <t>年收益</t>
    <phoneticPr fontId="228" type="noConversion"/>
  </si>
  <si>
    <t>标准房</t>
    <phoneticPr fontId="3" type="noConversion"/>
  </si>
  <si>
    <t>房间收入</t>
    <phoneticPr fontId="228"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</si>
  <si>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</si>
  <si>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</si>
  <si>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</si>
  <si>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</si>
  <si>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</si>
  <si>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</si>
  <si>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</si>
  <si>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</si>
  <si>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</si>
  <si>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</si>
  <si>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</si>
  <si>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</si>
  <si>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</si>
  <si>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</si>
  <si>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</si>
  <si>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</si>
  <si>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</si>
  <si>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</si>
  <si>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</si>
  <si>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</si>
  <si>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</si>
  <si>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</si>
  <si>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</si>
  <si>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</si>
  <si>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</si>
  <si>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</si>
  <si>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</si>
  <si>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</si>
  <si>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</si>
  <si>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</si>
  <si>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折合租金单价</t>
    <phoneticPr fontId="228" type="noConversion"/>
  </si>
  <si>
    <t>（一）年净收入（剥离非房地产带来的收益）</t>
    <phoneticPr fontId="3" type="noConversion"/>
  </si>
  <si>
    <t>此处对应不动产收益法中未来第一年总收益</t>
    <phoneticPr fontId="228" type="noConversion"/>
  </si>
  <si>
    <r>
      <t>元/㎡</t>
    </r>
    <r>
      <rPr>
        <sz val="11"/>
        <color theme="1"/>
        <rFont val="宋体"/>
        <family val="3"/>
        <charset val="134"/>
        <scheme val="minor"/>
      </rPr>
      <t>/天</t>
    </r>
    <phoneticPr fontId="228"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</si>
  <si>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</si>
  <si>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</si>
  <si>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</si>
  <si>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</si>
  <si>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</si>
  <si>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</si>
  <si>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</si>
  <si>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</si>
  <si>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</si>
  <si>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</si>
  <si>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</si>
  <si>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</si>
  <si>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</si>
  <si>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</si>
  <si>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</si>
  <si>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</si>
  <si>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</si>
  <si>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正常</t>
  </si>
  <si>
    <t>楼面地价</t>
  </si>
  <si>
    <t>养老用地</t>
    <phoneticPr fontId="26" type="noConversion"/>
  </si>
  <si>
    <t>养老用地</t>
    <phoneticPr fontId="26" type="noConversion"/>
  </si>
  <si>
    <r>
      <t>B1</t>
    </r>
    <r>
      <rPr>
        <sz val="11"/>
        <rFont val="宋体"/>
        <family val="3"/>
        <charset val="134"/>
      </rPr>
      <t>商业用地</t>
    </r>
    <phoneticPr fontId="26" type="noConversion"/>
  </si>
  <si>
    <r>
      <t>B4</t>
    </r>
    <r>
      <rPr>
        <sz val="11"/>
        <rFont val="宋体"/>
        <family val="3"/>
        <charset val="134"/>
      </rPr>
      <t>商业用地</t>
    </r>
    <phoneticPr fontId="26" type="noConversion"/>
  </si>
  <si>
    <r>
      <t>B4</t>
    </r>
    <r>
      <rPr>
        <sz val="11"/>
        <rFont val="宋体"/>
        <family val="3"/>
        <charset val="134"/>
      </rPr>
      <t>商业用地、</t>
    </r>
    <r>
      <rPr>
        <sz val="11"/>
        <rFont val="Arial"/>
        <family val="2"/>
      </rPr>
      <t>F3</t>
    </r>
    <r>
      <rPr>
        <sz val="11"/>
        <rFont val="宋体"/>
        <family val="3"/>
        <charset val="134"/>
      </rPr>
      <t>其他类多功能</t>
    </r>
    <phoneticPr fontId="26" type="noConversion"/>
  </si>
  <si>
    <t>B4商业用地</t>
  </si>
  <si>
    <t>B4商业用地、F3其他类多功能</t>
  </si>
  <si>
    <t>一般</t>
  </si>
  <si>
    <t>较好</t>
  </si>
  <si>
    <t>三通</t>
  </si>
  <si>
    <t>六通</t>
  </si>
  <si>
    <t>医卫慈善用地</t>
  </si>
  <si>
    <t>估价对象容积率</t>
  </si>
  <si>
    <t>地下</t>
    <phoneticPr fontId="3" type="noConversion"/>
  </si>
  <si>
    <t>地上</t>
    <phoneticPr fontId="3" type="noConversion"/>
  </si>
  <si>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</si>
  <si>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</si>
  <si>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</si>
  <si>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</si>
  <si>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</si>
  <si>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</si>
  <si>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</si>
  <si>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街坊路</t>
    <phoneticPr fontId="26" type="noConversion"/>
  </si>
  <si>
    <t>七级</t>
    <phoneticPr fontId="26" type="noConversion"/>
  </si>
  <si>
    <t>六级</t>
    <phoneticPr fontId="26" type="noConversion"/>
  </si>
  <si>
    <t>配套面积</t>
    <phoneticPr fontId="228" type="noConversion"/>
  </si>
  <si>
    <t>房间面积</t>
    <phoneticPr fontId="228" type="noConversion"/>
  </si>
  <si>
    <t>配套按20%计算，房间按50平米计算</t>
    <phoneticPr fontId="228" type="noConversion"/>
  </si>
  <si>
    <t>配套按5%计算，房间按30平米计算</t>
    <phoneticPr fontId="228" type="noConversion"/>
  </si>
  <si>
    <t>与级别开发程度一致</t>
  </si>
  <si>
    <t>通下水</t>
  </si>
  <si>
    <t>通讯</t>
  </si>
  <si>
    <t>通热</t>
  </si>
  <si>
    <t>燃气</t>
  </si>
  <si>
    <t>平整</t>
  </si>
  <si>
    <t>差</t>
  </si>
  <si>
    <t>好</t>
  </si>
  <si>
    <t>较差</t>
  </si>
  <si>
    <t>平整费用</t>
    <phoneticPr fontId="9" type="noConversion"/>
  </si>
  <si>
    <t>单位面积地价</t>
  </si>
  <si>
    <t>自持</t>
    <phoneticPr fontId="26" type="noConversion"/>
  </si>
  <si>
    <t>较不规则</t>
  </si>
  <si>
    <t>较规则</t>
  </si>
  <si>
    <t>较规则</t>
    <phoneticPr fontId="26" type="noConversion"/>
  </si>
  <si>
    <t>是</t>
    <phoneticPr fontId="26" type="noConversion"/>
  </si>
  <si>
    <t>否</t>
    <phoneticPr fontId="26" type="noConversion"/>
  </si>
  <si>
    <t>已部分缴纳</t>
  </si>
  <si>
    <t>按租金收入计税</t>
  </si>
  <si>
    <t>基准地价</t>
  </si>
  <si>
    <t>自定义</t>
  </si>
  <si>
    <t>押金收入</t>
    <phoneticPr fontId="228" type="noConversion"/>
  </si>
  <si>
    <t>押金利息</t>
    <phoneticPr fontId="228" type="noConversion"/>
  </si>
  <si>
    <t>押金按每间1人，每人50万，出租率85%，国债3%利息计算</t>
    <phoneticPr fontId="228" type="noConversion"/>
  </si>
  <si>
    <t>比较法-住宅、综合</t>
  </si>
  <si>
    <t>北京市石景山区春晖颐老年公寓</t>
    <phoneticPr fontId="228" type="noConversion"/>
  </si>
  <si>
    <t>迪家军卡不能</t>
    <phoneticPr fontId="228" type="noConversion"/>
  </si>
  <si>
    <t>地价款</t>
    <phoneticPr fontId="228" type="noConversion"/>
  </si>
  <si>
    <t>契税</t>
    <phoneticPr fontId="228" type="noConversion"/>
  </si>
  <si>
    <r>
      <t>1</t>
    </r>
    <r>
      <rPr>
        <sz val="11"/>
        <color theme="1"/>
        <rFont val="宋体"/>
        <family val="3"/>
        <charset val="134"/>
        <scheme val="minor"/>
      </rPr>
      <t>900.8000万元</t>
    </r>
    <phoneticPr fontId="228" type="noConversion"/>
  </si>
  <si>
    <r>
      <t>3</t>
    </r>
    <r>
      <rPr>
        <sz val="11"/>
        <color theme="1"/>
        <rFont val="宋体"/>
        <family val="3"/>
        <charset val="134"/>
        <scheme val="minor"/>
      </rPr>
      <t>358.0800万元</t>
    </r>
    <phoneticPr fontId="228" type="noConversion"/>
  </si>
  <si>
    <r>
      <t>新增1</t>
    </r>
    <r>
      <rPr>
        <sz val="11"/>
        <color theme="1"/>
        <rFont val="宋体"/>
        <family val="3"/>
        <charset val="134"/>
        <scheme val="minor"/>
      </rPr>
      <t>457.2800万</t>
    </r>
    <phoneticPr fontId="228" type="noConversion"/>
  </si>
  <si>
    <r>
      <rPr>
        <sz val="10"/>
        <rFont val="宋体"/>
        <family val="3"/>
        <charset val="134"/>
      </rPr>
      <t>北京市石景山区中关村科技园石景山园北Ⅱ区西井地块土地一级开发项目</t>
    </r>
    <r>
      <rPr>
        <sz val="10"/>
        <rFont val="Arial"/>
        <family val="2"/>
      </rPr>
      <t>1606-034</t>
    </r>
    <r>
      <rPr>
        <sz val="10"/>
        <rFont val="宋体"/>
        <family val="3"/>
        <charset val="134"/>
      </rPr>
      <t>地块</t>
    </r>
    <r>
      <rPr>
        <sz val="10"/>
        <rFont val="Arial"/>
        <family val="2"/>
      </rPr>
      <t>B1</t>
    </r>
    <r>
      <rPr>
        <sz val="10"/>
        <rFont val="宋体"/>
        <family val="3"/>
        <charset val="134"/>
      </rPr>
      <t>商业用地</t>
    </r>
    <phoneticPr fontId="228" type="noConversion"/>
  </si>
  <si>
    <r>
      <rPr>
        <sz val="10"/>
        <rFont val="宋体"/>
        <family val="3"/>
        <charset val="134"/>
      </rPr>
      <t>北京市石景山区古城南街东侧</t>
    </r>
    <r>
      <rPr>
        <sz val="10"/>
        <rFont val="Arial"/>
        <family val="2"/>
      </rPr>
      <t>(</t>
    </r>
    <r>
      <rPr>
        <sz val="10"/>
        <rFont val="宋体"/>
        <family val="3"/>
        <charset val="134"/>
      </rPr>
      <t>首钢园区东南区</t>
    </r>
    <r>
      <rPr>
        <sz val="10"/>
        <rFont val="Arial"/>
        <family val="2"/>
      </rPr>
      <t>)1612-769</t>
    </r>
    <r>
      <rPr>
        <sz val="10"/>
        <rFont val="宋体"/>
        <family val="3"/>
        <charset val="134"/>
      </rPr>
      <t>、</t>
    </r>
    <r>
      <rPr>
        <sz val="10"/>
        <rFont val="Arial"/>
        <family val="2"/>
      </rPr>
      <t>775</t>
    </r>
    <r>
      <rPr>
        <sz val="10"/>
        <rFont val="宋体"/>
        <family val="3"/>
        <charset val="134"/>
      </rPr>
      <t>等地块</t>
    </r>
    <r>
      <rPr>
        <sz val="10"/>
        <rFont val="Arial"/>
        <family val="2"/>
      </rPr>
      <t>B4</t>
    </r>
    <r>
      <rPr>
        <sz val="10"/>
        <rFont val="宋体"/>
        <family val="3"/>
        <charset val="134"/>
      </rPr>
      <t>综合性商业金融服务业用地</t>
    </r>
    <phoneticPr fontId="228" type="noConversion"/>
  </si>
  <si>
    <r>
      <rPr>
        <sz val="10"/>
        <rFont val="宋体"/>
        <family val="3"/>
        <charset val="134"/>
      </rPr>
      <t>北京市石景山区古城南街东侧</t>
    </r>
    <r>
      <rPr>
        <sz val="10"/>
        <rFont val="Arial"/>
        <family val="2"/>
      </rPr>
      <t>(</t>
    </r>
    <r>
      <rPr>
        <sz val="10"/>
        <rFont val="宋体"/>
        <family val="3"/>
        <charset val="134"/>
      </rPr>
      <t>首钢园区东南区</t>
    </r>
    <r>
      <rPr>
        <sz val="10"/>
        <rFont val="Arial"/>
        <family val="2"/>
      </rPr>
      <t>)1612-778</t>
    </r>
    <r>
      <rPr>
        <sz val="10"/>
        <rFont val="宋体"/>
        <family val="3"/>
        <charset val="134"/>
      </rPr>
      <t>、</t>
    </r>
    <r>
      <rPr>
        <sz val="10"/>
        <rFont val="Arial"/>
        <family val="2"/>
      </rPr>
      <t>779</t>
    </r>
    <r>
      <rPr>
        <sz val="10"/>
        <rFont val="宋体"/>
        <family val="3"/>
        <charset val="134"/>
      </rPr>
      <t>、</t>
    </r>
    <r>
      <rPr>
        <sz val="10"/>
        <rFont val="Arial"/>
        <family val="2"/>
      </rPr>
      <t>783</t>
    </r>
    <r>
      <rPr>
        <sz val="10"/>
        <rFont val="宋体"/>
        <family val="3"/>
        <charset val="134"/>
      </rPr>
      <t>、</t>
    </r>
    <r>
      <rPr>
        <sz val="10"/>
        <rFont val="Arial"/>
        <family val="2"/>
      </rPr>
      <t>784</t>
    </r>
    <r>
      <rPr>
        <sz val="10"/>
        <rFont val="宋体"/>
        <family val="3"/>
        <charset val="134"/>
      </rPr>
      <t>、</t>
    </r>
    <r>
      <rPr>
        <sz val="10"/>
        <rFont val="Arial"/>
        <family val="2"/>
      </rPr>
      <t>786</t>
    </r>
    <r>
      <rPr>
        <sz val="10"/>
        <rFont val="宋体"/>
        <family val="3"/>
        <charset val="134"/>
      </rPr>
      <t>等地块</t>
    </r>
    <r>
      <rPr>
        <sz val="10"/>
        <rFont val="Arial"/>
        <family val="2"/>
      </rPr>
      <t>B4</t>
    </r>
    <r>
      <rPr>
        <sz val="10"/>
        <rFont val="宋体"/>
        <family val="3"/>
        <charset val="134"/>
      </rPr>
      <t>综合性商业金融服务业用地、</t>
    </r>
    <r>
      <rPr>
        <sz val="10"/>
        <rFont val="Arial"/>
        <family val="2"/>
      </rPr>
      <t>F3</t>
    </r>
    <r>
      <rPr>
        <sz val="10"/>
        <rFont val="宋体"/>
        <family val="3"/>
        <charset val="134"/>
      </rPr>
      <t>其他类多功能用地</t>
    </r>
    <phoneticPr fontId="228" type="noConversion"/>
  </si>
  <si>
    <t>较好</t>
    <phoneticPr fontId="26" type="noConversion"/>
  </si>
  <si>
    <t>一般</t>
    <phoneticPr fontId="26" type="noConversion"/>
  </si>
  <si>
    <t>较不规则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</si>
</sst>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9"/>
      <color theme="1"/>
      <name val="华文细黑"/>
      <family val="3"/>
      <charset val="134"/>
    </font>
    <font>
      <sz val="9"/>
      <color theme="1"/>
      <name val="华文细黑"/>
      <family val="3"/>
      <charset val="134"/>
    </font>
    <font>
      <sz val="9"/>
      <color theme="1"/>
      <name val="宋体"/>
      <family val="3"/>
      <charset val="134"/>
    </font>
    <font>
      <sz val="9"/>
      <color theme="1"/>
      <name val="宋体"/>
      <family val="3"/>
      <charset val="134"/>
      <scheme val="minor"/>
    </font>
    <font>
      <sz val="8"/>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 fillId="0" borderId="0">
      <alignment vertical="center"/>
    </xf>
  </cellStyleXfs>
  <cellXfs count="36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145" fillId="0" borderId="0" xfId="1" applyFont="1">
      <alignment vertical="center"/>
    </xf>
    <xf numFmtId="0" fontId="145" fillId="0" borderId="0" xfId="1">
      <alignment vertical="center"/>
    </xf>
    <xf numFmtId="0" fontId="280" fillId="0" borderId="157" xfId="1" applyFont="1" applyBorder="1" applyAlignment="1">
      <alignment horizontal="justify" vertical="center" wrapText="1"/>
    </xf>
    <xf numFmtId="0" fontId="175" fillId="0" borderId="158" xfId="1" applyFont="1" applyBorder="1" applyAlignment="1">
      <alignment horizontal="justify" vertical="center" wrapText="1"/>
    </xf>
    <xf numFmtId="0" fontId="281" fillId="0" borderId="159" xfId="1" applyFont="1" applyBorder="1" applyAlignment="1">
      <alignment horizontal="justify" vertical="center" wrapText="1"/>
    </xf>
    <xf numFmtId="0" fontId="173" fillId="0" borderId="160" xfId="1" applyFont="1" applyBorder="1" applyAlignment="1">
      <alignment horizontal="justify" vertical="center" wrapText="1"/>
    </xf>
    <xf numFmtId="0" fontId="280" fillId="0" borderId="159" xfId="1" applyFont="1" applyBorder="1" applyAlignment="1">
      <alignment horizontal="justify" vertical="center" wrapText="1"/>
    </xf>
    <xf numFmtId="0" fontId="175" fillId="0" borderId="160" xfId="1" applyFont="1" applyBorder="1" applyAlignment="1">
      <alignment horizontal="justify" vertical="center" wrapText="1"/>
    </xf>
    <xf numFmtId="0" fontId="282" fillId="0" borderId="160" xfId="1" applyFont="1" applyBorder="1" applyAlignment="1">
      <alignment horizontal="justify" vertical="center" wrapText="1"/>
    </xf>
    <xf numFmtId="0" fontId="145" fillId="0" borderId="0" xfId="1" applyFont="1" applyFill="1" applyBorder="1">
      <alignment vertical="center"/>
    </xf>
    <xf numFmtId="0" fontId="127" fillId="0" borderId="2" xfId="1" applyFont="1" applyFill="1" applyBorder="1" applyAlignment="1">
      <alignment horizontal="center" vertical="center"/>
    </xf>
    <xf numFmtId="177" fontId="127" fillId="0" borderId="12" xfId="1" applyNumberFormat="1" applyFont="1" applyFill="1" applyBorder="1" applyAlignment="1">
      <alignment horizontal="center" vertical="center"/>
    </xf>
    <xf numFmtId="0" fontId="127" fillId="0" borderId="13" xfId="1" applyFont="1" applyFill="1" applyBorder="1" applyAlignment="1">
      <alignment horizontal="right" vertical="center"/>
    </xf>
    <xf numFmtId="0" fontId="200" fillId="0" borderId="2" xfId="1" applyFont="1" applyFill="1" applyBorder="1" applyAlignment="1">
      <alignment horizontal="center" vertical="center"/>
    </xf>
    <xf numFmtId="9" fontId="127" fillId="0" borderId="2" xfId="1" applyNumberFormat="1" applyFont="1" applyFill="1" applyBorder="1" applyAlignment="1">
      <alignment horizontal="center" vertical="center"/>
    </xf>
    <xf numFmtId="177" fontId="127" fillId="0" borderId="2" xfId="1" applyNumberFormat="1" applyFont="1" applyFill="1" applyBorder="1" applyAlignment="1">
      <alignment horizontal="center" vertical="center"/>
    </xf>
    <xf numFmtId="0" fontId="127" fillId="0" borderId="12" xfId="1" applyFont="1" applyFill="1" applyBorder="1" applyAlignment="1">
      <alignment horizontal="center" vertical="center"/>
    </xf>
    <xf numFmtId="0" fontId="145" fillId="0" borderId="0" xfId="1" applyFont="1" applyAlignment="1">
      <alignment horizontal="right" vertical="center"/>
    </xf>
    <xf numFmtId="0" fontId="230" fillId="0" borderId="2" xfId="1" applyFont="1" applyFill="1" applyBorder="1" applyAlignment="1">
      <alignment horizontal="center" vertical="center"/>
    </xf>
    <xf numFmtId="9" fontId="221" fillId="0" borderId="2" xfId="1" applyNumberFormat="1" applyFont="1" applyFill="1" applyBorder="1" applyAlignment="1">
      <alignment horizontal="center" vertical="center"/>
    </xf>
    <xf numFmtId="177" fontId="221" fillId="0" borderId="2" xfId="1" applyNumberFormat="1" applyFont="1" applyFill="1" applyBorder="1" applyAlignment="1">
      <alignment horizontal="center" vertical="center"/>
    </xf>
    <xf numFmtId="0" fontId="221" fillId="0" borderId="12" xfId="1" applyFont="1" applyFill="1" applyBorder="1" applyAlignment="1">
      <alignment horizontal="center" vertical="center"/>
    </xf>
    <xf numFmtId="0" fontId="32" fillId="0" borderId="2" xfId="1" applyFont="1" applyFill="1" applyBorder="1" applyAlignment="1">
      <alignment horizontal="center" vertical="center"/>
    </xf>
    <xf numFmtId="0" fontId="145" fillId="0" borderId="2" xfId="1" applyFill="1" applyBorder="1" applyAlignment="1">
      <alignment vertical="center"/>
    </xf>
    <xf numFmtId="0" fontId="230" fillId="0" borderId="12" xfId="1" applyFont="1" applyFill="1" applyBorder="1" applyAlignment="1">
      <alignment horizontal="center" vertical="center"/>
    </xf>
    <xf numFmtId="0" fontId="200" fillId="0" borderId="2" xfId="1" applyFont="1" applyFill="1" applyBorder="1" applyAlignment="1">
      <alignment horizontal="center" vertical="center" wrapText="1"/>
    </xf>
    <xf numFmtId="0" fontId="32" fillId="0" borderId="2" xfId="1" applyFont="1" applyFill="1" applyBorder="1" applyAlignment="1">
      <alignment vertical="center"/>
    </xf>
    <xf numFmtId="0" fontId="200" fillId="0" borderId="12" xfId="1" applyFont="1" applyFill="1" applyBorder="1" applyAlignment="1">
      <alignment horizontal="center" vertical="center"/>
    </xf>
    <xf numFmtId="9" fontId="230" fillId="0" borderId="2" xfId="1" applyNumberFormat="1" applyFont="1" applyFill="1" applyBorder="1" applyAlignment="1">
      <alignment horizontal="center" vertical="center"/>
    </xf>
    <xf numFmtId="0" fontId="200" fillId="0" borderId="2" xfId="1" applyFont="1" applyBorder="1" applyAlignment="1">
      <alignment horizontal="center" vertical="center"/>
    </xf>
    <xf numFmtId="9" fontId="200" fillId="0" borderId="2" xfId="1" applyNumberFormat="1" applyFont="1" applyBorder="1" applyAlignment="1">
      <alignment horizontal="center" vertical="center"/>
    </xf>
    <xf numFmtId="0" fontId="230" fillId="0" borderId="44" xfId="1" applyFont="1" applyFill="1" applyBorder="1" applyAlignment="1">
      <alignment horizontal="center" vertical="center"/>
    </xf>
    <xf numFmtId="9" fontId="230" fillId="0" borderId="44" xfId="1" applyNumberFormat="1" applyFont="1" applyFill="1" applyBorder="1" applyAlignment="1">
      <alignment horizontal="center" vertical="center"/>
    </xf>
    <xf numFmtId="177" fontId="230" fillId="0" borderId="44" xfId="1" applyNumberFormat="1" applyFont="1" applyFill="1" applyBorder="1" applyAlignment="1">
      <alignment horizontal="center" vertical="center"/>
    </xf>
    <xf numFmtId="0" fontId="221" fillId="0" borderId="46" xfId="1" applyFont="1" applyFill="1" applyBorder="1" applyAlignment="1">
      <alignment horizontal="center" vertical="center"/>
    </xf>
    <xf numFmtId="0" fontId="145" fillId="0" borderId="0" xfId="1" applyFont="1" applyAlignment="1">
      <alignment horizontal="center" vertical="center"/>
    </xf>
    <xf numFmtId="0" fontId="230" fillId="11" borderId="2" xfId="1" applyFont="1" applyFill="1" applyBorder="1" applyAlignment="1">
      <alignment vertical="center"/>
    </xf>
    <xf numFmtId="0" fontId="255" fillId="0" borderId="0" xfId="1" applyFont="1">
      <alignment vertical="center"/>
    </xf>
    <xf numFmtId="0" fontId="145" fillId="0" borderId="0" xfId="1" applyAlignment="1">
      <alignment horizontal="center" vertical="center"/>
    </xf>
    <xf numFmtId="0" fontId="127" fillId="0" borderId="2" xfId="1" applyFont="1" applyBorder="1" applyAlignment="1">
      <alignment horizontal="center"/>
    </xf>
    <xf numFmtId="0" fontId="127" fillId="0" borderId="2" xfId="1" applyFont="1" applyBorder="1" applyAlignment="1"/>
    <xf numFmtId="49" fontId="127" fillId="0" borderId="2" xfId="1" applyNumberFormat="1" applyFont="1" applyBorder="1" applyAlignment="1">
      <alignment horizontal="center"/>
    </xf>
    <xf numFmtId="9" fontId="127" fillId="0" borderId="2" xfId="1" applyNumberFormat="1" applyFont="1" applyBorder="1" applyAlignment="1"/>
    <xf numFmtId="0" fontId="127" fillId="0" borderId="2" xfId="1" applyFont="1" applyFill="1" applyBorder="1" applyAlignment="1">
      <alignment horizontal="center"/>
    </xf>
    <xf numFmtId="0" fontId="86" fillId="6" borderId="0" xfId="16" applyFill="1"/>
    <xf numFmtId="0" fontId="0" fillId="6"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179" fontId="76" fillId="13" borderId="0" xfId="0" applyNumberFormat="1" applyFont="1" applyFill="1" applyAlignment="1" applyProtection="1">
      <alignment horizontal="center" vertical="center"/>
      <protection locked="0"/>
    </xf>
    <xf numFmtId="0" fontId="8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75" fillId="20" borderId="2" xfId="0" applyFont="1" applyFill="1" applyBorder="1" applyAlignment="1" applyProtection="1">
      <alignment horizontal="center" vertical="center"/>
    </xf>
    <xf numFmtId="9" fontId="71" fillId="6" borderId="64" xfId="0" applyNumberFormat="1" applyFont="1" applyFill="1" applyBorder="1" applyAlignment="1" applyProtection="1">
      <alignment horizontal="center" vertical="center" wrapText="1"/>
      <protection locked="0"/>
    </xf>
    <xf numFmtId="0" fontId="71" fillId="20" borderId="5" xfId="0" applyFont="1" applyFill="1" applyBorder="1" applyAlignment="1" applyProtection="1">
      <alignment horizontal="center" vertical="center" wrapText="1"/>
    </xf>
    <xf numFmtId="0" fontId="133" fillId="0"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221" fillId="0" borderId="5" xfId="1" applyFont="1" applyFill="1" applyBorder="1" applyAlignment="1">
      <alignment horizontal="center" vertical="center"/>
    </xf>
    <xf numFmtId="177" fontId="127" fillId="0" borderId="5" xfId="1" applyNumberFormat="1" applyFont="1" applyFill="1" applyBorder="1" applyAlignment="1">
      <alignment horizontal="center" vertical="center"/>
    </xf>
    <xf numFmtId="0" fontId="145" fillId="9" borderId="7" xfId="1" applyFill="1" applyBorder="1" applyAlignment="1">
      <alignment horizontal="center" vertical="center"/>
    </xf>
    <xf numFmtId="0" fontId="145" fillId="9" borderId="46" xfId="1" applyFill="1" applyBorder="1" applyAlignment="1">
      <alignment horizontal="center" vertical="center"/>
    </xf>
    <xf numFmtId="0" fontId="284" fillId="9" borderId="30" xfId="1" applyFont="1" applyFill="1" applyBorder="1" applyAlignment="1">
      <alignment horizontal="center" vertical="center" wrapText="1"/>
    </xf>
    <xf numFmtId="0" fontId="284" fillId="9" borderId="56" xfId="1" applyFont="1" applyFill="1" applyBorder="1" applyAlignment="1">
      <alignment horizontal="center" vertical="center" wrapText="1"/>
    </xf>
    <xf numFmtId="0" fontId="84" fillId="0" borderId="11" xfId="0" applyFont="1" applyFill="1" applyBorder="1" applyAlignment="1" applyProtection="1">
      <alignment vertical="center"/>
      <protection locked="0"/>
    </xf>
    <xf numFmtId="181" fontId="84" fillId="0" borderId="2" xfId="0" applyNumberFormat="1" applyFont="1" applyFill="1" applyBorder="1" applyAlignment="1" applyProtection="1">
      <alignment vertical="center"/>
      <protection locked="0"/>
    </xf>
    <xf numFmtId="184" fontId="101" fillId="5" borderId="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5" fillId="0" borderId="31" xfId="1" applyFont="1" applyBorder="1" applyAlignment="1">
      <alignment horizontal="center" vertical="center"/>
    </xf>
    <xf numFmtId="0" fontId="145" fillId="0" borderId="0" xfId="1" applyFont="1" applyAlignment="1">
      <alignment horizontal="center" vertical="center"/>
    </xf>
    <xf numFmtId="0" fontId="227" fillId="5" borderId="64" xfId="1" applyFont="1" applyFill="1" applyBorder="1" applyAlignment="1">
      <alignment horizontal="left" vertical="center"/>
    </xf>
    <xf numFmtId="0" fontId="227" fillId="5" borderId="8" xfId="1" applyFont="1" applyFill="1" applyBorder="1" applyAlignment="1">
      <alignment horizontal="left" vertical="center"/>
    </xf>
    <xf numFmtId="0" fontId="227" fillId="5" borderId="9" xfId="1" applyFont="1" applyFill="1" applyBorder="1" applyAlignment="1">
      <alignment horizontal="left" vertical="center"/>
    </xf>
    <xf numFmtId="0" fontId="229" fillId="5" borderId="2" xfId="1" applyFont="1" applyFill="1" applyBorder="1" applyAlignment="1">
      <alignment horizontal="center" vertical="center"/>
    </xf>
    <xf numFmtId="0" fontId="229" fillId="5" borderId="12" xfId="1" applyFont="1" applyFill="1" applyBorder="1" applyAlignment="1">
      <alignment horizontal="center" vertical="center"/>
    </xf>
    <xf numFmtId="0" fontId="221" fillId="5" borderId="11" xfId="1" applyFont="1" applyFill="1" applyBorder="1" applyAlignment="1">
      <alignment horizontal="left" vertical="center" wrapText="1"/>
    </xf>
    <xf numFmtId="0" fontId="127" fillId="0" borderId="2" xfId="1" applyFont="1" applyFill="1" applyBorder="1" applyAlignment="1">
      <alignment horizontal="center" vertical="center"/>
    </xf>
    <xf numFmtId="0" fontId="221" fillId="0" borderId="2" xfId="1" applyFont="1" applyFill="1" applyBorder="1" applyAlignment="1">
      <alignment horizontal="center" vertical="center"/>
    </xf>
    <xf numFmtId="0" fontId="284" fillId="9" borderId="1" xfId="1" applyFont="1" applyFill="1" applyBorder="1" applyAlignment="1">
      <alignment horizontal="center" vertical="center" wrapText="1"/>
    </xf>
    <xf numFmtId="0" fontId="284" fillId="9" borderId="43" xfId="1" applyFont="1" applyFill="1" applyBorder="1" applyAlignment="1">
      <alignment horizontal="center" vertical="center" wrapText="1"/>
    </xf>
    <xf numFmtId="0" fontId="127" fillId="0" borderId="2" xfId="1" applyFont="1" applyBorder="1" applyAlignment="1"/>
    <xf numFmtId="0" fontId="221" fillId="5" borderId="2" xfId="1" applyFont="1" applyFill="1" applyBorder="1" applyAlignment="1">
      <alignment horizontal="left" vertical="center" wrapText="1"/>
    </xf>
    <xf numFmtId="0" fontId="230" fillId="5" borderId="81" xfId="1" applyFont="1" applyFill="1" applyBorder="1" applyAlignment="1">
      <alignment vertical="center"/>
    </xf>
    <xf numFmtId="0" fontId="230" fillId="5" borderId="14" xfId="1" applyFont="1" applyFill="1" applyBorder="1" applyAlignment="1">
      <alignment vertical="center"/>
    </xf>
    <xf numFmtId="0" fontId="230" fillId="5" borderId="32" xfId="1" applyFont="1" applyFill="1" applyBorder="1" applyAlignment="1">
      <alignment vertical="center"/>
    </xf>
    <xf numFmtId="0" fontId="230" fillId="5" borderId="54" xfId="1" applyFont="1" applyFill="1" applyBorder="1" applyAlignment="1">
      <alignment vertical="center"/>
    </xf>
    <xf numFmtId="0" fontId="230" fillId="5" borderId="61" xfId="1" applyFont="1" applyFill="1" applyBorder="1" applyAlignment="1">
      <alignment vertical="center"/>
    </xf>
    <xf numFmtId="0" fontId="230" fillId="5" borderId="67" xfId="1" applyFont="1" applyFill="1" applyBorder="1" applyAlignment="1">
      <alignment vertical="center"/>
    </xf>
    <xf numFmtId="0" fontId="221" fillId="11" borderId="2" xfId="1" applyFont="1" applyFill="1" applyBorder="1" applyAlignment="1">
      <alignment horizontal="center" vertical="center"/>
    </xf>
    <xf numFmtId="0" fontId="127" fillId="0" borderId="2" xfId="1" applyFont="1" applyBorder="1" applyAlignment="1">
      <alignment horizontal="center"/>
    </xf>
    <xf numFmtId="0" fontId="230" fillId="11" borderId="5" xfId="1" applyFont="1" applyFill="1" applyBorder="1" applyAlignment="1">
      <alignment horizontal="left" vertical="center"/>
    </xf>
    <xf numFmtId="0" fontId="230" fillId="11" borderId="8" xfId="1" applyFont="1" applyFill="1" applyBorder="1" applyAlignment="1">
      <alignment horizontal="left" vertical="center"/>
    </xf>
    <xf numFmtId="0" fontId="230" fillId="11" borderId="9" xfId="1" applyFont="1" applyFill="1" applyBorder="1" applyAlignment="1">
      <alignment horizontal="left"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161" xfId="1" applyFont="1" applyBorder="1" applyAlignment="1">
      <alignment horizontal="center" vertical="center" wrapText="1"/>
    </xf>
    <xf numFmtId="0" fontId="280" fillId="0" borderId="162" xfId="1" applyFont="1" applyBorder="1" applyAlignment="1">
      <alignment horizontal="center" vertical="center" wrapText="1"/>
    </xf>
    <xf numFmtId="0" fontId="280" fillId="0" borderId="160" xfId="1" applyFont="1" applyBorder="1" applyAlignment="1">
      <alignment horizontal="center" vertical="center" wrapText="1"/>
    </xf>
    <xf numFmtId="0" fontId="281" fillId="0" borderId="161" xfId="1" applyFont="1" applyBorder="1" applyAlignment="1">
      <alignment horizontal="center" vertical="center" wrapText="1"/>
    </xf>
    <xf numFmtId="0" fontId="281" fillId="0" borderId="162" xfId="1" applyFont="1" applyBorder="1" applyAlignment="1">
      <alignment horizontal="center" vertical="center" wrapText="1"/>
    </xf>
    <xf numFmtId="0" fontId="281" fillId="0" borderId="160" xfId="1" applyFont="1" applyBorder="1" applyAlignment="1">
      <alignment horizontal="center"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361949</xdr:colOff>
      <xdr:row>17</xdr:row>
      <xdr:rowOff>4063</xdr:rowOff>
    </xdr:from>
    <xdr:to>
      <xdr:col>17</xdr:col>
      <xdr:colOff>608586</xdr:colOff>
      <xdr:row>38</xdr:row>
      <xdr:rowOff>142323</xdr:rowOff>
    </xdr:to>
    <xdr:pic>
      <xdr:nvPicPr>
        <xdr:cNvPr id="5" name="图片 4">
          <a:extLst>
            <a:ext uri="{FF2B5EF4-FFF2-40B4-BE49-F238E27FC236}">
              <a16:creationId xmlns="" xmlns:a16="http://schemas.microsoft.com/office/drawing/2014/main" id="{00000000-0008-0000-2A00-000005000000}"/>
            </a:ext>
          </a:extLst>
        </xdr:cNvPr>
        <xdr:cNvPicPr>
          <a:picLocks noChangeAspect="1"/>
        </xdr:cNvPicPr>
      </xdr:nvPicPr>
      <xdr:blipFill>
        <a:blip xmlns:r="http://schemas.openxmlformats.org/officeDocument/2006/relationships" r:embed="rId1"/>
        <a:stretch>
          <a:fillRect/>
        </a:stretch>
      </xdr:blipFill>
      <xdr:spPr>
        <a:xfrm>
          <a:off x="7524749" y="2928238"/>
          <a:ext cx="6856987" cy="3738710"/>
        </a:xfrm>
        <a:prstGeom prst="rect">
          <a:avLst/>
        </a:prstGeom>
      </xdr:spPr>
    </xdr:pic>
    <xdr:clientData/>
  </xdr:twoCellAnchor>
  <xdr:twoCellAnchor editAs="oneCell">
    <xdr:from>
      <xdr:col>0</xdr:col>
      <xdr:colOff>0</xdr:colOff>
      <xdr:row>17</xdr:row>
      <xdr:rowOff>0</xdr:rowOff>
    </xdr:from>
    <xdr:to>
      <xdr:col>8</xdr:col>
      <xdr:colOff>171419</xdr:colOff>
      <xdr:row>40</xdr:row>
      <xdr:rowOff>57150</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0" y="2924175"/>
          <a:ext cx="7448519" cy="4000500"/>
        </a:xfrm>
        <a:prstGeom prst="rect">
          <a:avLst/>
        </a:prstGeom>
      </xdr:spPr>
    </xdr:pic>
    <xdr:clientData/>
  </xdr:twoCellAnchor>
  <xdr:twoCellAnchor editAs="oneCell">
    <xdr:from>
      <xdr:col>0</xdr:col>
      <xdr:colOff>0</xdr:colOff>
      <xdr:row>43</xdr:row>
      <xdr:rowOff>0</xdr:rowOff>
    </xdr:from>
    <xdr:to>
      <xdr:col>8</xdr:col>
      <xdr:colOff>215265</xdr:colOff>
      <xdr:row>67</xdr:row>
      <xdr:rowOff>47625</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3"/>
        <a:stretch>
          <a:fillRect/>
        </a:stretch>
      </xdr:blipFill>
      <xdr:spPr>
        <a:xfrm>
          <a:off x="0" y="7381875"/>
          <a:ext cx="7492365" cy="4162425"/>
        </a:xfrm>
        <a:prstGeom prst="rect">
          <a:avLst/>
        </a:prstGeom>
      </xdr:spPr>
    </xdr:pic>
    <xdr:clientData/>
  </xdr:twoCellAnchor>
  <xdr:twoCellAnchor editAs="oneCell">
    <xdr:from>
      <xdr:col>0</xdr:col>
      <xdr:colOff>1</xdr:colOff>
      <xdr:row>70</xdr:row>
      <xdr:rowOff>0</xdr:rowOff>
    </xdr:from>
    <xdr:to>
      <xdr:col>8</xdr:col>
      <xdr:colOff>190500</xdr:colOff>
      <xdr:row>94</xdr:row>
      <xdr:rowOff>62365</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4"/>
        <a:stretch>
          <a:fillRect/>
        </a:stretch>
      </xdr:blipFill>
      <xdr:spPr>
        <a:xfrm>
          <a:off x="1" y="12011025"/>
          <a:ext cx="7467599" cy="4177165"/>
        </a:xfrm>
        <a:prstGeom prst="rect">
          <a:avLst/>
        </a:prstGeom>
      </xdr:spPr>
    </xdr:pic>
    <xdr:clientData/>
  </xdr:twoCellAnchor>
  <xdr:twoCellAnchor>
    <xdr:from>
      <xdr:col>11</xdr:col>
      <xdr:colOff>657225</xdr:colOff>
      <xdr:row>22</xdr:row>
      <xdr:rowOff>76200</xdr:rowOff>
    </xdr:from>
    <xdr:to>
      <xdr:col>12</xdr:col>
      <xdr:colOff>285750</xdr:colOff>
      <xdr:row>24</xdr:row>
      <xdr:rowOff>47624</xdr:rowOff>
    </xdr:to>
    <xdr:sp macro="" textlink="">
      <xdr:nvSpPr>
        <xdr:cNvPr id="6" name="五角星 5">
          <a:extLst>
            <a:ext uri="{FF2B5EF4-FFF2-40B4-BE49-F238E27FC236}">
              <a16:creationId xmlns="" xmlns:a16="http://schemas.microsoft.com/office/drawing/2014/main" id="{00000000-0008-0000-2A00-000006000000}"/>
            </a:ext>
          </a:extLst>
        </xdr:cNvPr>
        <xdr:cNvSpPr/>
      </xdr:nvSpPr>
      <xdr:spPr>
        <a:xfrm>
          <a:off x="9877425" y="3857625"/>
          <a:ext cx="314325" cy="314324"/>
        </a:xfrm>
        <a:prstGeom prst="star5">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219075</xdr:colOff>
      <xdr:row>25</xdr:row>
      <xdr:rowOff>95249</xdr:rowOff>
    </xdr:from>
    <xdr:to>
      <xdr:col>13</xdr:col>
      <xdr:colOff>66675</xdr:colOff>
      <xdr:row>26</xdr:row>
      <xdr:rowOff>123824</xdr:rowOff>
    </xdr:to>
    <xdr:cxnSp macro="">
      <xdr:nvCxnSpPr>
        <xdr:cNvPr id="9" name="肘形连接符 8">
          <a:extLst>
            <a:ext uri="{FF2B5EF4-FFF2-40B4-BE49-F238E27FC236}">
              <a16:creationId xmlns="" xmlns:a16="http://schemas.microsoft.com/office/drawing/2014/main" id="{00000000-0008-0000-2A00-000009000000}"/>
            </a:ext>
          </a:extLst>
        </xdr:cNvPr>
        <xdr:cNvCxnSpPr/>
      </xdr:nvCxnSpPr>
      <xdr:spPr>
        <a:xfrm rot="10800000" flipV="1">
          <a:off x="10125075" y="4391024"/>
          <a:ext cx="533400" cy="200025"/>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238125</xdr:colOff>
      <xdr:row>26</xdr:row>
      <xdr:rowOff>28575</xdr:rowOff>
    </xdr:from>
    <xdr:to>
      <xdr:col>12</xdr:col>
      <xdr:colOff>190500</xdr:colOff>
      <xdr:row>27</xdr:row>
      <xdr:rowOff>142875</xdr:rowOff>
    </xdr:to>
    <xdr:sp macro="" textlink="">
      <xdr:nvSpPr>
        <xdr:cNvPr id="11" name="圆角矩形 10">
          <a:extLst>
            <a:ext uri="{FF2B5EF4-FFF2-40B4-BE49-F238E27FC236}">
              <a16:creationId xmlns="" xmlns:a16="http://schemas.microsoft.com/office/drawing/2014/main" id="{00000000-0008-0000-2A00-00000B000000}"/>
            </a:ext>
          </a:extLst>
        </xdr:cNvPr>
        <xdr:cNvSpPr/>
      </xdr:nvSpPr>
      <xdr:spPr>
        <a:xfrm>
          <a:off x="9458325" y="4495800"/>
          <a:ext cx="638175"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12</xdr:col>
      <xdr:colOff>161924</xdr:colOff>
      <xdr:row>32</xdr:row>
      <xdr:rowOff>156463</xdr:rowOff>
    </xdr:from>
    <xdr:to>
      <xdr:col>13</xdr:col>
      <xdr:colOff>9524</xdr:colOff>
      <xdr:row>34</xdr:row>
      <xdr:rowOff>13588</xdr:rowOff>
    </xdr:to>
    <xdr:cxnSp macro="">
      <xdr:nvCxnSpPr>
        <xdr:cNvPr id="12" name="肘形连接符 11">
          <a:extLst>
            <a:ext uri="{FF2B5EF4-FFF2-40B4-BE49-F238E27FC236}">
              <a16:creationId xmlns="" xmlns:a16="http://schemas.microsoft.com/office/drawing/2014/main" id="{00000000-0008-0000-2A00-00000C000000}"/>
            </a:ext>
          </a:extLst>
        </xdr:cNvPr>
        <xdr:cNvCxnSpPr/>
      </xdr:nvCxnSpPr>
      <xdr:spPr>
        <a:xfrm rot="10800000" flipV="1">
          <a:off x="10067924" y="5652388"/>
          <a:ext cx="533400" cy="200025"/>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171449</xdr:colOff>
      <xdr:row>33</xdr:row>
      <xdr:rowOff>32638</xdr:rowOff>
    </xdr:from>
    <xdr:to>
      <xdr:col>12</xdr:col>
      <xdr:colOff>123824</xdr:colOff>
      <xdr:row>34</xdr:row>
      <xdr:rowOff>146938</xdr:rowOff>
    </xdr:to>
    <xdr:sp macro="" textlink="">
      <xdr:nvSpPr>
        <xdr:cNvPr id="13" name="圆角矩形 12">
          <a:extLst>
            <a:ext uri="{FF2B5EF4-FFF2-40B4-BE49-F238E27FC236}">
              <a16:creationId xmlns="" xmlns:a16="http://schemas.microsoft.com/office/drawing/2014/main" id="{00000000-0008-0000-2A00-00000D000000}"/>
            </a:ext>
          </a:extLst>
        </xdr:cNvPr>
        <xdr:cNvSpPr/>
      </xdr:nvSpPr>
      <xdr:spPr>
        <a:xfrm>
          <a:off x="9391649" y="5700013"/>
          <a:ext cx="638175"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13</xdr:col>
      <xdr:colOff>152399</xdr:colOff>
      <xdr:row>33</xdr:row>
      <xdr:rowOff>146938</xdr:rowOff>
    </xdr:from>
    <xdr:to>
      <xdr:col>13</xdr:col>
      <xdr:colOff>695325</xdr:colOff>
      <xdr:row>34</xdr:row>
      <xdr:rowOff>152400</xdr:rowOff>
    </xdr:to>
    <xdr:cxnSp macro="">
      <xdr:nvCxnSpPr>
        <xdr:cNvPr id="14" name="肘形连接符 13">
          <a:extLst>
            <a:ext uri="{FF2B5EF4-FFF2-40B4-BE49-F238E27FC236}">
              <a16:creationId xmlns="" xmlns:a16="http://schemas.microsoft.com/office/drawing/2014/main" id="{00000000-0008-0000-2A00-00000E000000}"/>
            </a:ext>
          </a:extLst>
        </xdr:cNvPr>
        <xdr:cNvCxnSpPr/>
      </xdr:nvCxnSpPr>
      <xdr:spPr>
        <a:xfrm>
          <a:off x="10744199" y="5814313"/>
          <a:ext cx="542926" cy="176912"/>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704849</xdr:colOff>
      <xdr:row>34</xdr:row>
      <xdr:rowOff>42163</xdr:rowOff>
    </xdr:from>
    <xdr:to>
      <xdr:col>14</xdr:col>
      <xdr:colOff>219074</xdr:colOff>
      <xdr:row>35</xdr:row>
      <xdr:rowOff>156463</xdr:rowOff>
    </xdr:to>
    <xdr:sp macro="" textlink="">
      <xdr:nvSpPr>
        <xdr:cNvPr id="16" name="圆角矩形 15">
          <a:extLst>
            <a:ext uri="{FF2B5EF4-FFF2-40B4-BE49-F238E27FC236}">
              <a16:creationId xmlns="" xmlns:a16="http://schemas.microsoft.com/office/drawing/2014/main" id="{00000000-0008-0000-2A00-000010000000}"/>
            </a:ext>
          </a:extLst>
        </xdr:cNvPr>
        <xdr:cNvSpPr/>
      </xdr:nvSpPr>
      <xdr:spPr>
        <a:xfrm>
          <a:off x="11296649" y="5880988"/>
          <a:ext cx="638175"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xdr:from>
      <xdr:col>12</xdr:col>
      <xdr:colOff>247649</xdr:colOff>
      <xdr:row>22</xdr:row>
      <xdr:rowOff>114300</xdr:rowOff>
    </xdr:from>
    <xdr:to>
      <xdr:col>13</xdr:col>
      <xdr:colOff>38100</xdr:colOff>
      <xdr:row>23</xdr:row>
      <xdr:rowOff>118363</xdr:rowOff>
    </xdr:to>
    <xdr:cxnSp macro="">
      <xdr:nvCxnSpPr>
        <xdr:cNvPr id="17" name="肘形连接符 16">
          <a:extLst>
            <a:ext uri="{FF2B5EF4-FFF2-40B4-BE49-F238E27FC236}">
              <a16:creationId xmlns="" xmlns:a16="http://schemas.microsoft.com/office/drawing/2014/main" id="{00000000-0008-0000-2A00-000011000000}"/>
            </a:ext>
          </a:extLst>
        </xdr:cNvPr>
        <xdr:cNvCxnSpPr/>
      </xdr:nvCxnSpPr>
      <xdr:spPr>
        <a:xfrm flipV="1">
          <a:off x="10153649" y="3895725"/>
          <a:ext cx="476251" cy="175513"/>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85724</xdr:colOff>
      <xdr:row>21</xdr:row>
      <xdr:rowOff>80263</xdr:rowOff>
    </xdr:from>
    <xdr:to>
      <xdr:col>13</xdr:col>
      <xdr:colOff>942975</xdr:colOff>
      <xdr:row>23</xdr:row>
      <xdr:rowOff>23113</xdr:rowOff>
    </xdr:to>
    <xdr:sp macro="" textlink="">
      <xdr:nvSpPr>
        <xdr:cNvPr id="19" name="圆角矩形 18">
          <a:extLst>
            <a:ext uri="{FF2B5EF4-FFF2-40B4-BE49-F238E27FC236}">
              <a16:creationId xmlns="" xmlns:a16="http://schemas.microsoft.com/office/drawing/2014/main" id="{00000000-0008-0000-2A00-000013000000}"/>
            </a:ext>
          </a:extLst>
        </xdr:cNvPr>
        <xdr:cNvSpPr/>
      </xdr:nvSpPr>
      <xdr:spPr>
        <a:xfrm>
          <a:off x="10677524" y="3690238"/>
          <a:ext cx="857251"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9</xdr:row>
      <xdr:rowOff>133350</xdr:rowOff>
    </xdr:from>
    <xdr:to>
      <xdr:col>20</xdr:col>
      <xdr:colOff>332578</xdr:colOff>
      <xdr:row>13</xdr:row>
      <xdr:rowOff>85623</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8010525" y="1762125"/>
          <a:ext cx="6380953" cy="819048"/>
        </a:xfrm>
        <a:prstGeom prst="rect">
          <a:avLst/>
        </a:prstGeom>
      </xdr:spPr>
    </xdr:pic>
    <xdr:clientData/>
  </xdr:twoCellAnchor>
  <xdr:twoCellAnchor editAs="oneCell">
    <xdr:from>
      <xdr:col>11</xdr:col>
      <xdr:colOff>248792</xdr:colOff>
      <xdr:row>13</xdr:row>
      <xdr:rowOff>85725</xdr:rowOff>
    </xdr:from>
    <xdr:to>
      <xdr:col>20</xdr:col>
      <xdr:colOff>219075</xdr:colOff>
      <xdr:row>19</xdr:row>
      <xdr:rowOff>134005</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8135492" y="2581275"/>
          <a:ext cx="6142483" cy="1172230"/>
        </a:xfrm>
        <a:prstGeom prst="rect">
          <a:avLst/>
        </a:prstGeom>
      </xdr:spPr>
    </xdr:pic>
    <xdr:clientData/>
  </xdr:twoCellAnchor>
  <xdr:twoCellAnchor editAs="oneCell">
    <xdr:from>
      <xdr:col>9</xdr:col>
      <xdr:colOff>354370</xdr:colOff>
      <xdr:row>21</xdr:row>
      <xdr:rowOff>38100</xdr:rowOff>
    </xdr:from>
    <xdr:to>
      <xdr:col>18</xdr:col>
      <xdr:colOff>75139</xdr:colOff>
      <xdr:row>35</xdr:row>
      <xdr:rowOff>161470</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8241070" y="4000500"/>
          <a:ext cx="5892969" cy="2523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351867</xdr:colOff>
      <xdr:row>34</xdr:row>
      <xdr:rowOff>18319</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4466667"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012-P01DYGJ2&#31119;&#23551;&#23725;&#20859;&#32769;&#38498;/&#20013;&#34892;&#31119;&#23551;&#23725;&#20859;&#32769;&#38498;/&#35810;&#20215;&#31119;&#23551;&#23725;/&#30707;&#26223;&#23665;&#20859;&#32769;&#3849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012-P01DYGJ2&#31119;&#23551;&#23725;&#20859;&#32769;&#38498;/&#20013;&#34892;&#31119;&#23551;&#23725;&#20859;&#32769;&#38498;/&#35810;&#20215;&#31119;&#23551;&#23725;/&#29615;&#20445;&#31185;&#25216;&#22253;&#27979;&#3163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地价"/>
      <sheetName val="基准地价（汇总）"/>
      <sheetName val="收益还原法"/>
      <sheetName val="不动产收益法"/>
      <sheetName val="酒店收入计算11"/>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其他项目经营收益"/>
      <sheetName val="土地案例"/>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基准地价修正"/>
      <sheetName val="土地比较法-住宅、综合"/>
      <sheetName val="土地案例"/>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面积指标"/>
      <sheetName val="中指成交数据"/>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62">
          <cell r="A62" t="str">
            <v>交易情况</v>
          </cell>
        </row>
      </sheetData>
      <sheetData sheetId="19">
        <row r="5">
          <cell r="B5" t="str">
            <v>修正项2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row>
      </sheetData>
      <sheetData sheetId="28">
        <row r="61">
          <cell r="A61" t="str">
            <v>交易情况</v>
          </cell>
        </row>
      </sheetData>
      <sheetData sheetId="29" refreshError="1"/>
      <sheetData sheetId="30">
        <row r="73">
          <cell r="A73" t="str">
            <v>交易情况</v>
          </cell>
        </row>
      </sheetData>
      <sheetData sheetId="31" refreshError="1"/>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row r="97">
          <cell r="B97" t="str">
            <v>毗邻道路的类型与等级</v>
          </cell>
        </row>
        <row r="112">
          <cell r="B112" t="str">
            <v>宗地开发程度</v>
          </cell>
        </row>
        <row r="114">
          <cell r="B114" t="str">
            <v>工程地质条件</v>
          </cell>
        </row>
      </sheetData>
      <sheetData sheetId="36">
        <row r="6">
          <cell r="A6" t="str">
            <v>通路</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dgzh.kz-consult.com/biz/Appraise/ProjectReportView.html?rid=4f1c8aa1e62048509629ede9ece5f237"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2635</v>
      </c>
      <c r="B1" s="2607" t="s">
        <v>2732</v>
      </c>
    </row>
    <row r="2" spans="1:55" s="2611" customFormat="1" ht="15" thickTop="1">
      <c r="A2" s="2609" t="s">
        <v>2639</v>
      </c>
      <c r="B2" s="2610" t="str">
        <f>'预评函-封皮'!B37</f>
        <v>北京市出让国有建设用地使用权抵押价格预评估</v>
      </c>
      <c r="AX2" s="2612"/>
      <c r="AZ2" s="2612"/>
      <c r="BA2" s="2613"/>
      <c r="BC2" s="2613"/>
    </row>
    <row r="3" spans="1:55" s="2614" customFormat="1">
      <c r="A3" s="2593" t="s">
        <v>2640</v>
      </c>
      <c r="B3" s="2596">
        <f>'预评函-封皮'!B40</f>
        <v>0</v>
      </c>
    </row>
    <row r="4" spans="1:55" s="2595" customFormat="1">
      <c r="A4" s="2593" t="s">
        <v>2641</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2642</v>
      </c>
      <c r="B5" s="2616" t="str">
        <f>'预评函-封皮'!B49</f>
        <v>康正预评字号</v>
      </c>
    </row>
    <row r="6" spans="1:55" s="2617" customFormat="1" ht="15" thickTop="1">
      <c r="A6" s="2609" t="s">
        <v>2684</v>
      </c>
      <c r="B6" s="2610" t="str">
        <f>'预评函-1'!A4</f>
        <v>受贵公司委托，我公司对北京市出让国有建设用地使用权抵押价格进行了预评估。</v>
      </c>
      <c r="AM6" s="2618"/>
    </row>
    <row r="7" spans="1:55" s="2592" customFormat="1">
      <c r="A7" s="2593" t="s">
        <v>2636</v>
      </c>
      <c r="B7" s="2594" t="str">
        <f>'预评函-1'!A6</f>
        <v>估价对象为使用的、位于北京市出让国有建设用地使用权。根据《国有土地使用证》[]，估价对象（分摊）出让国有建设用地使用权面积为16344.23平方米。根据《建设工程规划许可证》[]、《出让合同》[]，估价对象规划建筑面积为26400平方米。</v>
      </c>
    </row>
    <row r="8" spans="1:55" s="2592" customFormat="1">
      <c r="A8" s="2593" t="s">
        <v>2637</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2687</v>
      </c>
      <c r="B9" s="25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2638</v>
      </c>
      <c r="B10" s="2594" t="str">
        <f>'预评函-1'!A11</f>
        <v>2021年1月6日（评估专业人员勘察现场之日）</v>
      </c>
    </row>
    <row r="11" spans="1:55" s="2592" customFormat="1">
      <c r="A11" s="2593" t="s">
        <v>2644</v>
      </c>
      <c r="B11" s="2594" t="str">
        <f>'预评函-1'!A14</f>
        <v>根据《国有土地使用证》[]，本次评估估价对象证载（地类）用途为。</v>
      </c>
    </row>
    <row r="12" spans="1:55" s="2592" customFormat="1">
      <c r="A12" s="2593" t="s">
        <v>2645</v>
      </c>
      <c r="B12" s="2594" t="str">
        <f>'预评函-1'!A15</f>
        <v>本次评估设定用途即为证载用途。</v>
      </c>
    </row>
    <row r="13" spans="1:55" s="2592" customFormat="1">
      <c r="A13" s="2593" t="s">
        <v>2646</v>
      </c>
      <c r="B13" s="2594" t="str">
        <f>'预评函-1'!A17</f>
        <v>根据委托估价方介绍及评估专业人员现场勘查，本次评估估价对象实际土地开发程度为红线外市政基础设施达“七通”（即通路、通电、通上水、、、、）、宗地红线内场地平整。</v>
      </c>
    </row>
    <row r="14" spans="1:55" s="2592" customFormat="1">
      <c r="A14" s="2593" t="s">
        <v>2647</v>
      </c>
      <c r="B14" s="2594" t="str">
        <f>'预评函-1'!A18</f>
        <v>本次评估设定土地开发程度为红线外市政基础设施达“七通”、宗地红线内场地平整。</v>
      </c>
    </row>
    <row r="15" spans="1:55" s="2592" customFormat="1">
      <c r="A15" s="2593" t="s">
        <v>2643</v>
      </c>
      <c r="B15" s="2594" t="str">
        <f>'预评函-1'!A20</f>
        <v>根据《国有土地使用证》[]，估价对象（分摊）出让国有建设用地使用权面积为16344.23平方米。根据《建设工程规划许可证》[]、《出让合同》[]，估价对象规划建筑面积为26400平方米。</v>
      </c>
    </row>
    <row r="16" spans="1:55" s="2592" customFormat="1">
      <c r="A16" s="2593" t="s">
        <v>2648</v>
      </c>
      <c r="B16" s="2594" t="str">
        <f>'预评函-1'!A22</f>
        <v>本次估价对象为出让国有建设用地使用权，《国有土地使用证》[]证载土地终止日期为办公2056年2月7日。截至估价期日，出让国有建设用地使用权剩余土地使用年限为。</v>
      </c>
    </row>
    <row r="17" spans="1:48" s="2592" customFormat="1">
      <c r="A17" s="2593" t="s">
        <v>2649</v>
      </c>
      <c r="B17" s="2594" t="str">
        <f>'预评函-1'!A23</f>
        <v>本次评估设定估价对象剩余土地使用年限为。</v>
      </c>
    </row>
    <row r="18" spans="1:48" s="2592" customFormat="1">
      <c r="A18" s="2593" t="s">
        <v>2650</v>
      </c>
      <c r="B18" s="2594" t="str">
        <f>'预评函-1'!A25</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row>
    <row r="19" spans="1:48" s="2592" customFormat="1">
      <c r="A19" s="2593" t="s">
        <v>2651</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2652</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2653</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2654</v>
      </c>
      <c r="B22" s="2605"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593" t="s">
        <v>2655</v>
      </c>
      <c r="B23" s="2594" t="str">
        <f>'预评函-2'!K2</f>
        <v>估价期日：2021年1月6日</v>
      </c>
    </row>
    <row r="24" spans="1:48">
      <c r="A24" s="2593" t="s">
        <v>2656</v>
      </c>
      <c r="B24" s="2594" t="str">
        <f>'预评函-2'!R2</f>
        <v>估价期日的国有建设用地使用权性质：出让</v>
      </c>
    </row>
    <row r="25" spans="1:48">
      <c r="A25" s="2593" t="s">
        <v>2712</v>
      </c>
      <c r="B25" s="2594" t="str">
        <f>'预评函-2'!A3</f>
        <v>估价期日土地使用者</v>
      </c>
    </row>
    <row r="26" spans="1:48">
      <c r="A26" s="2593" t="s">
        <v>2688</v>
      </c>
      <c r="B26" s="2594" t="str">
        <f>'预评函-2'!A5</f>
        <v>中信开发</v>
      </c>
    </row>
    <row r="27" spans="1:48">
      <c r="A27" s="2593" t="s">
        <v>2713</v>
      </c>
      <c r="B27" s="2594" t="str">
        <f>'预评函-2'!B3</f>
        <v>宗地编号/不动产单元号</v>
      </c>
    </row>
    <row r="28" spans="1:48">
      <c r="A28" s="2593" t="s">
        <v>2689</v>
      </c>
      <c r="B28" s="2594" t="str">
        <f>'预评函-2'!B5</f>
        <v>11111111111</v>
      </c>
    </row>
    <row r="29" spans="1:48">
      <c r="A29" s="2593" t="s">
        <v>2715</v>
      </c>
      <c r="B29" s="2594">
        <f>'预评函-2'!C5</f>
        <v>22</v>
      </c>
    </row>
    <row r="30" spans="1:48">
      <c r="A30" s="2593" t="s">
        <v>2716</v>
      </c>
      <c r="B30" s="2594" t="str">
        <f>'预评函-2'!D3</f>
        <v>土地使用证编号/不动产权证书编号</v>
      </c>
    </row>
    <row r="31" spans="1:48">
      <c r="A31" s="2593" t="s">
        <v>2690</v>
      </c>
      <c r="B31" s="2594" t="str">
        <f>'预评函-2'!D5</f>
        <v>京国土字第111号</v>
      </c>
    </row>
    <row r="32" spans="1:48">
      <c r="A32" s="2593" t="s">
        <v>2691</v>
      </c>
      <c r="B32" s="2594">
        <f>'预评函-2'!E5</f>
        <v>0</v>
      </c>
      <c r="AV32" s="2598"/>
    </row>
    <row r="33" spans="1:2">
      <c r="A33" s="2593" t="s">
        <v>2692</v>
      </c>
      <c r="B33" s="2594">
        <f>'预评函-2'!F5</f>
        <v>258</v>
      </c>
    </row>
    <row r="34" spans="1:2">
      <c r="A34" s="2593" t="s">
        <v>2693</v>
      </c>
      <c r="B34" s="2594">
        <f>'预评函-2'!G5</f>
        <v>0</v>
      </c>
    </row>
    <row r="35" spans="1:2">
      <c r="A35" s="2593" t="s">
        <v>2694</v>
      </c>
      <c r="B35" s="2594">
        <f>'预评函-2'!H5</f>
        <v>1.5</v>
      </c>
    </row>
    <row r="36" spans="1:2">
      <c r="A36" s="2593" t="s">
        <v>2695</v>
      </c>
      <c r="B36" s="2594">
        <f>'预评函-2'!I5</f>
        <v>1.5</v>
      </c>
    </row>
    <row r="37" spans="1:2">
      <c r="A37" s="2593" t="s">
        <v>2696</v>
      </c>
      <c r="B37" s="2594">
        <f>'预评函-2'!J5</f>
        <v>1.5</v>
      </c>
    </row>
    <row r="38" spans="1:2">
      <c r="A38" s="2593" t="s">
        <v>2697</v>
      </c>
      <c r="B38" s="2594" t="str">
        <f>'预评函-2'!K5</f>
        <v>红线外七通、宗地红线内场地平整</v>
      </c>
    </row>
    <row r="39" spans="1:2">
      <c r="A39" s="2593" t="s">
        <v>2698</v>
      </c>
      <c r="B39" s="2594" t="str">
        <f>'预评函-2'!L5</f>
        <v>红线外七通、宗地红线内场地</v>
      </c>
    </row>
    <row r="40" spans="1:2">
      <c r="A40" s="2593" t="s">
        <v>2717</v>
      </c>
      <c r="B40" s="2594" t="str">
        <f>'预评函-2'!M3</f>
        <v>（剩余）土地使用年限/年</v>
      </c>
    </row>
    <row r="41" spans="1:2">
      <c r="A41" s="2593" t="s">
        <v>2699</v>
      </c>
      <c r="B41" s="2594">
        <f>'预评函-2'!M5</f>
        <v>0</v>
      </c>
    </row>
    <row r="42" spans="1:2">
      <c r="A42" s="2593" t="s">
        <v>2718</v>
      </c>
      <c r="B42" s="2594" t="str">
        <f>'预评函-2'!N3</f>
        <v>（分摊）出让国有建设用地使用权面积/㎡</v>
      </c>
    </row>
    <row r="43" spans="1:2">
      <c r="A43" s="2593" t="s">
        <v>2700</v>
      </c>
      <c r="B43" s="2594">
        <f>'预评函-2'!N5</f>
        <v>16344.23</v>
      </c>
    </row>
    <row r="44" spans="1:2">
      <c r="A44" s="2593" t="s">
        <v>2719</v>
      </c>
      <c r="B44" s="2594" t="str">
        <f>'预评函-2'!O3</f>
        <v>规划建筑面积/㎡</v>
      </c>
    </row>
    <row r="45" spans="1:2">
      <c r="A45" s="2593" t="s">
        <v>2701</v>
      </c>
      <c r="B45" s="2594">
        <f>'预评函-2'!O5</f>
        <v>26400</v>
      </c>
    </row>
    <row r="46" spans="1:2">
      <c r="A46" s="2593" t="s">
        <v>2702</v>
      </c>
      <c r="B46" s="2594">
        <f ca="1">'预评函-2'!P5</f>
        <v>18373</v>
      </c>
    </row>
    <row r="47" spans="1:2">
      <c r="A47" s="2593" t="s">
        <v>2703</v>
      </c>
      <c r="B47" s="2594">
        <f ca="1">'预评函-2'!Q5</f>
        <v>11375</v>
      </c>
    </row>
    <row r="48" spans="1:2">
      <c r="A48" s="2593" t="s">
        <v>2704</v>
      </c>
      <c r="B48" s="2594">
        <f ca="1">'预评函-2'!R5</f>
        <v>30029</v>
      </c>
    </row>
    <row r="49" spans="1:2">
      <c r="A49" s="2593" t="s">
        <v>2720</v>
      </c>
      <c r="B49" s="2594" t="str">
        <f>'预评函-2'!A6</f>
        <v>抵押价格</v>
      </c>
    </row>
    <row r="50" spans="1:2">
      <c r="A50" s="2593" t="s">
        <v>2705</v>
      </c>
      <c r="B50" s="2594">
        <f ca="1">'预评函-2'!R6</f>
        <v>30029</v>
      </c>
    </row>
    <row r="51" spans="1:2">
      <c r="A51" s="2593" t="s">
        <v>2721</v>
      </c>
      <c r="B51" s="2594" t="str">
        <f>'预评函-2'!A7</f>
        <v>——</v>
      </c>
    </row>
    <row r="52" spans="1:2">
      <c r="A52" s="2593" t="s">
        <v>2706</v>
      </c>
      <c r="B52" s="2594" t="str">
        <f>'预评函-2'!R7</f>
        <v>——</v>
      </c>
    </row>
    <row r="53" spans="1:2">
      <c r="A53" s="2593" t="s">
        <v>2722</v>
      </c>
      <c r="B53" s="2594">
        <f>'预评函-2'!A8</f>
        <v>0</v>
      </c>
    </row>
    <row r="54" spans="1:2" s="2608" customFormat="1" ht="15" thickBot="1">
      <c r="A54" s="2615" t="s">
        <v>2707</v>
      </c>
      <c r="B54" s="2616" t="str">
        <f>'预评函-2'!R8</f>
        <v>——</v>
      </c>
    </row>
    <row r="55" spans="1:2" ht="15" thickTop="1">
      <c r="A55" s="2604" t="s">
        <v>2657</v>
      </c>
      <c r="B55" s="2605" t="str">
        <f>'预评函-3'!A2</f>
        <v>1.权利限制：根据估价对象《不动产权证书》原件、《国有土地使用权》复印件，截至估价期日，估价对象抵押权未见登记。未设定租赁等其他他项权利。</v>
      </c>
    </row>
    <row r="56" spans="1:2">
      <c r="A56" s="2593" t="s">
        <v>2658</v>
      </c>
      <c r="B56" s="2594" t="str">
        <f>'预评函-3'!A3</f>
        <v>2.基础设施条件：估价对象实际开发程度为红线外七通、宗地红线内场地平整；本次评估设定开发程度为红线外七通、宗地红线内场地。</v>
      </c>
    </row>
    <row r="57" spans="1:2">
      <c r="A57" s="2593" t="s">
        <v>2659</v>
      </c>
      <c r="B57" s="2594" t="str">
        <f>'预评函-3'!A4</f>
        <v>3.估价规划限制条件：详见《建设工程规划许可证》[]、《出让合同》[]。</v>
      </c>
    </row>
    <row r="58" spans="1:2" s="2608" customFormat="1" ht="15" thickBot="1">
      <c r="A58" s="2615" t="s">
        <v>2708</v>
      </c>
      <c r="B58" s="2616" t="str">
        <f>'预评函-3'!A5</f>
        <v>4.影响价格的其他限定条件：无。</v>
      </c>
    </row>
    <row r="59" spans="1:2" ht="15" thickTop="1">
      <c r="A59" s="2604" t="s">
        <v>2660</v>
      </c>
      <c r="B59" s="2605" t="str">
        <f>'预评函-3'!A8</f>
        <v>2.本《评估意见函》仅供金融机构进行内部审核使用，不做其他目的之用。</v>
      </c>
    </row>
    <row r="60" spans="1:2">
      <c r="A60" s="2593" t="s">
        <v>2661</v>
      </c>
      <c r="B60" s="2594" t="str">
        <f>'预评函-3'!A9</f>
        <v>3.抵押双方在办理抵押登记手续时，应使用本公司出具的正式《土地估价报告》，特提请报告使用者注意。</v>
      </c>
    </row>
    <row r="61" spans="1:2">
      <c r="A61" s="2593" t="s">
        <v>2663</v>
      </c>
      <c r="B61" s="2594" t="str">
        <f>'预评函-3'!A10</f>
        <v>4.估价师所知悉的法定优先受偿款情况为：</v>
      </c>
    </row>
    <row r="62" spans="1:2">
      <c r="A62" s="2593" t="s">
        <v>2662</v>
      </c>
      <c r="B62" s="2594" t="str">
        <f>'预评函-3'!A11</f>
        <v>（1）根据估价对象《不动产权证书》原件、《国有土地使用权》复印件，截至估价期日，估价对象抵押权未见登记。</v>
      </c>
    </row>
    <row r="63" spans="1:2">
      <c r="A63" s="2593" t="s">
        <v>2664</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2665</v>
      </c>
      <c r="B64" s="2599" t="str">
        <f>'预评函-3'!A13</f>
        <v>（3）。</v>
      </c>
    </row>
    <row r="65" spans="1:2">
      <c r="A65" s="2593" t="s">
        <v>2666</v>
      </c>
      <c r="B65" s="2600" t="str">
        <f>'预评函-3'!A14</f>
        <v>综上，本次评估不存在估价师知悉的法定优先受偿款</v>
      </c>
    </row>
    <row r="66" spans="1:2">
      <c r="A66" s="2593" t="s">
        <v>2667</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2668</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2671</v>
      </c>
      <c r="B68" s="2619">
        <f>'预评函-3'!D30</f>
        <v>42558</v>
      </c>
    </row>
    <row r="69" spans="1:2" ht="15" thickTop="1">
      <c r="A69" s="2604" t="s">
        <v>2669</v>
      </c>
      <c r="B69" s="2605" t="str">
        <f>'预评函-3'!A20</f>
        <v>土地估价师</v>
      </c>
    </row>
    <row r="70" spans="1:2">
      <c r="A70" s="2593" t="s">
        <v>2669</v>
      </c>
      <c r="B70" s="2600">
        <f>'预评函-3'!B20</f>
        <v>0</v>
      </c>
    </row>
    <row r="71" spans="1:2">
      <c r="A71" s="2593" t="s">
        <v>2670</v>
      </c>
      <c r="B71" s="2594" t="str">
        <f>'预评函-3'!A21</f>
        <v>土地估价师</v>
      </c>
    </row>
    <row r="72" spans="1:2" s="2608" customFormat="1" ht="15" thickBot="1">
      <c r="A72" s="2615" t="s">
        <v>2670</v>
      </c>
      <c r="B72" s="2621">
        <f>'预评函-3'!B21</f>
        <v>0</v>
      </c>
    </row>
    <row r="73" spans="1:2" ht="15" thickTop="1">
      <c r="A73" s="2604" t="s">
        <v>2729</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2730</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2731</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2765</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Normal="100" zoomScaleSheetLayoutView="100" workbookViewId="0">
      <selection activeCell="B13" sqref="B13:D13"/>
    </sheetView>
  </sheetViews>
  <sheetFormatPr defaultColWidth="10" defaultRowHeight="14.25"/>
  <cols>
    <col min="1" max="1" width="15.375" style="1611" customWidth="1"/>
    <col min="2" max="2" width="11.375" style="1611" customWidth="1"/>
    <col min="3" max="3" width="12.625" style="1611" customWidth="1"/>
    <col min="4" max="4" width="10"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1925</v>
      </c>
      <c r="B1" s="3396" t="str">
        <f>IF(B10="北京市","北京市",C10)&amp;F10&amp;B16&amp;"国有建设用地使用权"&amp;B9&amp;"预评估"</f>
        <v>北京市出让国有建设用地使用权抵押价格预评估</v>
      </c>
      <c r="C1" s="3397"/>
      <c r="D1" s="3397"/>
      <c r="E1" s="3397"/>
      <c r="F1" s="3397"/>
      <c r="G1" s="3397"/>
      <c r="H1" s="3397"/>
      <c r="I1" s="3398"/>
      <c r="J1" s="3071"/>
      <c r="K1" s="2308"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5" t="s">
        <v>1926</v>
      </c>
      <c r="B2" s="1753"/>
      <c r="D2" s="3071"/>
      <c r="E2" s="3071"/>
      <c r="F2" s="3071"/>
      <c r="G2" s="3071"/>
      <c r="H2" s="3072"/>
      <c r="I2" s="3073"/>
      <c r="J2" s="3071"/>
      <c r="K2" s="2308" t="str">
        <f>IF(B10="北京市","北京市",C10)&amp;F10&amp;B16&amp;"国有建设用地使用权"</f>
        <v>北京市出让国有建设用地使用权</v>
      </c>
      <c r="L2" s="3050"/>
      <c r="M2" s="3050"/>
      <c r="N2" s="3051"/>
      <c r="O2" s="3052"/>
      <c r="P2" s="3051"/>
      <c r="Q2" s="3051"/>
      <c r="R2" s="3051"/>
      <c r="S2" s="3051"/>
      <c r="T2" s="3051"/>
      <c r="U2" s="3051"/>
    </row>
    <row r="3" spans="1:21">
      <c r="A3" s="1586" t="s">
        <v>1927</v>
      </c>
      <c r="B3" s="1587">
        <v>44202</v>
      </c>
      <c r="C3" s="2994" t="s">
        <v>1983</v>
      </c>
      <c r="D3" s="1587">
        <f>B3</f>
        <v>44202</v>
      </c>
      <c r="E3" s="3071"/>
      <c r="F3" s="3071"/>
      <c r="G3" s="3071"/>
      <c r="H3" s="3072"/>
      <c r="I3" s="3073"/>
      <c r="J3" s="3071"/>
      <c r="K3" s="3054"/>
      <c r="L3" s="3050"/>
      <c r="M3" s="3050"/>
      <c r="N3" s="3051"/>
      <c r="O3" s="3052"/>
      <c r="P3" s="3051"/>
      <c r="Q3" s="3051"/>
      <c r="R3" s="3051"/>
      <c r="S3" s="3051"/>
      <c r="T3" s="3051"/>
      <c r="U3" s="3051"/>
    </row>
    <row r="4" spans="1:21" ht="29.25" thickBot="1">
      <c r="A4" s="1589" t="s">
        <v>1928</v>
      </c>
      <c r="B4" s="1754" t="s">
        <v>2866</v>
      </c>
      <c r="C4" s="1757">
        <f>SUMIF(土地估价师,B4,估价师及机构信息!E3:E16)</f>
        <v>0</v>
      </c>
      <c r="D4" s="1754" t="s">
        <v>2866</v>
      </c>
      <c r="E4" s="1757">
        <f>SUMIF(土地估价师,D4,估价师及机构信息!E3:E16)</f>
        <v>0</v>
      </c>
      <c r="F4" s="1754" t="s">
        <v>942</v>
      </c>
      <c r="G4" s="1757">
        <f>SUMIF(土地估价师,F4,估价师及机构信息!E3:E16)</f>
        <v>0</v>
      </c>
      <c r="H4" s="1754" t="s">
        <v>942</v>
      </c>
      <c r="I4" s="1757">
        <f>SUMIF(土地估价师,H4,估价师及机构信息!E3:E16)</f>
        <v>0</v>
      </c>
      <c r="J4" s="3071"/>
      <c r="K4" s="2308"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1929</v>
      </c>
      <c r="B5" s="1701"/>
      <c r="C5" s="1591"/>
      <c r="D5" s="1592"/>
      <c r="E5" s="3071"/>
      <c r="F5" s="3071"/>
      <c r="G5" s="3071"/>
      <c r="H5" s="3072"/>
      <c r="I5" s="3073"/>
      <c r="J5" s="3071"/>
      <c r="K5" s="3054"/>
      <c r="L5" s="3050"/>
      <c r="M5" s="3050"/>
      <c r="N5" s="3051"/>
      <c r="O5" s="3052"/>
      <c r="P5" s="3051"/>
      <c r="Q5" s="3051"/>
      <c r="R5" s="3051"/>
      <c r="S5" s="3051"/>
      <c r="T5" s="3051"/>
      <c r="U5" s="3051"/>
    </row>
    <row r="6" spans="1:21" ht="26.25">
      <c r="A6" s="1588" t="s">
        <v>2685</v>
      </c>
      <c r="B6" s="1701"/>
      <c r="C6" s="1676"/>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2686</v>
      </c>
      <c r="B7" s="1701"/>
      <c r="C7" s="1676"/>
      <c r="D7" s="1593"/>
      <c r="E7" s="3071"/>
      <c r="F7" s="3071"/>
      <c r="G7" s="3071"/>
      <c r="H7" s="3072"/>
      <c r="I7" s="3073"/>
      <c r="J7" s="3071"/>
      <c r="K7" s="3054"/>
      <c r="L7" s="3050"/>
      <c r="M7" s="3050"/>
      <c r="N7" s="3051"/>
      <c r="O7" s="3052"/>
      <c r="P7" s="3051"/>
      <c r="Q7" s="3051"/>
      <c r="R7" s="3051"/>
      <c r="S7" s="3051"/>
      <c r="T7" s="3051"/>
      <c r="U7" s="3051"/>
    </row>
    <row r="8" spans="1:21">
      <c r="A8" s="2995" t="s">
        <v>1930</v>
      </c>
      <c r="B8" s="1595" t="s">
        <v>2955</v>
      </c>
      <c r="C8" s="1596"/>
      <c r="D8" s="3402" t="s">
        <v>1932</v>
      </c>
      <c r="E8" s="1755" t="s">
        <v>3003</v>
      </c>
      <c r="F8" s="1597"/>
      <c r="G8" s="3072"/>
      <c r="H8" s="3072"/>
      <c r="I8" s="3075"/>
      <c r="J8" s="3071"/>
      <c r="K8" s="3054"/>
      <c r="L8" s="3050"/>
      <c r="M8" s="3050"/>
      <c r="N8" s="3051"/>
      <c r="O8" s="3052"/>
      <c r="P8" s="3051"/>
      <c r="Q8" s="3051"/>
      <c r="R8" s="3051"/>
      <c r="S8" s="3051"/>
      <c r="T8" s="3051"/>
      <c r="U8" s="3051"/>
    </row>
    <row r="9" spans="1:21" ht="15" thickBot="1">
      <c r="A9" s="2996" t="s">
        <v>1931</v>
      </c>
      <c r="B9" s="1598" t="s">
        <v>3003</v>
      </c>
      <c r="C9" s="1599"/>
      <c r="D9" s="3403"/>
      <c r="E9" s="1598"/>
      <c r="F9" s="1662"/>
      <c r="G9" s="3076"/>
      <c r="H9" s="3076"/>
      <c r="I9" s="3077"/>
      <c r="J9" s="3071"/>
      <c r="K9" s="3054"/>
      <c r="L9" s="3050"/>
      <c r="M9" s="3050"/>
      <c r="N9" s="3051"/>
      <c r="O9" s="3052"/>
      <c r="P9" s="3051"/>
      <c r="Q9" s="3051"/>
      <c r="R9" s="3051"/>
      <c r="S9" s="3051"/>
      <c r="T9" s="3051"/>
      <c r="U9" s="3051"/>
    </row>
    <row r="10" spans="1:21" ht="15" thickTop="1">
      <c r="A10" s="2997" t="s">
        <v>1987</v>
      </c>
      <c r="B10" s="1638" t="s">
        <v>1933</v>
      </c>
      <c r="C10" s="1600"/>
      <c r="D10" s="1592"/>
      <c r="E10" s="1601" t="s">
        <v>1934</v>
      </c>
      <c r="F10" s="1602"/>
      <c r="G10" s="1660"/>
      <c r="H10" s="1661"/>
      <c r="I10" s="1592"/>
      <c r="J10" s="3071"/>
      <c r="K10" s="3054"/>
      <c r="L10" s="3050"/>
      <c r="M10" s="3050"/>
      <c r="N10" s="3051"/>
      <c r="O10" s="3052"/>
      <c r="P10" s="3051"/>
      <c r="Q10" s="3051"/>
      <c r="R10" s="3051"/>
      <c r="S10" s="3051"/>
      <c r="T10" s="3051"/>
      <c r="U10" s="3051"/>
    </row>
    <row r="11" spans="1:21">
      <c r="A11" s="2998" t="s">
        <v>1988</v>
      </c>
      <c r="B11" s="1617" t="s">
        <v>3004</v>
      </c>
      <c r="C11" s="1603"/>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399"/>
      <c r="C12" s="3400"/>
      <c r="D12" s="3401"/>
      <c r="E12" s="1618" t="s">
        <v>2049</v>
      </c>
      <c r="F12" s="3417" t="s">
        <v>2867</v>
      </c>
      <c r="G12" s="3418"/>
      <c r="H12" s="3418"/>
      <c r="I12" s="3419"/>
      <c r="J12" s="3071"/>
      <c r="K12" s="3054"/>
      <c r="L12" s="3050"/>
      <c r="M12" s="3050"/>
      <c r="N12" s="3051"/>
      <c r="O12" s="3052"/>
      <c r="P12" s="3051"/>
      <c r="Q12" s="3051"/>
      <c r="R12" s="3051"/>
      <c r="S12" s="3051"/>
      <c r="T12" s="3051"/>
      <c r="U12" s="3051"/>
    </row>
    <row r="13" spans="1:21">
      <c r="A13" s="1609" t="s">
        <v>2047</v>
      </c>
      <c r="B13" s="3399"/>
      <c r="C13" s="3400"/>
      <c r="D13" s="3401"/>
      <c r="E13" s="1618" t="s">
        <v>2049</v>
      </c>
      <c r="F13" s="3417" t="s">
        <v>2868</v>
      </c>
      <c r="G13" s="3418"/>
      <c r="H13" s="3418"/>
      <c r="I13" s="3419"/>
      <c r="J13" s="3071"/>
      <c r="K13" s="3054"/>
      <c r="L13" s="3050"/>
      <c r="M13" s="3050"/>
      <c r="N13" s="3051"/>
      <c r="O13" s="3052"/>
      <c r="P13" s="3051"/>
      <c r="Q13" s="3051"/>
      <c r="R13" s="3051"/>
      <c r="S13" s="3051"/>
      <c r="T13" s="3051"/>
      <c r="U13" s="3051"/>
    </row>
    <row r="14" spans="1:21">
      <c r="A14" s="1586" t="s">
        <v>2050</v>
      </c>
      <c r="B14" s="1618"/>
      <c r="C14" s="1756" t="s">
        <v>3005</v>
      </c>
      <c r="D14" s="1652" t="str">
        <f>IF(C14="不一致","是否符合证载地类范围","")</f>
        <v/>
      </c>
      <c r="E14" s="1618"/>
      <c r="F14" s="1702"/>
      <c r="G14" s="1647"/>
      <c r="H14" s="1647"/>
      <c r="I14" s="1749"/>
      <c r="J14" s="3071"/>
      <c r="K14" s="3054"/>
      <c r="L14" s="3050"/>
      <c r="M14" s="3050"/>
      <c r="N14" s="3051"/>
      <c r="O14" s="3052"/>
      <c r="P14" s="3051"/>
      <c r="Q14" s="3051"/>
      <c r="R14" s="3051"/>
      <c r="S14" s="3051"/>
      <c r="T14" s="3051"/>
      <c r="U14" s="3051"/>
    </row>
    <row r="15" spans="1:21" hidden="1">
      <c r="A15" s="2485"/>
      <c r="B15" s="1588"/>
      <c r="C15" s="1588"/>
      <c r="D15" s="1681" t="s">
        <v>1937</v>
      </c>
      <c r="E15" s="1681" t="s">
        <v>1938</v>
      </c>
      <c r="F15" s="1681" t="s">
        <v>1939</v>
      </c>
      <c r="G15" s="1608" t="s">
        <v>1940</v>
      </c>
      <c r="H15" s="1608" t="s">
        <v>1941</v>
      </c>
      <c r="I15" s="1608" t="s">
        <v>1942</v>
      </c>
      <c r="J15" s="3071"/>
      <c r="K15" s="3054"/>
      <c r="L15" s="3050"/>
      <c r="M15" s="3050"/>
      <c r="N15" s="3051"/>
      <c r="O15" s="3052"/>
      <c r="P15" s="3051"/>
      <c r="Q15" s="3051"/>
      <c r="R15" s="3051"/>
      <c r="S15" s="3051"/>
      <c r="T15" s="3051"/>
      <c r="U15" s="3051"/>
    </row>
    <row r="16" spans="1:21" ht="28.5">
      <c r="A16" s="2999" t="s">
        <v>1935</v>
      </c>
      <c r="B16" s="1604" t="s">
        <v>2950</v>
      </c>
      <c r="C16" s="1618" t="s">
        <v>1936</v>
      </c>
      <c r="D16" s="2486" t="s">
        <v>1937</v>
      </c>
      <c r="E16" s="1641"/>
      <c r="F16" s="1641" t="s">
        <v>1667</v>
      </c>
      <c r="G16" s="1641"/>
      <c r="H16" s="1641"/>
      <c r="I16" s="1608" t="s">
        <v>1942</v>
      </c>
      <c r="J16" s="3071"/>
      <c r="K16" s="2309" t="str">
        <f>IF(D17="","",D16&amp;TEXT(D17,"yyyy年m月d日;;"))</f>
        <v/>
      </c>
      <c r="L16" s="1618" t="str">
        <f>IF(OR(K16="",M16=""),"","、")</f>
        <v/>
      </c>
      <c r="M16" s="2309" t="str">
        <f>IF(E17="","",E16&amp;TEXT(E17,"yyyy年m月d日;;"))</f>
        <v/>
      </c>
      <c r="N16" s="1618" t="str">
        <f>IF(OR(M16="",O16=""),"","、")</f>
        <v/>
      </c>
      <c r="O16" s="2309" t="str">
        <f>IF(F17="","",F16&amp;TEXT(F17,"yyyy年m月d日;;"))</f>
        <v>办公2056年2月7日</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3000" t="s">
        <v>1943</v>
      </c>
      <c r="D17" s="1619"/>
      <c r="E17" s="1619"/>
      <c r="F17" s="1619">
        <v>57017</v>
      </c>
      <c r="G17" s="1619"/>
      <c r="H17" s="1619"/>
      <c r="I17" s="1619"/>
      <c r="J17" s="3071"/>
      <c r="K17" s="3049" t="str">
        <f>CONCATENATE(K16,L16,M16,N16,O16,P16,Q16,R16,S16,T16,,U16)</f>
        <v>办公2056年2月7日</v>
      </c>
      <c r="L17" s="3050"/>
      <c r="M17" s="3050"/>
      <c r="N17" s="3051"/>
      <c r="O17" s="3052"/>
      <c r="P17" s="3051"/>
      <c r="Q17" s="3051"/>
      <c r="R17" s="3051"/>
      <c r="S17" s="3051"/>
      <c r="T17" s="3051"/>
      <c r="U17" s="3051"/>
    </row>
    <row r="18" spans="1:21">
      <c r="A18" s="1678"/>
      <c r="B18" s="1605"/>
      <c r="C18" s="3000" t="s">
        <v>1944</v>
      </c>
      <c r="D18" s="1606"/>
      <c r="E18" s="1606"/>
      <c r="F18" s="1606">
        <v>50</v>
      </c>
      <c r="G18" s="1606"/>
      <c r="H18" s="1606"/>
      <c r="I18" s="1606"/>
      <c r="J18" s="3071"/>
      <c r="K18" s="3054"/>
      <c r="L18" s="3050"/>
      <c r="M18" s="3050"/>
      <c r="N18" s="3051"/>
      <c r="O18" s="3052"/>
      <c r="P18" s="3051"/>
      <c r="Q18" s="3051"/>
      <c r="R18" s="3051"/>
      <c r="S18" s="3051"/>
      <c r="T18" s="3051"/>
      <c r="U18" s="3051"/>
    </row>
    <row r="19" spans="1:21">
      <c r="A19" s="1678"/>
      <c r="B19" s="1605"/>
      <c r="C19" s="1585" t="s">
        <v>1945</v>
      </c>
      <c r="D19" s="1673" t="str">
        <f>IF(B16="出让",IF(D17="","",ROUNDDOWN(MIN((D17-$D$3)/365,D18),2)),D18)</f>
        <v/>
      </c>
      <c r="E19" s="1607" t="str">
        <f>IF(B16="出让",IF(E17="","",ROUNDDOWN(MIN((E17-$D$3)/365,E18),2)),E18)</f>
        <v/>
      </c>
      <c r="F19" s="1607">
        <f>IF(B16="出让",IF(F17="","",ROUNDDOWN(MIN((F17-$D$3)/365,F18),2)),F18)</f>
        <v>35.1</v>
      </c>
      <c r="G19" s="1607" t="str">
        <f>IF(B16="出让",IF(G17="","",ROUNDDOWN(MIN((G17-$D$3)/365,G18),2)),G18)</f>
        <v/>
      </c>
      <c r="H19" s="1607" t="str">
        <f>IF(B16="出让",IF(H17="","",ROUNDDOWN(MIN((H17-$D$3)/365,H18),2)),H18)</f>
        <v/>
      </c>
      <c r="I19" s="1607"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414"/>
      <c r="E20" s="3415"/>
      <c r="F20" s="3415"/>
      <c r="G20" s="3415"/>
      <c r="H20" s="3415"/>
      <c r="I20" s="3416"/>
      <c r="J20" s="3071"/>
      <c r="K20" s="3054"/>
      <c r="L20" s="3050"/>
      <c r="M20" s="3050"/>
      <c r="N20" s="3051"/>
      <c r="O20" s="3052"/>
      <c r="P20" s="3051"/>
      <c r="Q20" s="3051"/>
      <c r="R20" s="3051"/>
      <c r="S20" s="3051"/>
      <c r="T20" s="3051"/>
      <c r="U20" s="3051"/>
    </row>
    <row r="21" spans="1:21">
      <c r="A21" s="1678" t="s">
        <v>1946</v>
      </c>
      <c r="B21" s="1679" t="s">
        <v>1947</v>
      </c>
      <c r="C21" s="1674">
        <f>'数据-汇总表'!E3</f>
        <v>26400</v>
      </c>
      <c r="D21" s="1675" t="s">
        <v>1948</v>
      </c>
      <c r="E21" s="3404" t="s">
        <v>1986</v>
      </c>
      <c r="F21" s="3405"/>
      <c r="G21" s="3405"/>
      <c r="H21" s="3405"/>
      <c r="I21" s="3406"/>
      <c r="J21" s="3071"/>
      <c r="K21" s="3054"/>
      <c r="L21" s="3050"/>
      <c r="M21" s="3050"/>
      <c r="N21" s="3051"/>
      <c r="O21" s="3052"/>
      <c r="P21" s="3051"/>
      <c r="Q21" s="3051"/>
      <c r="R21" s="3051"/>
      <c r="S21" s="3051"/>
      <c r="T21" s="3051"/>
      <c r="U21" s="3051"/>
    </row>
    <row r="22" spans="1:21">
      <c r="A22" s="2799" t="s">
        <v>942</v>
      </c>
      <c r="B22" s="1586" t="s">
        <v>1949</v>
      </c>
      <c r="C22" s="1608">
        <f>'数据-汇总表'!D3</f>
        <v>16344.23</v>
      </c>
      <c r="D22" s="1609" t="s">
        <v>1948</v>
      </c>
      <c r="E22" s="3404" t="s">
        <v>2869</v>
      </c>
      <c r="F22" s="3405"/>
      <c r="G22" s="3405"/>
      <c r="H22" s="3405"/>
      <c r="I22" s="3406"/>
      <c r="J22" s="3071"/>
      <c r="K22" s="3054"/>
      <c r="L22" s="3050"/>
      <c r="M22" s="3050"/>
      <c r="N22" s="3051"/>
      <c r="O22" s="3052"/>
      <c r="P22" s="3051"/>
      <c r="Q22" s="3051"/>
      <c r="R22" s="3051"/>
      <c r="S22" s="3051"/>
      <c r="T22" s="3051"/>
      <c r="U22" s="3051"/>
    </row>
    <row r="23" spans="1:21" ht="43.5" thickBot="1">
      <c r="A23" s="1680" t="s">
        <v>1950</v>
      </c>
      <c r="B23" s="1620" t="s">
        <v>1951</v>
      </c>
      <c r="C23" s="1621" t="s">
        <v>3006</v>
      </c>
      <c r="D23" s="1622" t="s">
        <v>1952</v>
      </c>
      <c r="E23" s="1623"/>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407" t="s">
        <v>1954</v>
      </c>
      <c r="C24" s="3408"/>
      <c r="D24" s="3409" t="s">
        <v>1955</v>
      </c>
      <c r="E24" s="3410"/>
      <c r="F24" s="1627" t="s">
        <v>1956</v>
      </c>
      <c r="G24" s="3071"/>
      <c r="H24" s="3071"/>
      <c r="I24" s="3075"/>
      <c r="J24" s="3071"/>
      <c r="K24" s="3395"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28.5">
      <c r="A25" s="1666"/>
      <c r="B25" s="1663" t="s">
        <v>2312</v>
      </c>
      <c r="C25" s="1628" t="s">
        <v>1958</v>
      </c>
      <c r="D25" s="1629"/>
      <c r="E25" s="1630" t="s">
        <v>942</v>
      </c>
      <c r="F25" s="1631"/>
      <c r="G25" s="3071"/>
      <c r="H25" s="3071"/>
      <c r="I25" s="3075"/>
      <c r="J25" s="3071"/>
      <c r="K25" s="3395"/>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29.25" thickBot="1">
      <c r="A26" s="1667"/>
      <c r="B26" s="1664" t="s">
        <v>1959</v>
      </c>
      <c r="C26" s="1628" t="s">
        <v>2313</v>
      </c>
      <c r="D26" s="3072"/>
      <c r="E26" s="3072"/>
      <c r="F26" s="3078"/>
      <c r="G26" s="3071"/>
      <c r="H26" s="3071"/>
      <c r="I26" s="3075"/>
      <c r="J26" s="3071"/>
      <c r="K26" s="3395"/>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1"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2"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2" t="s">
        <v>1963</v>
      </c>
      <c r="E29" s="1635"/>
      <c r="F29" s="3078"/>
      <c r="G29" s="3071"/>
      <c r="H29" s="3071"/>
      <c r="I29" s="3075"/>
      <c r="J29" s="3071"/>
      <c r="K29" s="3054"/>
      <c r="L29" s="3050"/>
      <c r="M29" s="3050"/>
      <c r="N29" s="3051"/>
      <c r="O29" s="3052"/>
      <c r="P29" s="3051"/>
      <c r="Q29" s="3051"/>
      <c r="R29" s="3051"/>
      <c r="S29" s="3051"/>
      <c r="T29" s="3051"/>
      <c r="U29" s="3051"/>
    </row>
    <row r="30" spans="1:21" ht="15" thickBot="1">
      <c r="A30" s="1672"/>
      <c r="B30" s="1669" t="s">
        <v>1964</v>
      </c>
      <c r="C30" s="1636"/>
      <c r="D30" s="2493" t="s">
        <v>1964</v>
      </c>
      <c r="E30" s="1637"/>
      <c r="F30" s="3079"/>
      <c r="G30" s="3076"/>
      <c r="H30" s="3076"/>
      <c r="I30" s="3077"/>
      <c r="J30" s="3071"/>
      <c r="K30" s="3054"/>
      <c r="L30" s="3050"/>
      <c r="M30" s="3050"/>
      <c r="N30" s="3051"/>
      <c r="O30" s="3052"/>
      <c r="P30" s="3051"/>
      <c r="Q30" s="3051"/>
      <c r="R30" s="3051"/>
      <c r="S30" s="3051"/>
      <c r="T30" s="3051"/>
      <c r="U30" s="3051"/>
    </row>
    <row r="31" spans="1:21" ht="15" thickTop="1">
      <c r="A31" s="3381" t="s">
        <v>1989</v>
      </c>
      <c r="B31" s="1679" t="s">
        <v>1990</v>
      </c>
      <c r="C31" s="3420" t="s">
        <v>3007</v>
      </c>
      <c r="D31" s="3421"/>
      <c r="E31" s="3071"/>
      <c r="F31" s="3071"/>
      <c r="G31" s="3071"/>
      <c r="H31" s="3071"/>
      <c r="I31" s="3075"/>
      <c r="J31" s="3071"/>
      <c r="K31" s="3057"/>
      <c r="L31" s="3051"/>
      <c r="M31" s="3051"/>
      <c r="N31" s="3051"/>
      <c r="O31" s="3051"/>
      <c r="P31" s="3051"/>
      <c r="Q31" s="3051"/>
      <c r="R31" s="3051"/>
      <c r="S31" s="3051"/>
      <c r="T31" s="3051"/>
      <c r="U31" s="3051"/>
    </row>
    <row r="32" spans="1:21">
      <c r="A32" s="3381"/>
      <c r="B32" s="1586" t="s">
        <v>1991</v>
      </c>
      <c r="C32" s="1638"/>
      <c r="D32" s="1639"/>
      <c r="E32" s="3071"/>
      <c r="F32" s="3071"/>
      <c r="G32" s="3071"/>
      <c r="H32" s="3071"/>
      <c r="I32" s="3075"/>
      <c r="J32" s="3071"/>
      <c r="K32" s="3057"/>
      <c r="L32" s="3051"/>
      <c r="M32" s="3051"/>
      <c r="N32" s="3051"/>
      <c r="O32" s="3051"/>
      <c r="P32" s="3051"/>
      <c r="Q32" s="3051"/>
      <c r="R32" s="3051"/>
      <c r="S32" s="3051"/>
      <c r="T32" s="3051"/>
      <c r="U32" s="3051"/>
    </row>
    <row r="33" spans="1:28">
      <c r="A33" s="3381"/>
      <c r="B33" s="1586" t="s">
        <v>1992</v>
      </c>
      <c r="C33" s="1640"/>
      <c r="D33" s="1750"/>
      <c r="E33" s="3071"/>
      <c r="F33" s="3071"/>
      <c r="G33" s="3071"/>
      <c r="H33" s="3071"/>
      <c r="I33" s="3075"/>
      <c r="J33" s="3071"/>
      <c r="K33" s="3057"/>
      <c r="L33" s="3051"/>
      <c r="M33" s="3051"/>
      <c r="N33" s="3051"/>
      <c r="O33" s="3051"/>
      <c r="P33" s="3051"/>
      <c r="Q33" s="3051"/>
      <c r="R33" s="3051"/>
      <c r="S33" s="3051"/>
      <c r="T33" s="3051"/>
      <c r="U33" s="3051"/>
    </row>
    <row r="34" spans="1:28">
      <c r="A34" s="3382"/>
      <c r="B34" s="1586" t="s">
        <v>1993</v>
      </c>
      <c r="C34" s="3383"/>
      <c r="D34" s="3384"/>
      <c r="E34" s="3071"/>
      <c r="F34" s="3071"/>
      <c r="G34" s="3071"/>
      <c r="H34" s="3071"/>
      <c r="I34" s="3075"/>
      <c r="J34" s="3071"/>
      <c r="K34" s="3057"/>
      <c r="L34" s="3051"/>
      <c r="M34" s="3051"/>
      <c r="N34" s="3051"/>
      <c r="O34" s="3051"/>
      <c r="P34" s="3051"/>
      <c r="Q34" s="3051"/>
      <c r="R34" s="3051"/>
      <c r="S34" s="3051"/>
      <c r="T34" s="3051"/>
      <c r="U34" s="3051"/>
    </row>
    <row r="35" spans="1:28">
      <c r="A35" s="3385" t="s">
        <v>838</v>
      </c>
      <c r="B35" s="1641" t="s">
        <v>3008</v>
      </c>
      <c r="C35" s="1688" t="str">
        <f>IF(B35="场地平整","——","具体情况：")</f>
        <v>——</v>
      </c>
      <c r="D35" s="3387"/>
      <c r="E35" s="3388"/>
      <c r="F35" s="3388"/>
      <c r="G35" s="3388"/>
      <c r="H35" s="3388"/>
      <c r="I35" s="3389"/>
      <c r="J35" s="3071"/>
      <c r="K35" s="3058"/>
      <c r="L35" s="3050"/>
      <c r="M35" s="3050"/>
      <c r="N35" s="3051"/>
      <c r="O35" s="3052"/>
      <c r="P35" s="3051"/>
      <c r="Q35" s="3051"/>
      <c r="R35" s="3051"/>
      <c r="S35" s="3051"/>
      <c r="T35" s="3051"/>
      <c r="U35" s="3051"/>
    </row>
    <row r="36" spans="1:28">
      <c r="A36" s="3381"/>
      <c r="B36" s="3390" t="s">
        <v>2042</v>
      </c>
      <c r="C36" s="3391"/>
      <c r="D36" s="1704"/>
      <c r="E36" s="3392"/>
      <c r="F36" s="3392"/>
      <c r="G36" s="1609" t="str">
        <f>IF(B35="场地未平整","估价结果处理","")</f>
        <v/>
      </c>
      <c r="H36" s="3393"/>
      <c r="I36" s="3393"/>
      <c r="J36" s="3071"/>
      <c r="K36" s="3058"/>
      <c r="L36" s="3050"/>
      <c r="M36" s="3050"/>
      <c r="N36" s="3051"/>
      <c r="O36" s="3052"/>
      <c r="P36" s="3051"/>
      <c r="Q36" s="3051"/>
      <c r="R36" s="3051"/>
      <c r="S36" s="3051"/>
      <c r="T36" s="3051"/>
      <c r="U36" s="3051"/>
    </row>
    <row r="37" spans="1:28" ht="28.5">
      <c r="A37" s="3381"/>
      <c r="B37" s="3411" t="s">
        <v>839</v>
      </c>
      <c r="C37" s="1643" t="s">
        <v>840</v>
      </c>
      <c r="D37" s="1644"/>
      <c r="E37" s="1645"/>
      <c r="F37" s="3071"/>
      <c r="G37" s="3071"/>
      <c r="H37" s="3071"/>
      <c r="I37" s="3075"/>
      <c r="J37" s="3071"/>
      <c r="K37" s="3058"/>
      <c r="L37" s="3051"/>
      <c r="M37" s="3051"/>
      <c r="N37" s="3051"/>
      <c r="O37" s="3051"/>
      <c r="P37" s="3051"/>
      <c r="Q37" s="3051"/>
      <c r="R37" s="3051"/>
      <c r="S37" s="3051"/>
      <c r="T37" s="3051"/>
      <c r="U37" s="3051"/>
    </row>
    <row r="38" spans="1:28">
      <c r="A38" s="3381"/>
      <c r="B38" s="3412"/>
      <c r="C38" s="1594" t="s">
        <v>841</v>
      </c>
      <c r="D38" s="1703">
        <f>ROUNDDOWN(MIN(('数据-取费表'!$B$2-D37)/365,D34),1)</f>
        <v>121.1</v>
      </c>
      <c r="E38" s="1646" t="s">
        <v>842</v>
      </c>
      <c r="F38" s="3071"/>
      <c r="G38" s="3071"/>
      <c r="H38" s="3071"/>
      <c r="I38" s="3075"/>
      <c r="J38" s="3071"/>
      <c r="K38" s="3058"/>
      <c r="L38" s="3051"/>
      <c r="M38" s="3051"/>
      <c r="N38" s="3051"/>
      <c r="O38" s="3051"/>
      <c r="P38" s="3051"/>
      <c r="Q38" s="3051"/>
      <c r="R38" s="3051"/>
      <c r="S38" s="3051"/>
      <c r="T38" s="3051"/>
      <c r="U38" s="3051"/>
    </row>
    <row r="39" spans="1:28">
      <c r="A39" s="3382"/>
      <c r="B39" s="3413"/>
      <c r="C39" s="1616"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09" t="s">
        <v>1965</v>
      </c>
      <c r="B40" s="1610" t="s">
        <v>3009</v>
      </c>
      <c r="C40" s="1610" t="s">
        <v>3010</v>
      </c>
      <c r="D40" s="1610" t="s">
        <v>3011</v>
      </c>
      <c r="E40" s="1610"/>
      <c r="F40" s="1610"/>
      <c r="G40" s="1610"/>
      <c r="H40" s="1610"/>
      <c r="I40" s="3075"/>
      <c r="J40" s="3071"/>
      <c r="K40" s="3019">
        <f>COUNTIF(B40:H40,"——")</f>
        <v>0</v>
      </c>
      <c r="L40" s="1618" t="s">
        <v>1966</v>
      </c>
      <c r="M40" s="1615" t="s">
        <v>1967</v>
      </c>
      <c r="N40" s="1615" t="s">
        <v>1968</v>
      </c>
      <c r="O40" s="1615" t="s">
        <v>1969</v>
      </c>
      <c r="P40" s="1615" t="s">
        <v>1970</v>
      </c>
      <c r="Q40" s="1615" t="s">
        <v>1971</v>
      </c>
      <c r="R40" s="1615" t="s">
        <v>1972</v>
      </c>
      <c r="S40" s="3394" t="s">
        <v>1973</v>
      </c>
      <c r="T40" s="1650" t="str">
        <f>NUMBERSTRING(7-K40,1)&amp;"通"</f>
        <v>七通</v>
      </c>
      <c r="U40" s="3051"/>
    </row>
    <row r="41" spans="1:28">
      <c r="A41" s="1588"/>
      <c r="B41" s="3386" t="s">
        <v>1711</v>
      </c>
      <c r="C41" s="3386"/>
      <c r="D41" s="3386"/>
      <c r="E41" s="3386"/>
      <c r="F41" s="1651">
        <f>C10</f>
        <v>0</v>
      </c>
      <c r="G41" s="3071"/>
      <c r="H41" s="3071"/>
      <c r="I41" s="3075"/>
      <c r="J41" s="3071"/>
      <c r="K41" s="1618"/>
      <c r="L41" s="1615" t="str">
        <f>B40</f>
        <v>通路</v>
      </c>
      <c r="M41" s="1652" t="str">
        <f>B40&amp;"、"&amp;C40</f>
        <v>通路、通电</v>
      </c>
      <c r="N41" s="1653" t="str">
        <f>B40&amp;"、"&amp;C40&amp;"、"&amp;D40</f>
        <v>通路、通电、通上水</v>
      </c>
      <c r="O41" s="1653" t="str">
        <f>B40&amp;"、"&amp;C40&amp;"、"&amp;D40&amp;"、"&amp;E40</f>
        <v>通路、通电、通上水、</v>
      </c>
      <c r="P41" s="1653" t="str">
        <f>B40&amp;"、"&amp;C40&amp;"、"&amp;D40&amp;"、"&amp;E40&amp;"、"&amp;F40</f>
        <v>通路、通电、通上水、、</v>
      </c>
      <c r="Q41" s="1653" t="str">
        <f>B40&amp;"、"&amp;C40&amp;"、"&amp;D40&amp;"、"&amp;E40&amp;"、"&amp;F40&amp;"、"&amp;G40</f>
        <v>通路、通电、通上水、、、</v>
      </c>
      <c r="R41" s="1653" t="str">
        <f>B40&amp;"、"&amp;C40&amp;"、"&amp;D40&amp;"、"&amp;E40&amp;"、"&amp;F40&amp;"、"&amp;G40&amp;"、"&amp;H40</f>
        <v>通路、通电、通上水、、、、</v>
      </c>
      <c r="S41" s="3394"/>
      <c r="T41" s="1652" t="str">
        <f>IF(T40="一通",L41,IF(T40="二通",M41,IF(T40="三通",N41,IF(T40="四通",O41,IF(T40="五通",P41,IF(T40="六通",Q41,R41))))))</f>
        <v>通路、通电、通上水、、、、</v>
      </c>
      <c r="U41" s="3051"/>
    </row>
    <row r="42" spans="1:28">
      <c r="A42" s="1654"/>
      <c r="B42" s="1681" t="s">
        <v>1887</v>
      </c>
      <c r="C42" s="1681" t="s">
        <v>1888</v>
      </c>
      <c r="D42" s="1681" t="s">
        <v>1889</v>
      </c>
      <c r="E42" s="1618"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t="s">
        <v>1401</v>
      </c>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t="s">
        <v>1066</v>
      </c>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6"/>
      <c r="J46" s="1613"/>
      <c r="K46" s="3054"/>
      <c r="L46" s="3050"/>
      <c r="M46" s="3050"/>
      <c r="N46" s="3051"/>
      <c r="O46" s="3052"/>
      <c r="P46" s="3051"/>
      <c r="Q46" s="3051"/>
      <c r="R46" s="3051"/>
      <c r="S46" s="3051"/>
      <c r="T46" s="3051"/>
      <c r="U46" s="3051"/>
    </row>
    <row r="47" spans="1:28">
      <c r="A47" s="1658" t="s">
        <v>1994</v>
      </c>
      <c r="B47" s="1659"/>
      <c r="C47" s="1648"/>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5"/>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5"/>
      <c r="B50" s="1615"/>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5"/>
      <c r="B51" s="1615"/>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5"/>
      <c r="B52" s="1615"/>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5"/>
      <c r="B53" s="1615"/>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5"/>
      <c r="B54" s="1615"/>
      <c r="C54" s="1615"/>
      <c r="D54" s="1615"/>
      <c r="E54" s="1615"/>
      <c r="F54" s="1649"/>
      <c r="G54" s="1615"/>
      <c r="H54" s="1615"/>
      <c r="I54" s="1615"/>
      <c r="J54" s="1752"/>
      <c r="K54" s="3066"/>
      <c r="L54" s="3066"/>
      <c r="M54" s="3066"/>
      <c r="N54" s="3018"/>
      <c r="O54" s="3018"/>
      <c r="P54" s="3018"/>
      <c r="Q54" s="3018"/>
      <c r="R54" s="3018"/>
      <c r="S54" s="3051"/>
      <c r="T54" s="3051"/>
      <c r="U54" s="3051"/>
    </row>
    <row r="55" spans="1:21">
      <c r="A55" s="1615"/>
      <c r="B55" s="1615"/>
      <c r="C55" s="1615"/>
      <c r="D55" s="1615"/>
      <c r="E55" s="1615"/>
      <c r="F55" s="1649"/>
      <c r="G55" s="1615"/>
      <c r="H55" s="1615"/>
      <c r="I55" s="1615"/>
      <c r="J55" s="1752"/>
      <c r="K55" s="3066"/>
      <c r="L55" s="3066"/>
      <c r="M55" s="3066"/>
      <c r="N55" s="3018"/>
      <c r="O55" s="3018"/>
      <c r="P55" s="3018"/>
      <c r="Q55" s="3018"/>
      <c r="R55" s="3018"/>
      <c r="S55" s="3051"/>
      <c r="T55" s="3051"/>
      <c r="U55" s="3051"/>
    </row>
    <row r="56" spans="1:21">
      <c r="A56" s="1615"/>
      <c r="B56" s="1615"/>
      <c r="C56" s="1615"/>
      <c r="D56" s="1615"/>
      <c r="E56" s="1615"/>
      <c r="F56" s="1649"/>
      <c r="G56" s="1615"/>
      <c r="H56" s="1615"/>
      <c r="I56" s="1615"/>
      <c r="J56" s="1752"/>
      <c r="K56" s="3066"/>
      <c r="L56" s="3066"/>
      <c r="M56" s="3066"/>
      <c r="N56" s="3018"/>
      <c r="O56" s="3018"/>
      <c r="P56" s="3018"/>
      <c r="Q56" s="3018"/>
      <c r="R56" s="3018"/>
      <c r="S56" s="3051"/>
      <c r="T56" s="3051"/>
      <c r="U56" s="3051"/>
    </row>
    <row r="57" spans="1:21">
      <c r="A57" s="1615"/>
      <c r="B57" s="1615"/>
      <c r="C57" s="1615"/>
      <c r="D57" s="1615"/>
      <c r="E57" s="1615"/>
      <c r="F57" s="1649"/>
      <c r="G57" s="1615"/>
      <c r="H57" s="1615"/>
      <c r="I57" s="1615"/>
      <c r="J57" s="1752"/>
      <c r="K57" s="3066"/>
      <c r="L57" s="3066"/>
      <c r="M57" s="3066"/>
      <c r="N57" s="3018"/>
      <c r="O57" s="3018"/>
      <c r="P57" s="3018"/>
      <c r="Q57" s="3018"/>
      <c r="R57" s="3018"/>
      <c r="S57" s="3051"/>
      <c r="T57" s="3051"/>
      <c r="U57" s="3051"/>
    </row>
    <row r="58" spans="1:21">
      <c r="A58" s="1615"/>
      <c r="B58" s="1615"/>
      <c r="C58" s="1615"/>
      <c r="D58" s="1615"/>
      <c r="E58" s="1615"/>
      <c r="F58" s="1649"/>
      <c r="G58" s="1615"/>
      <c r="H58" s="1615"/>
      <c r="I58" s="1615"/>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16344.23</v>
      </c>
      <c r="B3" s="22">
        <f>IF(C3="否",G5-AT5,G5)</f>
        <v>26400</v>
      </c>
      <c r="C3" s="23" t="s">
        <v>3006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26400</v>
      </c>
      <c r="H5" s="27">
        <f t="shared" ref="H5:AT5" si="0">SUM(H13:H641)</f>
        <v>26400</v>
      </c>
      <c r="I5" s="27">
        <f t="shared" si="0"/>
        <v>26400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26400</v>
      </c>
      <c r="BA5" s="29">
        <f t="shared" si="1"/>
        <v>26400</v>
      </c>
      <c r="BB5" s="29">
        <f t="shared" si="1"/>
        <v>26400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16344.23</v>
      </c>
      <c r="F6" s="27" t="s">
        <v>1</v>
      </c>
      <c r="G6" s="27" t="s">
        <v>2</v>
      </c>
      <c r="H6" s="33">
        <f>SUMIF(I$12:AB$12,"总值",I6:AB6)</f>
        <v>16344.23</v>
      </c>
      <c r="I6" s="27">
        <f t="shared" ref="I6:AB6" si="2">ROUND($A$3*I5/$B$3,2)</f>
        <v>16344.23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16344.23</v>
      </c>
      <c r="AZ6" s="27" t="s">
        <v>3</v>
      </c>
      <c r="BA6" s="27">
        <f>ROUND($AY$6*BA5/$AZ$5,2)</f>
        <v>16344.23</v>
      </c>
      <c r="BB6" s="27">
        <f>ROUND($AY$6*BB5/$AZ$5,2)</f>
        <v>16344.23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3012</v>
      </c>
      <c r="J9" s="51"/>
      <c r="K9" s="2729" t="s">
        <v>3013</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1667</v>
      </c>
      <c r="J10" s="51"/>
      <c r="K10" s="2731" t="s">
        <v>1667</v>
      </c>
      <c r="L10" s="51"/>
      <c r="M10" s="2731"/>
      <c r="N10" s="51"/>
      <c r="O10" s="66"/>
      <c r="P10" s="51"/>
      <c r="Q10" s="66"/>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1668</v>
      </c>
      <c r="E13" s="27">
        <f t="shared" ref="E13:E20" si="6">IF($C$3="是",ROUND($A$3*G13/$B$3,2),ROUND($A$3*(G13-AT13)/$B$3,2))</f>
        <v>16344.23</v>
      </c>
      <c r="F13" s="81"/>
      <c r="G13" s="82">
        <f t="shared" ref="G13:G20" si="7">H13+AC13+AT13</f>
        <v>26400</v>
      </c>
      <c r="H13" s="33">
        <f t="shared" ref="H13:H20" si="8">SUMIF(I$12:AB$12,"总值",I13:AB13)</f>
        <v>26400</v>
      </c>
      <c r="I13" s="2728">
        <v>26400</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16344.23</v>
      </c>
      <c r="AZ13" s="27">
        <f t="shared" ref="AZ13:AZ20" si="12">BA13+BL13</f>
        <v>26400</v>
      </c>
      <c r="BA13" s="27">
        <f t="shared" ref="BA13:BA20" si="13">SUM(BB13:BK13)</f>
        <v>26400</v>
      </c>
      <c r="BB13" s="27">
        <f t="shared" ref="BB13:BB20" si="14">IF($D13="是",I13-J13,0)</f>
        <v>26400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2" t="s">
        <v>0</v>
      </c>
      <c r="B1" s="3422" t="s">
        <v>4</v>
      </c>
      <c r="C1" s="3422" t="s">
        <v>5</v>
      </c>
      <c r="D1" s="3423" t="s">
        <v>40</v>
      </c>
      <c r="E1" s="3423" t="s">
        <v>41</v>
      </c>
      <c r="F1" s="3423"/>
      <c r="G1" s="3423"/>
      <c r="H1" s="3423"/>
      <c r="I1" s="3423"/>
      <c r="J1" s="3423"/>
      <c r="K1" s="3423"/>
      <c r="L1" s="3423"/>
      <c r="M1" s="3423"/>
    </row>
    <row r="2" spans="1:13" ht="27" customHeight="1">
      <c r="A2" s="3422"/>
      <c r="B2" s="3422"/>
      <c r="C2" s="3422"/>
      <c r="D2" s="3423"/>
      <c r="E2" s="3423" t="s">
        <v>24</v>
      </c>
      <c r="F2" s="3423" t="s">
        <v>25</v>
      </c>
      <c r="G2" s="3423"/>
      <c r="H2" s="3423"/>
      <c r="I2" s="3423"/>
      <c r="J2" s="3423" t="s">
        <v>26</v>
      </c>
      <c r="K2" s="3423"/>
      <c r="L2" s="3423"/>
      <c r="M2" s="3423"/>
    </row>
    <row r="3" spans="1:13" ht="28.5">
      <c r="A3" s="3422"/>
      <c r="B3" s="3422"/>
      <c r="C3" s="3422"/>
      <c r="D3" s="3423"/>
      <c r="E3" s="34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3" t="s">
        <v>42</v>
      </c>
      <c r="B9" s="3423"/>
      <c r="C9" s="34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23" sqref="F23"/>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33" t="s">
        <v>203</v>
      </c>
      <c r="B2" s="3433"/>
      <c r="C2" s="3433"/>
      <c r="D2" s="1887" t="s">
        <v>204</v>
      </c>
      <c r="E2" s="106" t="s">
        <v>205</v>
      </c>
      <c r="F2" s="3080"/>
      <c r="G2" s="1180"/>
      <c r="H2" s="1181"/>
      <c r="I2" s="1182" t="s">
        <v>848</v>
      </c>
      <c r="J2" s="3080"/>
      <c r="K2" s="3080"/>
      <c r="L2" s="3080"/>
      <c r="M2" s="3080"/>
      <c r="N2" s="3080"/>
      <c r="O2" s="3080"/>
      <c r="P2" s="3080"/>
    </row>
    <row r="3" spans="1:16" ht="15.75" thickBot="1">
      <c r="A3" s="3434" t="s">
        <v>206</v>
      </c>
      <c r="B3" s="3434"/>
      <c r="C3" s="3434"/>
      <c r="D3" s="107">
        <f>'数据-基础表'!AY6</f>
        <v>16344.23</v>
      </c>
      <c r="E3" s="107">
        <f>'数据-基础表'!AZ5</f>
        <v>26400</v>
      </c>
      <c r="F3" s="3080"/>
      <c r="G3" s="277" t="s">
        <v>849</v>
      </c>
      <c r="H3" s="272" t="s">
        <v>850</v>
      </c>
      <c r="I3" s="1888">
        <f>ROUND('数据-基础表'!B3/'数据-基础表'!A3,2)</f>
        <v>1.62</v>
      </c>
      <c r="J3" s="3080"/>
      <c r="K3" s="3080"/>
      <c r="L3" s="3080"/>
      <c r="M3" s="3080"/>
      <c r="N3" s="3080"/>
      <c r="O3" s="3080"/>
      <c r="P3" s="3080"/>
    </row>
    <row r="4" spans="1:16" ht="15">
      <c r="A4" s="3435"/>
      <c r="B4" s="3436"/>
      <c r="C4" s="3437"/>
      <c r="D4" s="108" t="s">
        <v>204</v>
      </c>
      <c r="E4" s="109" t="s">
        <v>205</v>
      </c>
      <c r="F4" s="3080"/>
      <c r="G4" s="1183"/>
      <c r="H4" s="272" t="s">
        <v>851</v>
      </c>
      <c r="I4" s="1888">
        <f>ROUND(SUMIF('数据-基础表'!I9:AS9,"地上",'数据-基础表'!I5:AS5)/'数据-基础表'!A3,2)</f>
        <v>1.62</v>
      </c>
      <c r="J4" s="3080"/>
      <c r="K4" s="3080"/>
      <c r="L4" s="3080"/>
      <c r="M4" s="3080"/>
      <c r="N4" s="3080"/>
      <c r="O4" s="3080"/>
      <c r="P4" s="3080"/>
    </row>
    <row r="5" spans="1:16">
      <c r="A5" s="110" t="s">
        <v>207</v>
      </c>
      <c r="B5" s="3438" t="s">
        <v>230</v>
      </c>
      <c r="C5" s="3438"/>
      <c r="D5" s="111">
        <f>ROUND($D$3*E5/$E$3,2)</f>
        <v>0</v>
      </c>
      <c r="E5" s="112">
        <f>SUMIF('数据-基础表'!$11:$11,"住宅",'数据-基础表'!$5:$5)</f>
        <v>0</v>
      </c>
      <c r="F5" s="3080"/>
      <c r="G5" s="277" t="s">
        <v>852</v>
      </c>
      <c r="H5" s="272" t="s">
        <v>850</v>
      </c>
      <c r="I5" s="1888">
        <f>ROUND(E31/D31,2)</f>
        <v>1.62</v>
      </c>
      <c r="J5" s="3080"/>
      <c r="K5" s="3080"/>
      <c r="L5" s="3080"/>
      <c r="M5" s="3080"/>
      <c r="N5" s="3080"/>
      <c r="O5" s="3080"/>
      <c r="P5" s="3080"/>
    </row>
    <row r="6" spans="1:16" ht="15" thickBot="1">
      <c r="A6" s="113"/>
      <c r="B6" s="3438" t="s">
        <v>208</v>
      </c>
      <c r="C6" s="3438"/>
      <c r="D6" s="111">
        <f>ROUND($D$3*E6/$E$3,2)</f>
        <v>16344.23</v>
      </c>
      <c r="E6" s="112">
        <f>E3-E5</f>
        <v>26400</v>
      </c>
      <c r="F6" s="3080"/>
      <c r="G6" s="1183"/>
      <c r="H6" s="272" t="s">
        <v>851</v>
      </c>
      <c r="I6" s="1888">
        <f>ROUND(F31/D31,2)</f>
        <v>1.62</v>
      </c>
      <c r="J6" s="3080"/>
      <c r="K6" s="3080"/>
      <c r="L6" s="3080"/>
      <c r="M6" s="3080"/>
      <c r="N6" s="3080"/>
      <c r="O6" s="3080"/>
      <c r="P6" s="3080"/>
    </row>
    <row r="7" spans="1:16" ht="15">
      <c r="A7" s="3430"/>
      <c r="B7" s="3431"/>
      <c r="C7" s="3432"/>
      <c r="D7" s="108" t="s">
        <v>204</v>
      </c>
      <c r="E7" s="114" t="s">
        <v>231</v>
      </c>
      <c r="F7" s="3080"/>
      <c r="G7" s="1138" t="s">
        <v>1635</v>
      </c>
      <c r="H7" s="1139"/>
      <c r="I7" s="1758"/>
      <c r="J7" s="3080"/>
      <c r="K7" s="3080"/>
      <c r="L7" s="3080"/>
      <c r="M7" s="3080"/>
      <c r="N7" s="3080"/>
      <c r="O7" s="3080"/>
      <c r="P7" s="3080"/>
    </row>
    <row r="8" spans="1:16">
      <c r="A8" s="110" t="s">
        <v>209</v>
      </c>
      <c r="B8" s="115" t="s">
        <v>210</v>
      </c>
      <c r="C8" s="111" t="s">
        <v>211</v>
      </c>
      <c r="D8" s="111">
        <f t="shared" ref="D8:D15" si="0">ROUND($D$3*E8/$E$3,2)</f>
        <v>16344.23</v>
      </c>
      <c r="E8" s="116">
        <f>SUMIF('数据-基础表'!BB10:BK10,"地上",'数据-基础表'!BB5:BK5)</f>
        <v>26400</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9"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9"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16344.23</v>
      </c>
      <c r="E16" s="120">
        <f>SUM(E8:E15)</f>
        <v>26400</v>
      </c>
      <c r="F16" s="3080"/>
      <c r="G16" s="3081"/>
      <c r="H16" s="955" t="s">
        <v>219</v>
      </c>
      <c r="I16" s="956"/>
      <c r="J16" s="1896"/>
      <c r="K16" s="3424" t="s">
        <v>2547</v>
      </c>
      <c r="L16" s="3425"/>
      <c r="M16" s="3425"/>
      <c r="N16" s="3425"/>
      <c r="O16" s="3425"/>
      <c r="P16" s="3426"/>
    </row>
    <row r="17" spans="1:19" ht="15">
      <c r="A17" s="121" t="s">
        <v>216</v>
      </c>
      <c r="B17" s="122" t="s">
        <v>217</v>
      </c>
      <c r="C17" s="2176" t="s">
        <v>2300</v>
      </c>
      <c r="D17" s="108" t="s">
        <v>204</v>
      </c>
      <c r="E17" s="124" t="s">
        <v>205</v>
      </c>
      <c r="F17" s="125"/>
      <c r="G17" s="1318"/>
      <c r="H17" s="957" t="s">
        <v>218</v>
      </c>
      <c r="I17" s="958" t="s">
        <v>2299</v>
      </c>
      <c r="J17" s="1896"/>
      <c r="K17" s="3427" t="s">
        <v>2548</v>
      </c>
      <c r="L17" s="3428"/>
      <c r="M17" s="3429"/>
      <c r="N17" s="3427" t="s">
        <v>2549</v>
      </c>
      <c r="O17" s="3428"/>
      <c r="P17" s="3429"/>
      <c r="R17" s="2177" t="s">
        <v>2298</v>
      </c>
      <c r="S17" s="142"/>
    </row>
    <row r="18" spans="1:19" ht="15">
      <c r="A18" s="117"/>
      <c r="B18" s="128"/>
      <c r="C18" s="129"/>
      <c r="D18" s="2482"/>
      <c r="E18" s="130" t="s">
        <v>220</v>
      </c>
      <c r="F18" s="131" t="s">
        <v>221</v>
      </c>
      <c r="G18" s="1319" t="s">
        <v>222</v>
      </c>
      <c r="H18" s="959" t="s">
        <v>223</v>
      </c>
      <c r="I18" s="960"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5" t="s">
        <v>3014</v>
      </c>
      <c r="D19" s="111">
        <f t="shared" ref="D19:D26" si="1">ROUND($D$3*E19/$E$3,2)</f>
        <v>16344.23</v>
      </c>
      <c r="E19" s="134">
        <f t="shared" ref="E19:E26" si="2">SUM(F19:G19)</f>
        <v>26400</v>
      </c>
      <c r="F19" s="3082">
        <f>'数据-基础表'!I13</f>
        <v>26400</v>
      </c>
      <c r="G19" s="3083"/>
      <c r="H19" s="961">
        <f>ROUND($D$3*I19/$E$3,2)</f>
        <v>0</v>
      </c>
      <c r="I19" s="116">
        <f>IF($I$17="自定义",P19,M19)</f>
        <v>0</v>
      </c>
      <c r="J19" s="1896"/>
      <c r="K19" s="2450">
        <f t="shared" ref="K19:K26" si="3">ROUND(E$28*E19/E$27,2)</f>
        <v>0</v>
      </c>
      <c r="L19" s="272">
        <f t="shared" ref="L19:L26" si="4">ROUND(IF(COUNTIF(C19,"*住宅*")&gt;0,E$29*E19/E$32,0),2)</f>
        <v>0</v>
      </c>
      <c r="M19" s="2451">
        <f>K19+L19</f>
        <v>0</v>
      </c>
      <c r="N19" s="2452"/>
      <c r="O19" s="2453"/>
      <c r="P19" s="2454">
        <f>N19+O19</f>
        <v>0</v>
      </c>
      <c r="R19" s="272">
        <f t="shared" ref="R19:S26" si="5">D19+H19</f>
        <v>16344.23</v>
      </c>
      <c r="S19" s="2179">
        <f t="shared" si="5"/>
        <v>26400</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6"/>
      <c r="K20" s="2450">
        <f t="shared" si="3"/>
        <v>0</v>
      </c>
      <c r="L20" s="272">
        <f t="shared" si="4"/>
        <v>0</v>
      </c>
      <c r="M20" s="2451">
        <f t="shared" ref="M20:M26" si="8">K20+L20</f>
        <v>0</v>
      </c>
      <c r="N20" s="2452"/>
      <c r="O20" s="2453"/>
      <c r="P20" s="2454">
        <f t="shared" ref="P20:P26" si="9">N20+O20</f>
        <v>0</v>
      </c>
      <c r="R20" s="272">
        <f t="shared" si="5"/>
        <v>0</v>
      </c>
      <c r="S20" s="2179">
        <f t="shared" si="5"/>
        <v>0</v>
      </c>
    </row>
    <row r="21" spans="1:19">
      <c r="A21" s="137"/>
      <c r="B21" s="115" t="s">
        <v>226</v>
      </c>
      <c r="C21" s="2735"/>
      <c r="D21" s="111">
        <f t="shared" si="1"/>
        <v>0</v>
      </c>
      <c r="E21" s="134">
        <f t="shared" si="2"/>
        <v>0</v>
      </c>
      <c r="F21" s="3082"/>
      <c r="G21" s="3083"/>
      <c r="H21" s="961">
        <f t="shared" si="6"/>
        <v>0</v>
      </c>
      <c r="I21" s="116">
        <f t="shared" si="7"/>
        <v>0</v>
      </c>
      <c r="J21" s="1896"/>
      <c r="K21" s="2450">
        <f t="shared" si="3"/>
        <v>0</v>
      </c>
      <c r="L21" s="272">
        <f t="shared" si="4"/>
        <v>0</v>
      </c>
      <c r="M21" s="2451">
        <f t="shared" si="8"/>
        <v>0</v>
      </c>
      <c r="N21" s="2452"/>
      <c r="O21" s="2453"/>
      <c r="P21" s="2454">
        <f t="shared" si="9"/>
        <v>0</v>
      </c>
      <c r="R21" s="272">
        <f t="shared" si="5"/>
        <v>0</v>
      </c>
      <c r="S21" s="2179">
        <f t="shared" si="5"/>
        <v>0</v>
      </c>
    </row>
    <row r="22" spans="1:19">
      <c r="A22" s="137"/>
      <c r="B22" s="115" t="s">
        <v>226</v>
      </c>
      <c r="C22" s="1317"/>
      <c r="D22" s="111">
        <f t="shared" si="1"/>
        <v>0</v>
      </c>
      <c r="E22" s="134">
        <f t="shared" si="2"/>
        <v>0</v>
      </c>
      <c r="F22" s="3084"/>
      <c r="G22" s="3085"/>
      <c r="H22" s="961">
        <f t="shared" si="6"/>
        <v>0</v>
      </c>
      <c r="I22" s="116">
        <f t="shared" si="7"/>
        <v>0</v>
      </c>
      <c r="J22" s="1896"/>
      <c r="K22" s="2450">
        <f t="shared" si="3"/>
        <v>0</v>
      </c>
      <c r="L22" s="272">
        <f t="shared" si="4"/>
        <v>0</v>
      </c>
      <c r="M22" s="2451">
        <f t="shared" si="8"/>
        <v>0</v>
      </c>
      <c r="N22" s="2452"/>
      <c r="O22" s="2453"/>
      <c r="P22" s="2454">
        <f t="shared" si="9"/>
        <v>0</v>
      </c>
      <c r="R22" s="272">
        <f t="shared" si="5"/>
        <v>0</v>
      </c>
      <c r="S22" s="2179">
        <f t="shared" si="5"/>
        <v>0</v>
      </c>
    </row>
    <row r="23" spans="1:19">
      <c r="A23" s="137"/>
      <c r="B23" s="115" t="s">
        <v>226</v>
      </c>
      <c r="C23" s="138"/>
      <c r="D23" s="111">
        <f>ROUND($D$3*E23/$E$3,2)</f>
        <v>0</v>
      </c>
      <c r="E23" s="134">
        <f>SUM(F23:G23)</f>
        <v>0</v>
      </c>
      <c r="F23" s="3084"/>
      <c r="G23" s="3085"/>
      <c r="H23" s="961">
        <f>ROUND($D$3*I23/$E$3,2)</f>
        <v>0</v>
      </c>
      <c r="I23" s="116">
        <f t="shared" si="7"/>
        <v>0</v>
      </c>
      <c r="J23" s="1896"/>
      <c r="K23" s="2450">
        <f t="shared" si="3"/>
        <v>0</v>
      </c>
      <c r="L23" s="272">
        <f t="shared" si="4"/>
        <v>0</v>
      </c>
      <c r="M23" s="2451">
        <f t="shared" si="8"/>
        <v>0</v>
      </c>
      <c r="N23" s="2452"/>
      <c r="O23" s="2453"/>
      <c r="P23" s="2454">
        <f t="shared" si="9"/>
        <v>0</v>
      </c>
      <c r="R23" s="272">
        <f t="shared" si="5"/>
        <v>0</v>
      </c>
      <c r="S23" s="2179">
        <f t="shared" si="5"/>
        <v>0</v>
      </c>
    </row>
    <row r="24" spans="1:19">
      <c r="A24" s="137"/>
      <c r="B24" s="115" t="s">
        <v>226</v>
      </c>
      <c r="C24" s="138"/>
      <c r="D24" s="111">
        <f>ROUND($D$3*E24/$E$3,2)</f>
        <v>0</v>
      </c>
      <c r="E24" s="134">
        <f>SUM(F24:G24)</f>
        <v>0</v>
      </c>
      <c r="F24" s="3084"/>
      <c r="G24" s="3085"/>
      <c r="H24" s="961">
        <f>ROUND($D$3*I24/$E$3,2)</f>
        <v>0</v>
      </c>
      <c r="I24" s="116">
        <f t="shared" si="7"/>
        <v>0</v>
      </c>
      <c r="J24" s="1896"/>
      <c r="K24" s="2450">
        <f t="shared" si="3"/>
        <v>0</v>
      </c>
      <c r="L24" s="272">
        <f t="shared" si="4"/>
        <v>0</v>
      </c>
      <c r="M24" s="2451">
        <f t="shared" si="8"/>
        <v>0</v>
      </c>
      <c r="N24" s="2452"/>
      <c r="O24" s="2453"/>
      <c r="P24" s="2454">
        <f t="shared" si="9"/>
        <v>0</v>
      </c>
      <c r="R24" s="272">
        <f t="shared" si="5"/>
        <v>0</v>
      </c>
      <c r="S24" s="2179">
        <f t="shared" si="5"/>
        <v>0</v>
      </c>
    </row>
    <row r="25" spans="1:19">
      <c r="A25" s="137"/>
      <c r="B25" s="115" t="s">
        <v>226</v>
      </c>
      <c r="C25" s="138"/>
      <c r="D25" s="111">
        <f t="shared" si="1"/>
        <v>0</v>
      </c>
      <c r="E25" s="134">
        <f t="shared" si="2"/>
        <v>0</v>
      </c>
      <c r="F25" s="3084"/>
      <c r="G25" s="3085"/>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4"/>
      <c r="G26" s="3085"/>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15.75" thickBot="1">
      <c r="A27" s="137"/>
      <c r="B27" s="111"/>
      <c r="C27" s="127" t="s">
        <v>215</v>
      </c>
      <c r="D27" s="134">
        <f>SUM(D19:D26)</f>
        <v>16344.23</v>
      </c>
      <c r="E27" s="141">
        <f>IF(SUM(E19:E26)='数据-基础表'!BA5,SUM(E19:E26),IF(F27="地上面积有误","面积有误","地下面积有误"))</f>
        <v>26400</v>
      </c>
      <c r="F27" s="134">
        <f>IF(SUM(F19:F26)=E8,SUM(F19:F26),"地上面积有误")</f>
        <v>26400</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16344.23</v>
      </c>
      <c r="S27" s="272">
        <f>IF(SUM(S19:S26)=$E$3,SUM(S19:S26),SUM(S19:S26)&amp;"误差"&amp;ROUND(SUM(S19:S26)-E3,2))</f>
        <v>26400</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1"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8" t="s">
        <v>2309</v>
      </c>
      <c r="D31" s="1322">
        <f>D27+D30</f>
        <v>16344.23</v>
      </c>
      <c r="E31" s="1322">
        <f>E27+E30</f>
        <v>26400</v>
      </c>
      <c r="F31" s="1323">
        <f>F27+F30</f>
        <v>26400</v>
      </c>
      <c r="G31" s="1324">
        <f>G27+G30</f>
        <v>0</v>
      </c>
      <c r="H31" s="3080"/>
      <c r="I31" s="3080"/>
      <c r="J31" s="3080"/>
      <c r="K31" s="3080"/>
      <c r="L31" s="3080"/>
      <c r="M31" s="3080"/>
      <c r="N31" s="3080"/>
      <c r="O31" s="3080"/>
      <c r="P31" s="3080"/>
    </row>
    <row r="32" spans="1:19">
      <c r="A32" s="1896"/>
      <c r="B32" s="2220" t="s">
        <v>2308</v>
      </c>
      <c r="C32" s="2487"/>
      <c r="D32" s="1183"/>
      <c r="E32" s="1183">
        <f>SUMIF(C19:C26,"*住宅*",E19:E26)</f>
        <v>0</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K18" sqref="K1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8.3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75" thickBot="1">
      <c r="A2" s="147" t="s">
        <v>235</v>
      </c>
      <c r="B2" s="2216">
        <f>项目基本情况!D3</f>
        <v>44202</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2310</v>
      </c>
      <c r="AI5" s="169" t="s">
        <v>2279</v>
      </c>
      <c r="AJ5" s="169" t="s">
        <v>258</v>
      </c>
      <c r="AK5" s="157" t="s">
        <v>259</v>
      </c>
      <c r="AL5" s="157" t="s">
        <v>260</v>
      </c>
      <c r="AM5" s="170" t="s">
        <v>261</v>
      </c>
      <c r="AN5" s="2244" t="s">
        <v>2357</v>
      </c>
      <c r="AO5" s="3101"/>
      <c r="AP5" s="3086" t="s">
        <v>2974</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办公</v>
      </c>
      <c r="B6" s="2215" t="str">
        <f>IF(A6=0,"","经营性")</f>
        <v>经营性</v>
      </c>
      <c r="C6" s="171" t="s">
        <v>1667</v>
      </c>
      <c r="D6" s="2186">
        <f>SUMIF(项目基本情况!D$15:I$15,C6,项目基本情况!D$18:I$18)</f>
        <v>50</v>
      </c>
      <c r="E6" s="2187">
        <f>IF(B6="","",SUMIF(项目基本情况!D$15:I$15,C6,项目基本情况!D$17:I$17))</f>
        <v>57017</v>
      </c>
      <c r="F6" s="172">
        <f>SUMIF(项目基本情况!D$15:I$15,C6,项目基本情况!D$19:I$19)</f>
        <v>35.1</v>
      </c>
      <c r="G6" s="173">
        <f>IF(ISERROR(ROUND(POWER(1+H6,D6-F6)*(POWER(1+H6,F6)-1)/(POWER(1+H6,D6)-1),3)),0,ROUND(POWER(1+H6,D6-F6)*(POWER(1+H6,F6)-1)/(POWER(1+H6,D6)-1),3))</f>
        <v>0.89800000000000002</v>
      </c>
      <c r="H6" s="2736">
        <v>0.05</v>
      </c>
      <c r="I6" s="2736">
        <v>5.5E-2</v>
      </c>
      <c r="J6" s="174">
        <v>0.08</v>
      </c>
      <c r="K6" s="177">
        <f>SUMIF('数据-汇总表'!C$19:C$33,'数据-取费表'!A6,'数据-汇总表'!E$19:E$33)</f>
        <v>26400</v>
      </c>
      <c r="L6" s="2737">
        <f>L19</f>
        <v>6000</v>
      </c>
      <c r="M6" s="175">
        <f t="shared" ref="M6:M14" si="0">ROUND(K6*L6/10000,0)</f>
        <v>15840</v>
      </c>
      <c r="N6" s="2738">
        <v>0</v>
      </c>
      <c r="O6" s="175">
        <f>IF($N$5="成新度","——",ROUND(M6*N6,0))</f>
        <v>0</v>
      </c>
      <c r="P6" s="176">
        <f>IF($N$5="成新度","——",M6-O6)</f>
        <v>15840</v>
      </c>
      <c r="Q6" s="2739">
        <v>0.1</v>
      </c>
      <c r="R6" s="177">
        <f>SUMIF('数据-汇总表'!C$19:C$33,A6,'数据-汇总表'!R$19:R$33)</f>
        <v>16344.23</v>
      </c>
      <c r="S6" s="132">
        <f>IF('数据-汇总表'!$I$17="按面积比例",SUMIF('数据-汇总表'!C$19:C$33,A6,'数据-汇总表'!K$19:K$33),SUMIF('数据-汇总表'!C$19:C$33,A6,'数据-汇总表'!N$19:N$33))</f>
        <v>0</v>
      </c>
      <c r="T6" s="2112" t="str">
        <f>IF($T$4="按面积比例",IF(ISERROR(ROUND($M$14*S6/S$16,0)),"0",ROUND($M$14*S6/S$16,0)),"需自行计算录入")</f>
        <v>0</v>
      </c>
      <c r="U6" s="3347">
        <f>酒店收入计算养老院!E26*10000</f>
        <v>28378999.999999996</v>
      </c>
      <c r="V6" s="3348">
        <v>1.4999999999999999E-2</v>
      </c>
      <c r="W6" s="3348">
        <v>0</v>
      </c>
      <c r="X6" s="2199"/>
      <c r="Y6" s="180">
        <v>1</v>
      </c>
      <c r="Z6" s="181"/>
      <c r="AA6" s="174"/>
      <c r="AB6" s="174"/>
      <c r="AC6" s="2202"/>
      <c r="AD6" s="182"/>
      <c r="AE6" s="959">
        <f ca="1">IF(AN6="",0,SUMIF(INDIRECT("'"&amp;AN6&amp;"'"&amp;"!E:E"),$AE$5,INDIRECT("'"&amp;AN6&amp;"'"&amp;"!F:F")))</f>
        <v>33.1</v>
      </c>
      <c r="AF6" s="139"/>
      <c r="AG6" s="1195">
        <f>IF(AF6="",0,AE6-AF6)</f>
        <v>0</v>
      </c>
      <c r="AH6" s="139">
        <v>1</v>
      </c>
      <c r="AI6" s="185">
        <v>1</v>
      </c>
      <c r="AJ6" s="186"/>
      <c r="AK6" s="187">
        <v>0.01</v>
      </c>
      <c r="AL6" s="188">
        <v>1.5E-3</v>
      </c>
      <c r="AM6" s="2750">
        <v>0.01</v>
      </c>
      <c r="AN6" s="2245" t="s">
        <v>3015</v>
      </c>
      <c r="AO6" s="3090"/>
      <c r="AP6" s="1186">
        <f>ROUND(1-1/(1+H6)^F6,3)</f>
        <v>0.82</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0"/>
      <c r="AP7" s="1186">
        <f t="shared" ref="AP7:AP13" si="8">ROUND(1-1/(1+H7)^F7,3)</f>
        <v>0</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0"/>
      <c r="AP8" s="1186">
        <f t="shared" si="8"/>
        <v>0</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0"/>
      <c r="AP9" s="1186">
        <f t="shared" si="8"/>
        <v>0</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0"/>
      <c r="AP10" s="1186">
        <f t="shared" si="8"/>
        <v>0</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0"/>
      <c r="AP11" s="1186">
        <f t="shared" si="8"/>
        <v>0</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1669</v>
      </c>
      <c r="C14" s="2185" t="s">
        <v>2301</v>
      </c>
      <c r="D14" s="2186"/>
      <c r="E14" s="2187"/>
      <c r="F14" s="172"/>
      <c r="G14" s="173"/>
      <c r="H14" s="2188"/>
      <c r="I14" s="2188"/>
      <c r="J14" s="2188"/>
      <c r="K14" s="177">
        <f>SUMIF('数据-汇总表'!C$19:C$33,'数据-取费表'!A14,'数据-汇总表'!E$19:E$33)</f>
        <v>0</v>
      </c>
      <c r="L14" s="191"/>
      <c r="M14" s="175">
        <f t="shared" si="0"/>
        <v>0</v>
      </c>
      <c r="N14" s="192"/>
      <c r="O14" s="175">
        <f t="shared" si="3"/>
        <v>0</v>
      </c>
      <c r="P14" s="176">
        <f t="shared" si="4"/>
        <v>0</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1669</v>
      </c>
      <c r="C15" s="2185" t="s">
        <v>2302</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0.89800000000000002</v>
      </c>
      <c r="H16" s="201">
        <f>ROUND(SUMPRODUCT(H6:H13,K6:K13)/SUMPRODUCT((H6:H13&gt;0)*(K6:K13)),3)</f>
        <v>0.05</v>
      </c>
      <c r="I16" s="202"/>
      <c r="J16" s="202"/>
      <c r="K16" s="203">
        <f>SUM(K6:K15)</f>
        <v>26400</v>
      </c>
      <c r="L16" s="204">
        <f>ROUND(M16*10000/SUM(K6:K14),0)</f>
        <v>6000</v>
      </c>
      <c r="M16" s="204">
        <f>SUM(M6:M14)</f>
        <v>15840</v>
      </c>
      <c r="N16" s="205">
        <f>ROUND(SUMPRODUCT(M6:M14,N6:N14)/M16,3)</f>
        <v>0</v>
      </c>
      <c r="O16" s="204">
        <f>SUM(O6:O14)</f>
        <v>0</v>
      </c>
      <c r="P16" s="204">
        <f>SUM(P6:P14)</f>
        <v>15840</v>
      </c>
      <c r="Q16" s="206">
        <f>ROUND(SUMPRODUCT(Q6:Q13,K6:K13)/SUMPRODUCT((Q6:Q13&gt;0)*(K6:K13)),2)</f>
        <v>0.1</v>
      </c>
      <c r="R16" s="2189">
        <f>SUM(R6:R13)</f>
        <v>16344.23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0.82</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7"/>
      <c r="C17" s="3087"/>
      <c r="D17" s="3088"/>
      <c r="E17" s="3088"/>
      <c r="F17" s="3087"/>
      <c r="G17" s="3087"/>
      <c r="H17" s="3087"/>
      <c r="I17" s="3087"/>
      <c r="J17" s="3327" t="s">
        <v>3222</v>
      </c>
      <c r="K17" s="3089">
        <f>K16*0.2</f>
        <v>5280</v>
      </c>
      <c r="L17" s="3089">
        <v>5000</v>
      </c>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328" t="s">
        <v>3223</v>
      </c>
      <c r="K18" s="3326">
        <f>K6</f>
        <v>26400</v>
      </c>
      <c r="L18" s="3089">
        <f>L17</f>
        <v>5000</v>
      </c>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2987</v>
      </c>
      <c r="D19" s="3091"/>
      <c r="E19" s="3090"/>
      <c r="F19" s="3090"/>
      <c r="G19" s="3090"/>
      <c r="H19" s="3090"/>
      <c r="I19" s="3090"/>
      <c r="J19" s="3090"/>
      <c r="K19" s="3326">
        <f>K17+K18</f>
        <v>31680</v>
      </c>
      <c r="L19" s="3089">
        <f>(L17*K17+L18*K18)/K18</f>
        <v>6000</v>
      </c>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2322</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2324</v>
      </c>
      <c r="B27" s="225">
        <v>160</v>
      </c>
      <c r="C27" s="3103" t="s">
        <v>2988</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3339">
        <v>0</v>
      </c>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2"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4" t="s">
        <v>275</v>
      </c>
      <c r="B32" s="3340">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5" t="s">
        <v>2975</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0">
        <v>0.05</v>
      </c>
      <c r="C34" s="3105" t="s">
        <v>2976</v>
      </c>
      <c r="D34" s="3106" t="s">
        <v>2984</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2977</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1">
        <v>1.4999999999999999E-2</v>
      </c>
      <c r="C36" s="3105" t="s">
        <v>2978</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280</v>
      </c>
      <c r="B37" s="233">
        <v>0.02</v>
      </c>
      <c r="C37" s="3105" t="s">
        <v>2979</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0">
        <v>0.02</v>
      </c>
      <c r="C38" s="3105" t="s">
        <v>2979</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0" t="s">
        <v>2437</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40" t="s">
        <v>2438</v>
      </c>
      <c r="B40" s="2332">
        <f ca="1">存贷款利率!E2</f>
        <v>4.7500000000000001E-2</v>
      </c>
      <c r="C40" s="3105" t="s">
        <v>2980</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5">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7">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8">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6" t="s">
        <v>285</v>
      </c>
      <c r="B44" s="239">
        <v>7.0000000000000007E-2</v>
      </c>
      <c r="C44" s="3105" t="s">
        <v>2985</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6" t="s">
        <v>286</v>
      </c>
      <c r="B45" s="237">
        <v>0.03</v>
      </c>
      <c r="C45" s="3108" t="s">
        <v>2981</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6" t="s">
        <v>287</v>
      </c>
      <c r="B46" s="237">
        <v>0.02</v>
      </c>
      <c r="C46" s="3108" t="s">
        <v>2982</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0" t="s">
        <v>288</v>
      </c>
      <c r="B47" s="241"/>
      <c r="C47" s="3103" t="s">
        <v>2989</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2" t="s">
        <v>289</v>
      </c>
      <c r="B48" s="243">
        <v>0.03</v>
      </c>
      <c r="C48" s="3108" t="s">
        <v>2981</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4" t="s">
        <v>290</v>
      </c>
      <c r="B49" s="237">
        <v>5.0000000000000001E-4</v>
      </c>
      <c r="C49" s="3108" t="s">
        <v>2983</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4" t="s">
        <v>291</v>
      </c>
      <c r="B50" s="245">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6">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4" t="s">
        <v>293</v>
      </c>
      <c r="B52" s="247">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8" t="s">
        <v>1399</v>
      </c>
      <c r="C53" s="3098" t="s">
        <v>2871</v>
      </c>
      <c r="D53" s="3109" t="s">
        <v>2986</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39" t="s">
        <v>1653</v>
      </c>
      <c r="B1" s="3440"/>
      <c r="C1" s="3440"/>
      <c r="D1" s="3440"/>
      <c r="E1" s="3440"/>
      <c r="F1" s="3440"/>
      <c r="G1" s="3440"/>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40.5">
      <c r="A3" s="3122" t="s">
        <v>1656</v>
      </c>
      <c r="B3" s="3123" t="s">
        <v>1643</v>
      </c>
      <c r="C3" s="3124" t="s">
        <v>2888</v>
      </c>
      <c r="D3" s="3125"/>
      <c r="E3" s="3126" t="s">
        <v>1656</v>
      </c>
      <c r="F3" s="3127" t="s">
        <v>1644</v>
      </c>
      <c r="G3" s="3128" t="s">
        <v>2887</v>
      </c>
      <c r="H3" s="3121"/>
      <c r="I3" s="3121"/>
      <c r="J3" s="3121"/>
      <c r="K3" s="3121"/>
      <c r="L3" s="3121"/>
      <c r="M3" s="3121"/>
      <c r="N3" s="3121"/>
      <c r="O3" s="3121"/>
      <c r="P3" s="3121"/>
      <c r="Q3" s="3121"/>
      <c r="R3" s="3121"/>
    </row>
    <row r="4" spans="1:18" ht="40.5">
      <c r="A4" s="3126"/>
      <c r="B4" s="3129" t="s">
        <v>1657</v>
      </c>
      <c r="C4" s="3130" t="s">
        <v>2889</v>
      </c>
      <c r="D4" s="3125"/>
      <c r="E4" s="3131"/>
      <c r="F4" s="3132" t="s">
        <v>1658</v>
      </c>
      <c r="G4" s="3133" t="s">
        <v>2884</v>
      </c>
      <c r="H4" s="3121"/>
      <c r="I4" s="3121"/>
      <c r="J4" s="3121"/>
      <c r="K4" s="3121"/>
      <c r="L4" s="3121"/>
      <c r="M4" s="3121"/>
      <c r="N4" s="3121"/>
      <c r="O4" s="3121"/>
      <c r="P4" s="3121"/>
      <c r="Q4" s="3121"/>
      <c r="R4" s="3121"/>
    </row>
    <row r="5" spans="1:18" ht="41.25">
      <c r="A5" s="3126"/>
      <c r="B5" s="3129" t="s">
        <v>1659</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1645</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1660</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1646</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1662</v>
      </c>
      <c r="B13" s="3148"/>
      <c r="C13" s="3148"/>
      <c r="D13" s="3119"/>
      <c r="E13" s="3148"/>
      <c r="F13" s="3148"/>
      <c r="G13" s="3148"/>
    </row>
    <row r="14" spans="1:18" ht="14.25" thickBot="1">
      <c r="A14" s="3160"/>
      <c r="B14" s="3160"/>
      <c r="C14" s="3161" t="s">
        <v>1654</v>
      </c>
      <c r="D14" s="3125"/>
      <c r="E14" s="3162"/>
      <c r="F14" s="3162"/>
      <c r="G14" s="3118" t="s">
        <v>1655</v>
      </c>
    </row>
    <row r="15" spans="1:18" ht="40.5">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40.5">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ht="27">
      <c r="A20" s="3168"/>
      <c r="B20" s="3172" t="s">
        <v>1650</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1651</v>
      </c>
      <c r="G21" s="3175"/>
    </row>
    <row r="22" spans="1:7" ht="14.25">
      <c r="A22" s="3168"/>
      <c r="B22" s="3129" t="s">
        <v>2528</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4" customWidth="1"/>
    <col min="2" max="16384" width="14.625" style="3184"/>
  </cols>
  <sheetData>
    <row r="1" spans="1:10" ht="16.5">
      <c r="A1" s="3183" t="s">
        <v>2822</v>
      </c>
      <c r="B1" s="3183">
        <f>SUM(B14:B23)</f>
        <v>26400</v>
      </c>
      <c r="C1" s="3192"/>
      <c r="D1" s="3192"/>
      <c r="E1" s="3192"/>
      <c r="F1" s="3192"/>
      <c r="G1" s="3193"/>
      <c r="H1" s="3193"/>
      <c r="I1" s="3193"/>
      <c r="J1" s="3193"/>
    </row>
    <row r="2" spans="1:10" ht="16.5">
      <c r="A2" s="3183" t="s">
        <v>2823</v>
      </c>
      <c r="B2" s="3183">
        <f>SUM(C14:C23)</f>
        <v>16344.23</v>
      </c>
      <c r="C2" s="3192"/>
      <c r="D2" s="3192"/>
      <c r="E2" s="3192"/>
      <c r="F2" s="3192"/>
      <c r="G2" s="3193"/>
      <c r="H2" s="3193"/>
      <c r="I2" s="3193"/>
      <c r="J2" s="3193"/>
    </row>
    <row r="3" spans="1:10" ht="16.5">
      <c r="A3" s="3183" t="s">
        <v>2824</v>
      </c>
      <c r="B3" s="3185">
        <f>项目基本情况!D3</f>
        <v>44202</v>
      </c>
      <c r="C3" s="3192"/>
      <c r="D3" s="3192"/>
      <c r="E3" s="3192"/>
      <c r="F3" s="3192"/>
      <c r="G3" s="3193"/>
      <c r="H3" s="3193"/>
      <c r="I3" s="3193"/>
      <c r="J3" s="3193"/>
    </row>
    <row r="4" spans="1:10" ht="33">
      <c r="A4" s="3183" t="s">
        <v>2825</v>
      </c>
      <c r="B4" s="3183" t="s">
        <v>2826</v>
      </c>
      <c r="C4" s="3183" t="s">
        <v>2827</v>
      </c>
      <c r="D4" s="3183" t="s">
        <v>2828</v>
      </c>
      <c r="E4" s="3192"/>
      <c r="F4" s="3192"/>
      <c r="G4" s="3193"/>
      <c r="H4" s="3193"/>
      <c r="I4" s="3193"/>
      <c r="J4" s="3193"/>
    </row>
    <row r="5" spans="1:10" ht="16.5">
      <c r="A5" s="3183" t="s">
        <v>2829</v>
      </c>
      <c r="B5" s="3183">
        <f ca="1">SUM(D14:D23)</f>
        <v>30029</v>
      </c>
      <c r="C5" s="3183">
        <f ca="1">ROUND(B5*10000/$B$1,0)</f>
        <v>11375</v>
      </c>
      <c r="D5" s="3183">
        <f ca="1">ROUND(B5*10000/$B$2,0)</f>
        <v>18373</v>
      </c>
      <c r="E5" s="3192"/>
      <c r="F5" s="3192"/>
      <c r="G5" s="3193"/>
      <c r="H5" s="3193"/>
      <c r="I5" s="3193"/>
      <c r="J5" s="3193"/>
    </row>
    <row r="6" spans="1:10" ht="16.5">
      <c r="A6" s="3183" t="s">
        <v>2830</v>
      </c>
      <c r="B6" s="3183">
        <f ca="1">SUM(G14:G23)</f>
        <v>30029</v>
      </c>
      <c r="C6" s="3183">
        <f t="shared" ref="C6:C8" ca="1" si="0">ROUND(B6*10000/$B$1,0)</f>
        <v>11375</v>
      </c>
      <c r="D6" s="3183">
        <f t="shared" ref="D6:D8" ca="1" si="1">ROUND(B6*10000/$B$2,0)</f>
        <v>18373</v>
      </c>
      <c r="E6" s="3192"/>
      <c r="F6" s="3192"/>
      <c r="G6" s="3193"/>
      <c r="H6" s="3193"/>
      <c r="I6" s="3193"/>
      <c r="J6" s="3193"/>
    </row>
    <row r="7" spans="1:10" ht="16.5">
      <c r="A7" s="3183" t="s">
        <v>2831</v>
      </c>
      <c r="B7" s="3183">
        <f>SUM(H14:H23)</f>
        <v>0</v>
      </c>
      <c r="C7" s="3183">
        <f t="shared" si="0"/>
        <v>0</v>
      </c>
      <c r="D7" s="3183">
        <f t="shared" si="1"/>
        <v>0</v>
      </c>
      <c r="E7" s="3192"/>
      <c r="F7" s="3192"/>
      <c r="G7" s="3193"/>
      <c r="H7" s="3193"/>
      <c r="I7" s="3193"/>
      <c r="J7" s="3193"/>
    </row>
    <row r="8" spans="1:10" ht="16.5">
      <c r="A8" s="3183" t="s">
        <v>2832</v>
      </c>
      <c r="B8" s="3183">
        <f>SUM(I14:I23)</f>
        <v>0</v>
      </c>
      <c r="C8" s="3183">
        <f t="shared" si="0"/>
        <v>0</v>
      </c>
      <c r="D8" s="3183">
        <f t="shared" si="1"/>
        <v>0</v>
      </c>
      <c r="E8" s="3192"/>
      <c r="F8" s="3192"/>
      <c r="G8" s="3193"/>
      <c r="H8" s="3193"/>
      <c r="I8" s="3193"/>
      <c r="J8" s="3193"/>
    </row>
    <row r="9" spans="1:10" ht="16.5">
      <c r="A9" s="3183" t="s">
        <v>2833</v>
      </c>
      <c r="B9" s="3191"/>
      <c r="C9" s="3192"/>
      <c r="D9" s="3192"/>
      <c r="E9" s="3192"/>
      <c r="F9" s="3192"/>
      <c r="G9" s="3193"/>
      <c r="H9" s="3193"/>
      <c r="I9" s="3193"/>
      <c r="J9" s="3193"/>
    </row>
    <row r="10" spans="1:10" ht="16.5">
      <c r="A10" s="3183" t="s">
        <v>2834</v>
      </c>
      <c r="B10" s="3191"/>
      <c r="C10" s="3192"/>
      <c r="D10" s="3192"/>
      <c r="E10" s="3192"/>
      <c r="F10" s="3192"/>
      <c r="G10" s="3193"/>
      <c r="H10" s="3193"/>
      <c r="I10" s="3193"/>
      <c r="J10" s="3193"/>
    </row>
    <row r="11" spans="1:10" ht="16.5">
      <c r="A11" s="3183" t="s">
        <v>2851</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2850</v>
      </c>
      <c r="B13" s="3187" t="s">
        <v>2822</v>
      </c>
      <c r="C13" s="3187" t="s">
        <v>2823</v>
      </c>
      <c r="D13" s="3187" t="s">
        <v>2835</v>
      </c>
      <c r="E13" s="3183" t="s">
        <v>2849</v>
      </c>
      <c r="F13" s="3183" t="s">
        <v>2828</v>
      </c>
      <c r="G13" s="3187" t="s">
        <v>2836</v>
      </c>
      <c r="H13" s="3187" t="s">
        <v>2837</v>
      </c>
      <c r="I13" s="3187" t="s">
        <v>2838</v>
      </c>
      <c r="J13" s="3193"/>
    </row>
    <row r="14" spans="1:10" ht="16.5">
      <c r="A14" s="3188" t="s">
        <v>2848</v>
      </c>
      <c r="B14" s="3189">
        <f>结果表!L38</f>
        <v>26400</v>
      </c>
      <c r="C14" s="3189">
        <f>结果表!K38</f>
        <v>16344.23</v>
      </c>
      <c r="D14" s="3189">
        <f ca="1">结果表!C42</f>
        <v>30029</v>
      </c>
      <c r="E14" s="3189">
        <f ca="1">ROUND(D14*10000/B14,0)</f>
        <v>11375</v>
      </c>
      <c r="F14" s="3189">
        <f ca="1">ROUND(D14*10000/C14,0)</f>
        <v>18373</v>
      </c>
      <c r="G14" s="3189">
        <f ca="1">结果表!C44</f>
        <v>30029</v>
      </c>
      <c r="H14" s="3189" t="str">
        <f>结果表!C45</f>
        <v>——</v>
      </c>
      <c r="I14" s="3189" t="str">
        <f>结果表!C46</f>
        <v>——</v>
      </c>
      <c r="J14" s="3193"/>
    </row>
    <row r="15" spans="1:10" ht="16.5">
      <c r="A15" s="3188" t="s">
        <v>2839</v>
      </c>
      <c r="B15" s="3190"/>
      <c r="C15" s="3190"/>
      <c r="D15" s="3190"/>
      <c r="E15" s="3189" t="e">
        <f t="shared" ref="E15:E23" si="2">ROUND(D15*10000/B15,0)</f>
        <v>#DIV/0!</v>
      </c>
      <c r="F15" s="3189" t="e">
        <f t="shared" ref="F15:F23" si="3">ROUND(D15*10000/C15,0)</f>
        <v>#DIV/0!</v>
      </c>
      <c r="G15" s="2755"/>
      <c r="H15" s="2755"/>
      <c r="I15" s="3190"/>
      <c r="J15" s="3193"/>
    </row>
    <row r="16" spans="1:10" ht="16.5">
      <c r="A16" s="3188" t="s">
        <v>2840</v>
      </c>
      <c r="B16" s="3190"/>
      <c r="C16" s="3190"/>
      <c r="D16" s="3190"/>
      <c r="E16" s="3189" t="e">
        <f t="shared" si="2"/>
        <v>#DIV/0!</v>
      </c>
      <c r="F16" s="3189" t="e">
        <f t="shared" si="3"/>
        <v>#DIV/0!</v>
      </c>
      <c r="G16" s="2755"/>
      <c r="H16" s="2755"/>
      <c r="I16" s="3190"/>
      <c r="J16" s="3193"/>
    </row>
    <row r="17" spans="1:10" ht="16.5">
      <c r="A17" s="3188" t="s">
        <v>2841</v>
      </c>
      <c r="B17" s="3190"/>
      <c r="C17" s="3190"/>
      <c r="D17" s="3190"/>
      <c r="E17" s="3189" t="e">
        <f t="shared" si="2"/>
        <v>#DIV/0!</v>
      </c>
      <c r="F17" s="3189" t="e">
        <f t="shared" si="3"/>
        <v>#DIV/0!</v>
      </c>
      <c r="G17" s="2755"/>
      <c r="H17" s="2755"/>
      <c r="I17" s="3190"/>
      <c r="J17" s="3193"/>
    </row>
    <row r="18" spans="1:10" ht="16.5">
      <c r="A18" s="3188" t="s">
        <v>2842</v>
      </c>
      <c r="B18" s="3190"/>
      <c r="C18" s="3190"/>
      <c r="D18" s="3190"/>
      <c r="E18" s="3189" t="e">
        <f t="shared" si="2"/>
        <v>#DIV/0!</v>
      </c>
      <c r="F18" s="3189" t="e">
        <f t="shared" si="3"/>
        <v>#DIV/0!</v>
      </c>
      <c r="G18" s="3190"/>
      <c r="H18" s="3190"/>
      <c r="I18" s="3190"/>
      <c r="J18" s="3193"/>
    </row>
    <row r="19" spans="1:10" ht="16.5">
      <c r="A19" s="3188" t="s">
        <v>2843</v>
      </c>
      <c r="B19" s="3190"/>
      <c r="C19" s="3190"/>
      <c r="D19" s="3190"/>
      <c r="E19" s="3189" t="e">
        <f t="shared" si="2"/>
        <v>#DIV/0!</v>
      </c>
      <c r="F19" s="3189" t="e">
        <f t="shared" si="3"/>
        <v>#DIV/0!</v>
      </c>
      <c r="G19" s="3190"/>
      <c r="H19" s="3190"/>
      <c r="I19" s="3190"/>
      <c r="J19" s="3193"/>
    </row>
    <row r="20" spans="1:10" ht="16.5">
      <c r="A20" s="3188" t="s">
        <v>2844</v>
      </c>
      <c r="B20" s="3190"/>
      <c r="C20" s="3190"/>
      <c r="D20" s="3190"/>
      <c r="E20" s="3189" t="e">
        <f t="shared" si="2"/>
        <v>#DIV/0!</v>
      </c>
      <c r="F20" s="3189" t="e">
        <f t="shared" si="3"/>
        <v>#DIV/0!</v>
      </c>
      <c r="G20" s="3190"/>
      <c r="H20" s="3190"/>
      <c r="I20" s="3190"/>
      <c r="J20" s="3193"/>
    </row>
    <row r="21" spans="1:10" ht="16.5">
      <c r="A21" s="3188" t="s">
        <v>2845</v>
      </c>
      <c r="B21" s="3190"/>
      <c r="C21" s="3190"/>
      <c r="D21" s="3190"/>
      <c r="E21" s="3189" t="e">
        <f t="shared" si="2"/>
        <v>#DIV/0!</v>
      </c>
      <c r="F21" s="3189" t="e">
        <f t="shared" si="3"/>
        <v>#DIV/0!</v>
      </c>
      <c r="G21" s="3190"/>
      <c r="H21" s="3190"/>
      <c r="I21" s="3190"/>
      <c r="J21" s="3193"/>
    </row>
    <row r="22" spans="1:10" ht="16.5">
      <c r="A22" s="3188" t="s">
        <v>2846</v>
      </c>
      <c r="B22" s="3190"/>
      <c r="C22" s="3190"/>
      <c r="D22" s="3190"/>
      <c r="E22" s="3189" t="e">
        <f t="shared" si="2"/>
        <v>#DIV/0!</v>
      </c>
      <c r="F22" s="3189" t="e">
        <f t="shared" si="3"/>
        <v>#DIV/0!</v>
      </c>
      <c r="G22" s="3190"/>
      <c r="H22" s="3190"/>
      <c r="I22" s="3190"/>
      <c r="J22" s="3193"/>
    </row>
    <row r="23" spans="1:10" ht="16.5">
      <c r="A23" s="3188" t="s">
        <v>2847</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5" zoomScaleNormal="100" zoomScaleSheetLayoutView="100" zoomScalePageLayoutView="80" workbookViewId="0">
      <selection activeCell="H38" sqref="H3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2043</v>
      </c>
      <c r="B1" s="1690"/>
      <c r="C1" s="1718" t="s">
        <v>2044</v>
      </c>
      <c r="D1" s="1719" t="s">
        <v>3018</v>
      </c>
      <c r="E1" s="1718" t="s">
        <v>2045</v>
      </c>
      <c r="F1" s="1720" t="s">
        <v>3019</v>
      </c>
      <c r="G1" s="308"/>
      <c r="H1" s="308"/>
      <c r="I1" s="308"/>
      <c r="J1" s="1910"/>
      <c r="K1" s="1910"/>
      <c r="L1" s="1910"/>
      <c r="M1" s="1910"/>
      <c r="N1" s="1910"/>
      <c r="O1" s="1910"/>
      <c r="P1" s="1910"/>
      <c r="Q1" s="1910"/>
      <c r="R1" s="1910"/>
      <c r="S1" s="1910"/>
      <c r="T1" s="1910"/>
      <c r="U1" s="1910"/>
      <c r="V1" s="1910"/>
    </row>
    <row r="2" spans="1:22" ht="21.75" customHeight="1" thickBot="1">
      <c r="A2" s="3485" t="str">
        <f>项目基本情况!K2</f>
        <v>北京市出让国有建设用地使用权</v>
      </c>
      <c r="B2" s="3486"/>
      <c r="C2" s="3487"/>
      <c r="D2" s="3487"/>
      <c r="E2" s="3487"/>
      <c r="F2" s="3487"/>
      <c r="G2" s="3486"/>
      <c r="H2" s="3486"/>
      <c r="I2" s="3488"/>
      <c r="J2" s="1911"/>
      <c r="K2" s="1910"/>
      <c r="L2" s="1910"/>
      <c r="M2" s="1910"/>
      <c r="N2" s="1910"/>
      <c r="O2" s="1910"/>
      <c r="P2" s="1910"/>
      <c r="Q2" s="1910"/>
      <c r="R2" s="1910"/>
      <c r="S2" s="1910"/>
      <c r="T2" s="1910"/>
      <c r="U2" s="1910"/>
      <c r="V2" s="1910"/>
    </row>
    <row r="3" spans="1:22" ht="14.25">
      <c r="A3" s="3478" t="s">
        <v>298</v>
      </c>
      <c r="B3" s="3479"/>
      <c r="C3" s="3479"/>
      <c r="D3" s="3479"/>
      <c r="E3" s="3479"/>
      <c r="F3" s="3479"/>
      <c r="G3" s="3479"/>
      <c r="H3" s="3479"/>
      <c r="I3" s="3479"/>
      <c r="J3" s="1911"/>
      <c r="K3" s="1910"/>
      <c r="L3" s="1910"/>
      <c r="M3" s="1910"/>
      <c r="N3" s="1910"/>
      <c r="O3" s="1910"/>
      <c r="P3" s="1910"/>
      <c r="Q3" s="1910"/>
      <c r="R3" s="1910"/>
      <c r="S3" s="1910"/>
      <c r="T3" s="1910"/>
      <c r="U3" s="1910"/>
      <c r="V3" s="1910"/>
    </row>
    <row r="4" spans="1:22" ht="14.25">
      <c r="A4" s="255" t="s">
        <v>299</v>
      </c>
      <c r="B4" s="256" t="s">
        <v>300</v>
      </c>
      <c r="C4" s="257" t="s">
        <v>3257</v>
      </c>
      <c r="D4" s="257" t="s">
        <v>3262</v>
      </c>
      <c r="E4" s="3444" t="s">
        <v>301</v>
      </c>
      <c r="F4" s="3445"/>
      <c r="G4" s="3445"/>
      <c r="H4" s="3445"/>
      <c r="I4" s="3480"/>
      <c r="J4" s="1911"/>
      <c r="K4" s="1910"/>
      <c r="L4" s="3194"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比较法</v>
      </c>
      <c r="N4" s="1910"/>
      <c r="O4" s="1910"/>
      <c r="P4" s="1910"/>
      <c r="Q4" s="1910"/>
      <c r="R4" s="1910"/>
      <c r="S4" s="1910"/>
      <c r="T4" s="1910"/>
      <c r="U4" s="1910"/>
      <c r="V4" s="1910"/>
    </row>
    <row r="5" spans="1:22" ht="14.25">
      <c r="A5" s="3443" t="s">
        <v>302</v>
      </c>
      <c r="B5" s="3472">
        <v>25</v>
      </c>
      <c r="C5" s="3470"/>
      <c r="D5" s="3474"/>
      <c r="E5" s="258" t="s">
        <v>303</v>
      </c>
      <c r="F5" s="259"/>
      <c r="G5" s="259"/>
      <c r="H5" s="259"/>
      <c r="I5" s="260"/>
      <c r="J5" s="1911"/>
      <c r="K5" s="1910"/>
      <c r="L5" s="1910"/>
      <c r="M5" s="1910"/>
      <c r="N5" s="1910"/>
      <c r="O5" s="1910"/>
      <c r="P5" s="1910"/>
      <c r="Q5" s="1910"/>
      <c r="R5" s="1910"/>
      <c r="S5" s="1910"/>
      <c r="T5" s="1910"/>
      <c r="U5" s="1910"/>
      <c r="V5" s="1910"/>
    </row>
    <row r="6" spans="1:22" ht="14.25">
      <c r="A6" s="3443"/>
      <c r="B6" s="3472"/>
      <c r="C6" s="3473"/>
      <c r="D6" s="3474"/>
      <c r="E6" s="258" t="s">
        <v>304</v>
      </c>
      <c r="F6" s="259"/>
      <c r="G6" s="259"/>
      <c r="H6" s="259"/>
      <c r="I6" s="260"/>
      <c r="J6" s="1911"/>
      <c r="K6" s="1910"/>
      <c r="L6" s="1910"/>
      <c r="M6" s="1910"/>
      <c r="N6" s="1910"/>
      <c r="O6" s="1910"/>
      <c r="P6" s="1910"/>
      <c r="Q6" s="1910"/>
      <c r="R6" s="1910"/>
      <c r="S6" s="1910"/>
      <c r="T6" s="1910"/>
      <c r="U6" s="1910"/>
      <c r="V6" s="1910"/>
    </row>
    <row r="7" spans="1:22" ht="14.25">
      <c r="A7" s="3443"/>
      <c r="B7" s="3472"/>
      <c r="C7" s="3471"/>
      <c r="D7" s="3474"/>
      <c r="E7" s="258" t="s">
        <v>305</v>
      </c>
      <c r="F7" s="259"/>
      <c r="G7" s="259"/>
      <c r="H7" s="259"/>
      <c r="I7" s="260"/>
      <c r="J7" s="1911"/>
      <c r="K7" s="1910"/>
      <c r="L7" s="1910"/>
      <c r="M7" s="1910"/>
      <c r="N7" s="1910"/>
      <c r="O7" s="1910"/>
      <c r="P7" s="1910"/>
      <c r="Q7" s="1910"/>
      <c r="R7" s="1910"/>
      <c r="S7" s="1910"/>
      <c r="T7" s="1910"/>
      <c r="U7" s="1910"/>
      <c r="V7" s="1910"/>
    </row>
    <row r="8" spans="1:22" ht="14.25">
      <c r="A8" s="3443" t="s">
        <v>306</v>
      </c>
      <c r="B8" s="3472">
        <v>15</v>
      </c>
      <c r="C8" s="3470"/>
      <c r="D8" s="3474"/>
      <c r="E8" s="258" t="s">
        <v>307</v>
      </c>
      <c r="F8" s="259"/>
      <c r="G8" s="259"/>
      <c r="H8" s="259"/>
      <c r="I8" s="260"/>
      <c r="J8" s="1911"/>
      <c r="K8" s="1910"/>
      <c r="L8" s="1910"/>
      <c r="M8" s="1910"/>
      <c r="N8" s="1910"/>
      <c r="O8" s="1910"/>
      <c r="P8" s="1910"/>
      <c r="Q8" s="1910"/>
      <c r="R8" s="1910"/>
      <c r="S8" s="1910"/>
      <c r="T8" s="1910"/>
      <c r="U8" s="1910"/>
      <c r="V8" s="1910"/>
    </row>
    <row r="9" spans="1:22" ht="14.25">
      <c r="A9" s="3443"/>
      <c r="B9" s="3472"/>
      <c r="C9" s="3471"/>
      <c r="D9" s="3474"/>
      <c r="E9" s="258" t="s">
        <v>308</v>
      </c>
      <c r="F9" s="259"/>
      <c r="G9" s="259"/>
      <c r="H9" s="259"/>
      <c r="I9" s="260"/>
      <c r="J9" s="1911"/>
      <c r="K9" s="1910"/>
      <c r="L9" s="1910"/>
      <c r="M9" s="1910"/>
      <c r="N9" s="1910"/>
      <c r="O9" s="1910"/>
      <c r="P9" s="1910"/>
      <c r="Q9" s="1910"/>
      <c r="R9" s="1910"/>
      <c r="S9" s="1910"/>
      <c r="T9" s="1910"/>
      <c r="U9" s="1910"/>
      <c r="V9" s="1910"/>
    </row>
    <row r="10" spans="1:22" ht="14.25">
      <c r="A10" s="3443" t="s">
        <v>309</v>
      </c>
      <c r="B10" s="3472">
        <v>15</v>
      </c>
      <c r="C10" s="3470"/>
      <c r="D10" s="3474"/>
      <c r="E10" s="258" t="s">
        <v>310</v>
      </c>
      <c r="F10" s="259"/>
      <c r="G10" s="259"/>
      <c r="H10" s="259"/>
      <c r="I10" s="260"/>
      <c r="J10" s="1911"/>
      <c r="K10" s="1910"/>
      <c r="L10" s="1910"/>
      <c r="M10" s="1910"/>
      <c r="N10" s="1910"/>
      <c r="O10" s="1910"/>
      <c r="P10" s="1910"/>
      <c r="Q10" s="1910"/>
      <c r="R10" s="1910"/>
      <c r="S10" s="1910"/>
      <c r="T10" s="1910"/>
      <c r="U10" s="1910"/>
      <c r="V10" s="1910"/>
    </row>
    <row r="11" spans="1:22" ht="14.25">
      <c r="A11" s="3443"/>
      <c r="B11" s="3472"/>
      <c r="C11" s="3471"/>
      <c r="D11" s="3474"/>
      <c r="E11" s="258" t="s">
        <v>311</v>
      </c>
      <c r="F11" s="259"/>
      <c r="G11" s="259"/>
      <c r="H11" s="259"/>
      <c r="I11" s="260"/>
      <c r="J11" s="1911"/>
      <c r="K11" s="1910"/>
      <c r="L11" s="1910"/>
      <c r="M11" s="1910"/>
      <c r="N11" s="1910"/>
      <c r="O11" s="1910"/>
      <c r="P11" s="1910"/>
      <c r="Q11" s="1910"/>
      <c r="R11" s="1910"/>
      <c r="S11" s="1910"/>
      <c r="T11" s="1910"/>
      <c r="U11" s="1910"/>
      <c r="V11" s="1910"/>
    </row>
    <row r="12" spans="1:22" ht="14.25">
      <c r="A12" s="3443" t="s">
        <v>312</v>
      </c>
      <c r="B12" s="3472">
        <v>15</v>
      </c>
      <c r="C12" s="3470"/>
      <c r="D12" s="3474"/>
      <c r="E12" s="258" t="s">
        <v>313</v>
      </c>
      <c r="F12" s="259"/>
      <c r="G12" s="259"/>
      <c r="H12" s="259"/>
      <c r="I12" s="260"/>
      <c r="J12" s="1911"/>
      <c r="K12" s="1910"/>
      <c r="L12" s="1910"/>
      <c r="M12" s="1910"/>
      <c r="N12" s="1910"/>
      <c r="O12" s="1910"/>
      <c r="P12" s="1910"/>
      <c r="Q12" s="1910"/>
      <c r="R12" s="1910"/>
      <c r="S12" s="1910"/>
      <c r="T12" s="1910"/>
      <c r="U12" s="1910"/>
      <c r="V12" s="1910"/>
    </row>
    <row r="13" spans="1:22" ht="14.25">
      <c r="A13" s="3443"/>
      <c r="B13" s="3472"/>
      <c r="C13" s="3471"/>
      <c r="D13" s="3474"/>
      <c r="E13" s="258" t="s">
        <v>314</v>
      </c>
      <c r="F13" s="259"/>
      <c r="G13" s="259"/>
      <c r="H13" s="259"/>
      <c r="I13" s="260"/>
      <c r="J13" s="1911"/>
      <c r="K13" s="1910"/>
      <c r="L13" s="1910"/>
      <c r="M13" s="1910"/>
      <c r="N13" s="1910"/>
      <c r="O13" s="1910"/>
      <c r="P13" s="1910"/>
      <c r="Q13" s="1910"/>
      <c r="R13" s="1910"/>
      <c r="S13" s="1910"/>
      <c r="T13" s="1910"/>
      <c r="U13" s="1910"/>
      <c r="V13" s="1910"/>
    </row>
    <row r="14" spans="1:22" ht="14.25">
      <c r="A14" s="3443" t="s">
        <v>315</v>
      </c>
      <c r="B14" s="3472">
        <v>30</v>
      </c>
      <c r="C14" s="3470">
        <v>3</v>
      </c>
      <c r="D14" s="3474">
        <v>7</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443"/>
      <c r="B15" s="3472"/>
      <c r="C15" s="3473"/>
      <c r="D15" s="3474"/>
      <c r="E15" s="258" t="s">
        <v>317</v>
      </c>
      <c r="F15" s="259"/>
      <c r="G15" s="259"/>
      <c r="H15" s="259"/>
      <c r="I15" s="260"/>
      <c r="J15" s="1911"/>
      <c r="K15" s="1910"/>
      <c r="L15" s="1910"/>
      <c r="M15" s="1910"/>
      <c r="N15" s="1910"/>
      <c r="O15" s="1910"/>
      <c r="P15" s="1910"/>
      <c r="Q15" s="1910"/>
      <c r="R15" s="1910"/>
      <c r="S15" s="1910"/>
      <c r="T15" s="1910"/>
      <c r="U15" s="1910"/>
      <c r="V15" s="1910"/>
    </row>
    <row r="16" spans="1:22" ht="14.25">
      <c r="A16" s="3443"/>
      <c r="B16" s="3472"/>
      <c r="C16" s="3471"/>
      <c r="D16" s="3474"/>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3</v>
      </c>
      <c r="D17" s="262">
        <f>SUM(D5:D16)</f>
        <v>7</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0.3</v>
      </c>
      <c r="D18" s="264">
        <f>1-C18</f>
        <v>0.7</v>
      </c>
      <c r="E18" s="3475" t="s">
        <v>2963</v>
      </c>
      <c r="F18" s="3476"/>
      <c r="G18" s="3476"/>
      <c r="H18" s="3476"/>
      <c r="I18" s="3476"/>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23541</v>
      </c>
      <c r="D19" s="268">
        <f ca="1">SUMIF(INDIRECT("'"&amp;D4&amp;"'"&amp;"!A:A"),结果表!B19,INDIRECT("'"&amp;D4&amp;"'"&amp;"!B:B"))</f>
        <v>32868</v>
      </c>
      <c r="E19" s="265" t="s">
        <v>323</v>
      </c>
      <c r="F19" s="266" t="s">
        <v>322</v>
      </c>
      <c r="G19" s="269">
        <f ca="1">ROUND(C19*$C$18+D19*$D$18,0)</f>
        <v>30070</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8917</v>
      </c>
      <c r="D20" s="274">
        <f ca="1">SUMIF(INDIRECT("'"&amp;D4&amp;"'"&amp;"!A:A"),结果表!B20,INDIRECT("'"&amp;D4&amp;"'"&amp;"!B:B"))</f>
        <v>12450</v>
      </c>
      <c r="E20" s="271"/>
      <c r="F20" s="272" t="s">
        <v>325</v>
      </c>
      <c r="G20" s="275">
        <f ca="1">ROUND(C20*$C$18+D20*$D$18,0)</f>
        <v>11390</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t="e">
        <f ca="1">SUMIF(INDIRECT("'"&amp;C4&amp;"'"&amp;"!A:A"),结果表!B21,INDIRECT("'"&amp;C4&amp;"'"&amp;"!B:B"))</f>
        <v>#DIV/0!</v>
      </c>
      <c r="D21" s="149">
        <f ca="1">SUMIF(INDIRECT("'"&amp;D4&amp;"'"&amp;"!A:A"),结果表!B21,INDIRECT("'"&amp;D4&amp;"'"&amp;"!B:B"))</f>
        <v>20110</v>
      </c>
      <c r="E21" s="271"/>
      <c r="F21" s="277" t="s">
        <v>327</v>
      </c>
      <c r="G21" s="279" t="e">
        <f ca="1">ROUND(C21*$C$18+D21*$D$18,0)</f>
        <v>#DIV/0!</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0.39620237033261119</v>
      </c>
      <c r="E22" s="281"/>
      <c r="F22" s="282"/>
      <c r="G22" s="283">
        <f ca="1">ROUND(G19/('数据-汇总表'!D3/666.67),0)</f>
        <v>1227</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49" t="s">
        <v>330</v>
      </c>
      <c r="B24" s="266" t="s">
        <v>322</v>
      </c>
      <c r="C24" s="285">
        <f>IF(B30=0,0,D30)</f>
        <v>41</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50"/>
      <c r="B25" s="1274" t="s">
        <v>3248</v>
      </c>
      <c r="C25" s="287">
        <f>IF(B30=0,0,C30)</f>
        <v>25</v>
      </c>
      <c r="D25" s="288"/>
      <c r="E25" s="308"/>
      <c r="F25" s="308"/>
      <c r="G25" s="308"/>
      <c r="H25" s="308"/>
      <c r="I25" s="308"/>
      <c r="J25" s="1910"/>
      <c r="K25" s="1208" t="str">
        <f ca="1">项目基本情况!B16&amp;"国有建设用地使用权价格："&amp;O38&amp;"万元"</f>
        <v>出让国有建设用地使用权价格：30029万元</v>
      </c>
      <c r="L25" s="1209"/>
      <c r="M25" s="1209"/>
      <c r="N25" s="1209"/>
      <c r="O25" s="1210"/>
      <c r="P25" s="1910"/>
      <c r="Q25" s="1910"/>
      <c r="R25" s="1910"/>
      <c r="S25" s="1910"/>
      <c r="T25" s="1910"/>
      <c r="U25" s="1910"/>
      <c r="V25" s="1910"/>
    </row>
    <row r="26" spans="1:26" s="1207" customFormat="1" ht="18">
      <c r="A26" s="290" t="s">
        <v>331</v>
      </c>
      <c r="B26" s="291" t="s">
        <v>332</v>
      </c>
      <c r="C26" s="291" t="s">
        <v>333</v>
      </c>
      <c r="D26" s="292" t="s">
        <v>334</v>
      </c>
      <c r="E26" s="308"/>
      <c r="F26" s="308"/>
      <c r="G26" s="308"/>
      <c r="H26" s="308"/>
      <c r="I26" s="308"/>
      <c r="J26" s="1910"/>
      <c r="K26" s="1211" t="str">
        <f ca="1">"大写金额：人民币"&amp;NUMBERSTRING(INT(O38*10000),2)&amp;"元整"</f>
        <v>大写金额：人民币叁亿零贰拾玖万元整</v>
      </c>
      <c r="L26" s="1205"/>
      <c r="M26" s="1205"/>
      <c r="N26" s="1205"/>
      <c r="O26" s="1204"/>
      <c r="P26" s="1910"/>
      <c r="Q26" s="1910"/>
      <c r="R26" s="1910"/>
      <c r="S26" s="1910"/>
      <c r="T26" s="1910"/>
      <c r="U26" s="1910"/>
      <c r="V26" s="1910"/>
      <c r="W26" s="289"/>
      <c r="X26" s="289"/>
      <c r="Y26" s="289"/>
      <c r="Z26" s="289"/>
    </row>
    <row r="27" spans="1:26" ht="18">
      <c r="A27" s="3331" t="s">
        <v>3247</v>
      </c>
      <c r="B27" s="291">
        <f>'数据-汇总表'!D19</f>
        <v>16344.23</v>
      </c>
      <c r="C27" s="291">
        <v>25</v>
      </c>
      <c r="D27" s="292">
        <f>ROUND(B27*C27/10000,)</f>
        <v>41</v>
      </c>
      <c r="E27" s="308"/>
      <c r="F27" s="308"/>
      <c r="G27" s="308"/>
      <c r="H27" s="308"/>
      <c r="I27" s="308"/>
      <c r="J27" s="1910"/>
      <c r="K27" s="1211" t="str">
        <f ca="1">"单位面积地价："&amp;M38&amp;"元/平方米"</f>
        <v>单位面积地价：18373元/平方米</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楼面地价：11375元/平方米</v>
      </c>
      <c r="L28" s="1205"/>
      <c r="M28" s="1205"/>
      <c r="N28" s="1205"/>
      <c r="O28" s="1204"/>
      <c r="P28" s="1910"/>
      <c r="V28" s="1910"/>
    </row>
    <row r="29" spans="1:26" ht="18">
      <c r="A29" s="290"/>
      <c r="B29" s="291"/>
      <c r="C29" s="291"/>
      <c r="D29" s="292"/>
      <c r="E29" s="308"/>
      <c r="F29" s="308"/>
      <c r="G29" s="308"/>
      <c r="H29" s="308"/>
      <c r="I29" s="308"/>
      <c r="J29" s="1910"/>
      <c r="K29" s="1211" t="str">
        <f ca="1">IF(OR(项目基本情况!E8="抵押价格",项目基本情况!E8="已注销及未注销"),"抵押价格："&amp;O39&amp;"万元","——")</f>
        <v>抵押价格：30029万元</v>
      </c>
      <c r="L29" s="1205"/>
      <c r="M29" s="1205"/>
      <c r="N29" s="1205"/>
      <c r="O29" s="1204"/>
      <c r="P29" s="1910"/>
      <c r="V29" s="1910"/>
    </row>
    <row r="30" spans="1:26" ht="18.75" thickBot="1">
      <c r="A30" s="2798" t="s">
        <v>335</v>
      </c>
      <c r="B30" s="306">
        <f>B27</f>
        <v>16344.23</v>
      </c>
      <c r="C30" s="306">
        <f>C27</f>
        <v>25</v>
      </c>
      <c r="D30" s="307">
        <f>D27</f>
        <v>41</v>
      </c>
      <c r="E30" s="3001" t="s">
        <v>2964</v>
      </c>
      <c r="F30" s="308"/>
      <c r="G30" s="308"/>
      <c r="H30" s="308"/>
      <c r="I30" s="308"/>
      <c r="J30" s="1910"/>
      <c r="K30" s="1211" t="str">
        <f ca="1">IF(K29="——","——","大写金额：人民币"&amp;NUMBERSTRING(INT(O39*10000),2)&amp;"元整")</f>
        <v>大写金额：人民币叁亿零贰拾玖万元整</v>
      </c>
      <c r="L30" s="1205"/>
      <c r="M30" s="1205"/>
      <c r="N30" s="1205"/>
      <c r="O30" s="1204"/>
      <c r="P30" s="1910"/>
      <c r="V30" s="1910"/>
    </row>
    <row r="31" spans="1:26" ht="24" customHeight="1" thickBot="1">
      <c r="A31" s="3477" t="s">
        <v>2965</v>
      </c>
      <c r="B31" s="3477"/>
      <c r="C31" s="3477"/>
      <c r="D31" s="3477"/>
      <c r="E31" s="3477"/>
      <c r="F31" s="3477"/>
      <c r="G31" s="3477"/>
      <c r="H31" s="3477"/>
      <c r="I31" s="3477"/>
      <c r="J31" s="1910"/>
      <c r="K31" s="2321" t="str">
        <f>IF(项目基本情况!E8="抵押价格","——","抵押担保权已注销时的抵押价格："&amp;O40&amp;"万元")</f>
        <v>——</v>
      </c>
      <c r="L31" s="2317"/>
      <c r="M31" s="2317"/>
      <c r="N31" s="2317"/>
      <c r="O31" s="2318"/>
      <c r="P31" s="1910"/>
      <c r="V31" s="1910"/>
    </row>
    <row r="32" spans="1:26" ht="19.5" thickTop="1" thickBot="1">
      <c r="A32" s="271" t="s">
        <v>336</v>
      </c>
      <c r="B32" s="3002" t="s">
        <v>1678</v>
      </c>
      <c r="C32" s="263">
        <f ca="1">G19-C24</f>
        <v>30029</v>
      </c>
      <c r="D32" s="3003" t="s">
        <v>1679</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339</v>
      </c>
      <c r="B33" s="1331" t="s">
        <v>1680</v>
      </c>
      <c r="C33" s="261">
        <f ca="1">ROUND(C32*10000/'数据-汇总表'!E3,0)</f>
        <v>11375</v>
      </c>
      <c r="D33" s="1332" t="s">
        <v>1681</v>
      </c>
      <c r="E33" s="3449" t="s">
        <v>337</v>
      </c>
      <c r="F33" s="293" t="s">
        <v>338</v>
      </c>
      <c r="G33" s="294"/>
      <c r="H33" s="967"/>
      <c r="I33" s="1212"/>
      <c r="J33" s="1910"/>
      <c r="K33" s="1211" t="str">
        <f>IF(项目基本情况!E9="——","——","抵押净值："&amp;C46&amp;"万元")</f>
        <v>抵押净值：——万元</v>
      </c>
      <c r="L33" s="1205"/>
      <c r="M33" s="1205"/>
      <c r="N33" s="1205"/>
      <c r="O33" s="1204"/>
      <c r="P33" s="1910"/>
      <c r="V33" s="1910"/>
    </row>
    <row r="34" spans="1:26" s="1207" customFormat="1" ht="18.75" thickBot="1">
      <c r="A34" s="297"/>
      <c r="B34" s="1333" t="s">
        <v>1682</v>
      </c>
      <c r="C34" s="261">
        <f ca="1">ROUND(C32*10000/'数据-汇总表'!D3,0)</f>
        <v>18373</v>
      </c>
      <c r="D34" s="1334" t="s">
        <v>1681</v>
      </c>
      <c r="E34" s="3493"/>
      <c r="F34" s="127" t="s">
        <v>340</v>
      </c>
      <c r="G34" s="296"/>
      <c r="H34" s="105"/>
      <c r="I34" s="308"/>
      <c r="J34" s="1910"/>
      <c r="K34" s="1214" t="e">
        <f>IF(K33="——","——","大写金额：人民币"&amp;NUMBERSTRING(INT(O41*10000),2)&amp;"元整")</f>
        <v>#VALUE!</v>
      </c>
      <c r="L34" s="1215"/>
      <c r="M34" s="1215"/>
      <c r="N34" s="1215"/>
      <c r="O34" s="1216"/>
      <c r="P34" s="1910"/>
      <c r="Q34" s="289"/>
      <c r="R34" s="289"/>
      <c r="S34" s="289"/>
      <c r="T34" s="289"/>
      <c r="U34" s="289"/>
      <c r="V34" s="1910"/>
      <c r="W34" s="289"/>
      <c r="X34" s="289"/>
      <c r="Y34" s="289"/>
      <c r="Z34" s="289"/>
    </row>
    <row r="35" spans="1:26" ht="15.75" thickBot="1">
      <c r="A35" s="281"/>
      <c r="B35" s="1335"/>
      <c r="C35" s="1336">
        <f ca="1">ROUND(C32/('数据-汇总表'!D3/666.67),0)</f>
        <v>1225</v>
      </c>
      <c r="D35" s="1337" t="s">
        <v>1683</v>
      </c>
      <c r="E35" s="3494"/>
      <c r="F35" s="298" t="s">
        <v>341</v>
      </c>
      <c r="G35" s="969"/>
      <c r="H35" s="968" t="s">
        <v>342</v>
      </c>
      <c r="I35" s="308"/>
      <c r="J35" s="1910"/>
      <c r="K35" s="3467" t="s">
        <v>349</v>
      </c>
      <c r="L35" s="3467" t="s">
        <v>350</v>
      </c>
      <c r="M35" s="1217" t="s">
        <v>351</v>
      </c>
      <c r="N35" s="3467" t="s">
        <v>352</v>
      </c>
      <c r="O35" s="3467" t="s">
        <v>353</v>
      </c>
      <c r="P35" s="1910"/>
      <c r="V35" s="1910"/>
    </row>
    <row r="36" spans="1:26" ht="16.5" customHeight="1">
      <c r="A36" s="300" t="s">
        <v>343</v>
      </c>
      <c r="B36" s="301" t="s">
        <v>332</v>
      </c>
      <c r="C36" s="302" t="s">
        <v>344</v>
      </c>
      <c r="D36" s="302" t="s">
        <v>345</v>
      </c>
      <c r="E36" s="303" t="s">
        <v>346</v>
      </c>
      <c r="F36" s="308"/>
      <c r="G36" s="308"/>
      <c r="H36" s="308"/>
      <c r="I36" s="308"/>
      <c r="J36" s="1912"/>
      <c r="K36" s="3468"/>
      <c r="L36" s="3468"/>
      <c r="M36" s="1219" t="s">
        <v>354</v>
      </c>
      <c r="N36" s="3468"/>
      <c r="O36" s="3468"/>
      <c r="P36" s="1910"/>
      <c r="V36" s="1910"/>
    </row>
    <row r="37" spans="1:26" ht="16.5" customHeight="1" thickBot="1">
      <c r="A37" s="1213" t="s">
        <v>347</v>
      </c>
      <c r="B37" s="304"/>
      <c r="C37" s="291"/>
      <c r="D37" s="291"/>
      <c r="E37" s="292"/>
      <c r="F37" s="308"/>
      <c r="G37" s="308"/>
      <c r="H37" s="308"/>
      <c r="I37" s="308"/>
      <c r="J37" s="1912"/>
      <c r="K37" s="3469"/>
      <c r="L37" s="3469"/>
      <c r="M37" s="1220"/>
      <c r="N37" s="3469"/>
      <c r="O37" s="3469"/>
      <c r="P37" s="1910"/>
      <c r="V37" s="1910"/>
    </row>
    <row r="38" spans="1:26" ht="16.5" customHeight="1" thickBot="1">
      <c r="A38" s="1213" t="s">
        <v>348</v>
      </c>
      <c r="B38" s="304"/>
      <c r="C38" s="291"/>
      <c r="D38" s="291"/>
      <c r="E38" s="292"/>
      <c r="F38" s="308"/>
      <c r="G38" s="308"/>
      <c r="H38" s="308"/>
      <c r="I38" s="308"/>
      <c r="J38" s="1912"/>
      <c r="K38" s="1221">
        <f>'数据-汇总表'!D3</f>
        <v>16344.23</v>
      </c>
      <c r="L38" s="1222">
        <f>'数据-汇总表'!E3</f>
        <v>26400</v>
      </c>
      <c r="M38" s="1222">
        <f ca="1">C34</f>
        <v>18373</v>
      </c>
      <c r="N38" s="1222">
        <f ca="1">C33</f>
        <v>11375</v>
      </c>
      <c r="O38" s="1223">
        <f ca="1">C32</f>
        <v>30029</v>
      </c>
      <c r="P38" s="1910"/>
      <c r="V38" s="1910"/>
    </row>
    <row r="39" spans="1:26" ht="16.5" customHeight="1" thickBot="1">
      <c r="A39" s="1218"/>
      <c r="B39" s="305"/>
      <c r="C39" s="306"/>
      <c r="D39" s="306"/>
      <c r="E39" s="307"/>
      <c r="F39" s="308"/>
      <c r="G39" s="308"/>
      <c r="H39" s="308"/>
      <c r="I39" s="308"/>
      <c r="J39" s="1912"/>
      <c r="K39" s="3507" t="str">
        <f>MID(A44,3,LEN(A44)-2)</f>
        <v>抵押价格</v>
      </c>
      <c r="L39" s="3508"/>
      <c r="M39" s="3508"/>
      <c r="N39" s="3509"/>
      <c r="O39" s="1339">
        <f ca="1">C44</f>
        <v>30029</v>
      </c>
      <c r="P39" s="1910"/>
      <c r="V39" s="1910"/>
    </row>
    <row r="40" spans="1:26" ht="19.5" thickBot="1">
      <c r="A40" s="104" t="s">
        <v>863</v>
      </c>
      <c r="B40" s="308"/>
      <c r="C40" s="308"/>
      <c r="D40" s="308"/>
      <c r="E40" s="308"/>
      <c r="F40" s="308"/>
      <c r="G40" s="308"/>
      <c r="H40" s="308"/>
      <c r="I40" s="308"/>
      <c r="J40" s="1912"/>
      <c r="K40" s="3507" t="str">
        <f t="shared" ref="K40:K41" si="0">MID(A45,3,LEN(A45)-2)</f>
        <v/>
      </c>
      <c r="L40" s="3508"/>
      <c r="M40" s="3508"/>
      <c r="N40" s="3509"/>
      <c r="O40" s="1339" t="str">
        <f>C45</f>
        <v>——</v>
      </c>
      <c r="P40" s="1910"/>
      <c r="V40" s="1910"/>
    </row>
    <row r="41" spans="1:26" ht="16.5" thickBot="1">
      <c r="A41" s="309" t="s">
        <v>355</v>
      </c>
      <c r="B41" s="310"/>
      <c r="C41" s="311" t="s">
        <v>356</v>
      </c>
      <c r="D41" s="312" t="s">
        <v>357</v>
      </c>
      <c r="E41" s="312" t="s">
        <v>358</v>
      </c>
      <c r="F41" s="313" t="s">
        <v>359</v>
      </c>
      <c r="G41" s="308"/>
      <c r="H41" s="308"/>
      <c r="I41" s="308"/>
      <c r="J41" s="1912"/>
      <c r="K41" s="3507" t="str">
        <f t="shared" si="0"/>
        <v/>
      </c>
      <c r="L41" s="3508"/>
      <c r="M41" s="3508"/>
      <c r="N41" s="3509"/>
      <c r="O41" s="1339" t="str">
        <f>C46</f>
        <v>——</v>
      </c>
      <c r="P41" s="1910"/>
      <c r="V41" s="1910"/>
    </row>
    <row r="42" spans="1:26" ht="29.25">
      <c r="A42" s="3451" t="s">
        <v>2055</v>
      </c>
      <c r="B42" s="3452"/>
      <c r="C42" s="261">
        <f ca="1">C32</f>
        <v>30029</v>
      </c>
      <c r="D42" s="314">
        <f ca="1">C33</f>
        <v>11375</v>
      </c>
      <c r="E42" s="314">
        <f ca="1">C34</f>
        <v>18373</v>
      </c>
      <c r="F42" s="315">
        <f ca="1">C35</f>
        <v>1225</v>
      </c>
      <c r="G42" s="308"/>
      <c r="H42" s="308"/>
      <c r="I42" s="316"/>
      <c r="J42" s="1912"/>
      <c r="K42" s="1224" t="s">
        <v>360</v>
      </c>
      <c r="L42" s="1929" t="s">
        <v>361</v>
      </c>
      <c r="M42" s="1225" t="s">
        <v>362</v>
      </c>
      <c r="N42" s="1930" t="s">
        <v>363</v>
      </c>
      <c r="O42" s="1931" t="s">
        <v>364</v>
      </c>
      <c r="P42" s="1910"/>
      <c r="V42" s="1910"/>
    </row>
    <row r="43" spans="1:26" ht="18">
      <c r="A43" s="3462" t="s">
        <v>2709</v>
      </c>
      <c r="B43" s="3463"/>
      <c r="C43" s="261">
        <f>IF(H33="正常操作",G33+G34+G35,G34+G35)</f>
        <v>0</v>
      </c>
      <c r="D43" s="314" t="s">
        <v>43</v>
      </c>
      <c r="E43" s="314" t="s">
        <v>44</v>
      </c>
      <c r="F43" s="315" t="s">
        <v>44</v>
      </c>
      <c r="G43" s="2582" t="s">
        <v>942</v>
      </c>
      <c r="H43" s="308"/>
      <c r="I43" s="316"/>
      <c r="J43" s="1912"/>
      <c r="K43" s="1226" t="str">
        <f>C4</f>
        <v>基准地价</v>
      </c>
      <c r="L43" s="1227">
        <f ca="1">IF(L42="估价结果/万元",C19,C20)</f>
        <v>23541</v>
      </c>
      <c r="M43" s="1228">
        <f>C18</f>
        <v>0.3</v>
      </c>
      <c r="N43" s="1229">
        <f ca="1">IF(N42="测算结果/万元",G19,G20)</f>
        <v>30070</v>
      </c>
      <c r="O43" s="1230">
        <f ca="1">IF(O42="最终结果/万元",C32,C33)</f>
        <v>30029</v>
      </c>
      <c r="P43" s="1910"/>
      <c r="V43" s="1910"/>
    </row>
    <row r="44" spans="1:26" ht="30.75" thickBot="1">
      <c r="A44" s="3451" t="str">
        <f>IF(OR(项目基本情况!E8="抵押价格",项目基本情况!E8="已注销及未注销"),"3.抵押价格","——")</f>
        <v>3.抵押价格</v>
      </c>
      <c r="B44" s="3452"/>
      <c r="C44" s="261">
        <f ca="1">IF(A44="——","——",C42-C43)</f>
        <v>30029</v>
      </c>
      <c r="D44" s="314">
        <f ca="1">ROUND(C44*10000/'数据-汇总表'!E3,0)</f>
        <v>11375</v>
      </c>
      <c r="E44" s="314">
        <f ca="1">ROUND(C44*10000/'数据-汇总表'!D3,0)</f>
        <v>18373</v>
      </c>
      <c r="F44" s="315">
        <f ca="1">ROUND(C44/('数据-汇总表'!D3/666.67),0)</f>
        <v>1225</v>
      </c>
      <c r="G44" s="308"/>
      <c r="H44" s="308"/>
      <c r="I44" s="316"/>
      <c r="J44" s="1912"/>
      <c r="K44" s="1231" t="str">
        <f>D4</f>
        <v>比较法-住宅、综合</v>
      </c>
      <c r="L44" s="1232">
        <f ca="1">IF(L42="估价结果/万元",D19,D20)</f>
        <v>32868</v>
      </c>
      <c r="M44" s="1233">
        <f>D18</f>
        <v>0.7</v>
      </c>
      <c r="N44" s="1234"/>
      <c r="O44" s="1235"/>
      <c r="P44" s="1910"/>
      <c r="V44" s="1910"/>
    </row>
    <row r="45" spans="1:26" ht="15">
      <c r="A45" s="3457" t="str">
        <f>IF(项目基本情况!E8="已注销及未注销","4.抵押担保权已注销时的抵押价格",IF(项目基本情况!E8="已注销","3.抵押担保权已注销时的抵押价格","——"))</f>
        <v>——</v>
      </c>
      <c r="B45" s="3458"/>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53" t="str">
        <f>IF(项目基本情况!E9="抵押净值",IF(A45="——","4.抵押净值","5.抵押净值"),"——")</f>
        <v>——</v>
      </c>
      <c r="B46" s="3454"/>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365</v>
      </c>
      <c r="B47" s="1236"/>
      <c r="C47" s="319" t="s">
        <v>366</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367</v>
      </c>
      <c r="G53" s="334"/>
      <c r="H53" s="334"/>
      <c r="I53" s="335" t="s">
        <v>368</v>
      </c>
      <c r="J53" s="1913"/>
      <c r="K53" s="1910"/>
      <c r="L53" s="1910"/>
      <c r="M53" s="1910"/>
      <c r="N53" s="1910"/>
      <c r="O53" s="1910"/>
      <c r="P53" s="1910"/>
      <c r="Q53" s="1910"/>
      <c r="R53" s="1910"/>
      <c r="S53" s="1910"/>
      <c r="T53" s="1910"/>
      <c r="U53" s="1910"/>
      <c r="V53" s="1910"/>
    </row>
    <row r="54" spans="1:22" ht="12.75">
      <c r="A54" s="254"/>
      <c r="B54" s="336" t="s">
        <v>369</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370</v>
      </c>
      <c r="J56" s="1913"/>
      <c r="K56" s="1910"/>
      <c r="L56" s="1910"/>
      <c r="M56" s="1910"/>
      <c r="N56" s="1910"/>
      <c r="O56" s="1910"/>
      <c r="P56" s="1910"/>
      <c r="Q56" s="1910"/>
      <c r="R56" s="1910"/>
      <c r="S56" s="1910"/>
      <c r="T56" s="1910"/>
      <c r="U56" s="1910"/>
      <c r="V56" s="1910"/>
    </row>
    <row r="57" spans="1:22" ht="12.75">
      <c r="A57" s="254"/>
      <c r="B57" s="336" t="s">
        <v>371</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370</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4"/>
      <c r="E61" s="214"/>
      <c r="F61" s="250"/>
      <c r="G61" s="254"/>
      <c r="H61" s="254"/>
      <c r="I61" s="254"/>
      <c r="J61" s="1913"/>
      <c r="K61" s="1910"/>
      <c r="L61" s="1910"/>
      <c r="M61" s="1910"/>
      <c r="N61" s="1910"/>
      <c r="O61" s="1910"/>
      <c r="P61" s="1910"/>
      <c r="Q61" s="1910"/>
      <c r="R61" s="1910"/>
      <c r="S61" s="1910"/>
      <c r="T61" s="1910"/>
      <c r="U61" s="1910"/>
      <c r="V61" s="1910"/>
    </row>
    <row r="62" spans="1:22" ht="18.75">
      <c r="A62" s="1237" t="s">
        <v>372</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501" t="s">
        <v>373</v>
      </c>
      <c r="B63" s="3502"/>
      <c r="C63" s="3503"/>
      <c r="D63" s="338">
        <f ca="1">ROUND(C42*F63,0)</f>
        <v>30029</v>
      </c>
      <c r="E63" s="299" t="s">
        <v>374</v>
      </c>
      <c r="F63" s="339">
        <v>1</v>
      </c>
      <c r="G63" s="340" t="s">
        <v>375</v>
      </c>
      <c r="H63" s="308"/>
      <c r="I63" s="308"/>
      <c r="J63" s="1910"/>
      <c r="K63" s="1910"/>
      <c r="L63" s="1910"/>
      <c r="M63" s="1910"/>
      <c r="N63" s="1910"/>
      <c r="O63" s="1910"/>
      <c r="P63" s="1910"/>
      <c r="Q63" s="1910"/>
      <c r="R63" s="1910"/>
      <c r="S63" s="1910"/>
      <c r="T63" s="1910"/>
      <c r="U63" s="1910"/>
      <c r="V63" s="1910"/>
    </row>
    <row r="64" spans="1:22" ht="14.25" customHeight="1">
      <c r="A64" s="3459" t="s">
        <v>377</v>
      </c>
      <c r="B64" s="3460"/>
      <c r="C64" s="3460"/>
      <c r="D64" s="3460"/>
      <c r="E64" s="3460"/>
      <c r="F64" s="3460"/>
      <c r="G64" s="3461"/>
      <c r="H64" s="1241"/>
      <c r="I64" s="936"/>
      <c r="J64" s="1901"/>
      <c r="K64" s="1497" t="s">
        <v>376</v>
      </c>
      <c r="L64" s="11"/>
      <c r="M64" s="11"/>
      <c r="N64" s="11"/>
      <c r="O64" s="11"/>
      <c r="P64" s="308"/>
      <c r="Q64" s="1910"/>
      <c r="R64" s="1910"/>
      <c r="S64" s="1910"/>
      <c r="T64" s="1910"/>
      <c r="U64" s="1910"/>
      <c r="V64" s="1910"/>
    </row>
    <row r="65" spans="1:22" ht="12" customHeight="1">
      <c r="A65" s="341" t="s">
        <v>379</v>
      </c>
      <c r="B65" s="342"/>
      <c r="C65" s="343"/>
      <c r="D65" s="344" t="s">
        <v>380</v>
      </c>
      <c r="E65" s="53" t="s">
        <v>381</v>
      </c>
      <c r="F65" s="345" t="s">
        <v>382</v>
      </c>
      <c r="G65" s="346" t="s">
        <v>383</v>
      </c>
      <c r="H65" s="1241"/>
      <c r="I65" s="936"/>
      <c r="J65" s="1901"/>
      <c r="K65" s="1242"/>
      <c r="L65" s="1243"/>
      <c r="M65" s="1243"/>
      <c r="N65" s="1275" t="s">
        <v>378</v>
      </c>
      <c r="O65" s="1276"/>
      <c r="P65" s="1277"/>
      <c r="Q65" s="1910"/>
      <c r="R65" s="1910"/>
      <c r="S65" s="1910"/>
      <c r="T65" s="1910"/>
      <c r="U65" s="1910"/>
      <c r="V65" s="1910"/>
    </row>
    <row r="66" spans="1:22" ht="25.5">
      <c r="A66" s="3455" t="s">
        <v>385</v>
      </c>
      <c r="B66" s="3456"/>
      <c r="C66" s="3456"/>
      <c r="D66" s="258" t="b">
        <f>IF(H66="情况1",0,IF(H66="情况2",D70,IF(H66="情况3",D71,IF(H66="情况4",D72))))</f>
        <v>0</v>
      </c>
      <c r="E66" s="980" t="str">
        <f>IF(H66="情况4","(销售额-原购置价)×税（费）率","销售额×税（费）率")</f>
        <v>销售额×税（费）率</v>
      </c>
      <c r="F66" s="347">
        <f>IF(H66="情况1","免征",'数据-取费表'!B41)</f>
        <v>5.6000000000000001E-2</v>
      </c>
      <c r="G66" s="348" t="s">
        <v>386</v>
      </c>
      <c r="H66" s="189"/>
      <c r="I66" s="1241"/>
      <c r="J66" s="1916"/>
      <c r="K66" s="1244">
        <v>1</v>
      </c>
      <c r="L66" s="3516" t="s">
        <v>384</v>
      </c>
      <c r="M66" s="3517"/>
      <c r="N66" s="2311"/>
      <c r="O66" s="2312"/>
      <c r="P66" s="2313"/>
      <c r="Q66" s="1910"/>
      <c r="R66" s="1910"/>
      <c r="S66" s="1910"/>
      <c r="T66" s="1910"/>
      <c r="U66" s="1910"/>
      <c r="V66" s="1910"/>
    </row>
    <row r="67" spans="1:22" ht="25.5" customHeight="1">
      <c r="A67" s="349" t="s">
        <v>388</v>
      </c>
      <c r="B67" s="3446" t="s">
        <v>389</v>
      </c>
      <c r="C67" s="3446"/>
      <c r="D67" s="350">
        <v>0</v>
      </c>
      <c r="E67" s="41" t="s">
        <v>390</v>
      </c>
      <c r="F67" s="62" t="s">
        <v>21</v>
      </c>
      <c r="G67" s="3504"/>
      <c r="H67" s="3004" t="s">
        <v>2966</v>
      </c>
      <c r="I67" s="3006"/>
      <c r="J67" s="1917"/>
      <c r="K67" s="1889">
        <v>2</v>
      </c>
      <c r="L67" s="3510" t="s">
        <v>387</v>
      </c>
      <c r="M67" s="3510"/>
      <c r="N67" s="1278">
        <f>'数据-取费表'!B2</f>
        <v>44202</v>
      </c>
      <c r="O67" s="1278"/>
      <c r="P67" s="1278"/>
      <c r="Q67" s="1910"/>
      <c r="R67" s="1910"/>
      <c r="S67" s="1910"/>
      <c r="T67" s="1910"/>
      <c r="U67" s="1910"/>
      <c r="V67" s="1910"/>
    </row>
    <row r="68" spans="1:22" ht="25.5" customHeight="1">
      <c r="A68" s="351"/>
      <c r="B68" s="3446" t="s">
        <v>392</v>
      </c>
      <c r="C68" s="3446"/>
      <c r="D68" s="352"/>
      <c r="E68" s="77"/>
      <c r="F68" s="353"/>
      <c r="G68" s="3505"/>
      <c r="H68" s="3005" t="s">
        <v>2967</v>
      </c>
      <c r="I68" s="3006"/>
      <c r="J68" s="1917"/>
      <c r="K68" s="1889">
        <v>3</v>
      </c>
      <c r="L68" s="3510" t="s">
        <v>391</v>
      </c>
      <c r="M68" s="3510"/>
      <c r="N68" s="1246">
        <f ca="1">C42</f>
        <v>30029</v>
      </c>
      <c r="O68" s="1246"/>
      <c r="P68" s="1246"/>
      <c r="Q68" s="1910"/>
      <c r="R68" s="1910"/>
      <c r="S68" s="1910"/>
      <c r="T68" s="1910"/>
      <c r="U68" s="1910"/>
      <c r="V68" s="1910"/>
    </row>
    <row r="69" spans="1:22" ht="23.45" customHeight="1">
      <c r="A69" s="354"/>
      <c r="B69" s="3446" t="s">
        <v>393</v>
      </c>
      <c r="C69" s="3446"/>
      <c r="D69" s="355"/>
      <c r="E69" s="73"/>
      <c r="F69" s="353"/>
      <c r="G69" s="3506"/>
      <c r="H69" s="3005" t="s">
        <v>2968</v>
      </c>
      <c r="I69" s="3006"/>
      <c r="J69" s="1917"/>
      <c r="K69" s="1247">
        <v>4</v>
      </c>
      <c r="L69" s="3520" t="s">
        <v>2861</v>
      </c>
      <c r="M69" s="3521"/>
      <c r="N69" s="1248">
        <f ca="1">C44</f>
        <v>30029</v>
      </c>
      <c r="O69" s="1248"/>
      <c r="P69" s="1248"/>
      <c r="Q69" s="1910"/>
      <c r="R69" s="1910"/>
      <c r="S69" s="1910"/>
      <c r="T69" s="1910"/>
      <c r="U69" s="1910"/>
      <c r="V69" s="1910"/>
    </row>
    <row r="70" spans="1:22" ht="24" customHeight="1">
      <c r="A70" s="356" t="s">
        <v>394</v>
      </c>
      <c r="B70" s="3446" t="s">
        <v>395</v>
      </c>
      <c r="C70" s="3446"/>
      <c r="D70" s="355">
        <f ca="1">ROUND(D63*'数据-取费表'!B41/(1+'数据-取费表'!C42),0)</f>
        <v>1602</v>
      </c>
      <c r="E70" s="17" t="s">
        <v>396</v>
      </c>
      <c r="F70" s="357">
        <f>'数据-取费表'!B41</f>
        <v>5.6000000000000001E-2</v>
      </c>
      <c r="G70" s="358"/>
      <c r="H70" s="308"/>
      <c r="I70" s="1245"/>
      <c r="J70" s="1917"/>
      <c r="K70" s="2763"/>
      <c r="L70" s="2764"/>
      <c r="M70" s="2764"/>
      <c r="N70" s="2765" t="s">
        <v>2865</v>
      </c>
      <c r="O70" s="2764"/>
      <c r="P70" s="2766"/>
      <c r="Q70" s="1910"/>
      <c r="R70" s="1910"/>
      <c r="S70" s="1910"/>
      <c r="T70" s="1910"/>
      <c r="U70" s="1910"/>
      <c r="V70" s="1910"/>
    </row>
    <row r="71" spans="1:22" ht="12" customHeight="1">
      <c r="A71" s="356" t="s">
        <v>402</v>
      </c>
      <c r="B71" s="3447" t="s">
        <v>2998</v>
      </c>
      <c r="C71" s="3448"/>
      <c r="D71" s="355">
        <f ca="1">ROUND(D63*'数据-取费表'!B41/(1+'数据-取费表'!C42),0)</f>
        <v>1602</v>
      </c>
      <c r="E71" s="17" t="s">
        <v>396</v>
      </c>
      <c r="F71" s="357">
        <f>'数据-取费表'!B41</f>
        <v>5.6000000000000001E-2</v>
      </c>
      <c r="G71" s="358"/>
      <c r="H71" s="308"/>
      <c r="I71" s="1245"/>
      <c r="J71" s="1917"/>
      <c r="K71" s="2762" t="s">
        <v>397</v>
      </c>
      <c r="L71" s="3522" t="s">
        <v>398</v>
      </c>
      <c r="M71" s="3522"/>
      <c r="N71" s="2762" t="s">
        <v>399</v>
      </c>
      <c r="O71" s="2762" t="s">
        <v>400</v>
      </c>
      <c r="P71" s="2762" t="s">
        <v>401</v>
      </c>
      <c r="Q71" s="1910"/>
      <c r="R71" s="1910"/>
      <c r="S71" s="1910"/>
      <c r="T71" s="1910"/>
      <c r="U71" s="1910"/>
      <c r="V71" s="1910"/>
    </row>
    <row r="72" spans="1:22" ht="12" customHeight="1">
      <c r="A72" s="356" t="s">
        <v>404</v>
      </c>
      <c r="B72" s="3447" t="s">
        <v>2999</v>
      </c>
      <c r="C72" s="3448"/>
      <c r="D72" s="355">
        <f ca="1">C86</f>
        <v>1602</v>
      </c>
      <c r="E72" s="73" t="s">
        <v>405</v>
      </c>
      <c r="F72" s="357">
        <f>'数据-取费表'!B41</f>
        <v>5.6000000000000001E-2</v>
      </c>
      <c r="G72" s="358"/>
      <c r="H72" s="1251"/>
      <c r="I72" s="1245"/>
      <c r="J72" s="1917"/>
      <c r="K72" s="1889">
        <v>1</v>
      </c>
      <c r="L72" s="3497" t="s">
        <v>403</v>
      </c>
      <c r="M72" s="3497"/>
      <c r="N72" s="1249" t="b">
        <f>D66</f>
        <v>0</v>
      </c>
      <c r="O72" s="1772" t="str">
        <f>E66</f>
        <v>销售额×税（费）率</v>
      </c>
      <c r="P72" s="1250">
        <f>F66</f>
        <v>5.6000000000000001E-2</v>
      </c>
      <c r="Q72" s="1910"/>
      <c r="R72" s="1910"/>
      <c r="S72" s="1910"/>
      <c r="T72" s="1910"/>
      <c r="U72" s="1910"/>
      <c r="V72" s="1910"/>
    </row>
    <row r="73" spans="1:22" ht="24" customHeight="1">
      <c r="A73" s="3492" t="s">
        <v>407</v>
      </c>
      <c r="B73" s="3456"/>
      <c r="C73" s="3456"/>
      <c r="D73" s="359">
        <f ca="1">IF(H73="个人住宅",0,ROUND(D63*I73,0))</f>
        <v>15</v>
      </c>
      <c r="E73" s="17" t="s">
        <v>408</v>
      </c>
      <c r="F73" s="357" t="str">
        <f>IF(H73="正常",I73,"免征")</f>
        <v>免征</v>
      </c>
      <c r="G73" s="358"/>
      <c r="H73" s="189"/>
      <c r="I73" s="357">
        <f>'数据-取费表'!B49</f>
        <v>5.0000000000000001E-4</v>
      </c>
      <c r="J73" s="1917"/>
      <c r="K73" s="1889">
        <v>2</v>
      </c>
      <c r="L73" s="3497" t="s">
        <v>406</v>
      </c>
      <c r="M73" s="3497"/>
      <c r="N73" s="1249">
        <f t="shared" ref="N73:P74" ca="1" si="1">D73</f>
        <v>15</v>
      </c>
      <c r="O73" s="1772" t="str">
        <f t="shared" si="1"/>
        <v>销售额×税（费）率</v>
      </c>
      <c r="P73" s="1250" t="str">
        <f t="shared" si="1"/>
        <v>免征</v>
      </c>
      <c r="Q73" s="1910"/>
      <c r="R73" s="1910"/>
      <c r="S73" s="1910"/>
      <c r="T73" s="1910"/>
      <c r="U73" s="1910"/>
      <c r="V73" s="1910"/>
    </row>
    <row r="74" spans="1:22" ht="24.75">
      <c r="A74" s="3492" t="s">
        <v>410</v>
      </c>
      <c r="B74" s="3456"/>
      <c r="C74" s="3456"/>
      <c r="D74" s="359">
        <f ca="1">IF(H74="个人住宅",D75,D76)</f>
        <v>16996</v>
      </c>
      <c r="E74" s="17" t="s">
        <v>411</v>
      </c>
      <c r="F74" s="357" t="str">
        <f>IF(H74="正常",F76,"免征")</f>
        <v>免征</v>
      </c>
      <c r="G74" s="970" t="s">
        <v>412</v>
      </c>
      <c r="H74" s="360"/>
      <c r="I74" s="42"/>
      <c r="J74" s="1917"/>
      <c r="K74" s="1889">
        <v>3</v>
      </c>
      <c r="L74" s="3497" t="s">
        <v>409</v>
      </c>
      <c r="M74" s="3497"/>
      <c r="N74" s="1249">
        <f t="shared" ca="1" si="1"/>
        <v>16996</v>
      </c>
      <c r="O74" s="1772" t="str">
        <f t="shared" si="1"/>
        <v>增值额×税（费）率</v>
      </c>
      <c r="P74" s="1252" t="str">
        <f t="shared" si="1"/>
        <v>免征</v>
      </c>
      <c r="Q74" s="1910"/>
      <c r="R74" s="1910"/>
      <c r="S74" s="1910"/>
      <c r="T74" s="1910"/>
      <c r="U74" s="1910"/>
      <c r="V74" s="1910"/>
    </row>
    <row r="75" spans="1:22" ht="12.75">
      <c r="A75" s="356" t="s">
        <v>413</v>
      </c>
      <c r="B75" s="3444" t="s">
        <v>414</v>
      </c>
      <c r="C75" s="3480"/>
      <c r="D75" s="361">
        <v>0</v>
      </c>
      <c r="E75" s="41" t="s">
        <v>415</v>
      </c>
      <c r="F75" s="362"/>
      <c r="G75" s="358"/>
      <c r="H75" s="42"/>
      <c r="I75" s="42"/>
      <c r="J75" s="1917"/>
      <c r="K75" s="2756">
        <f>IF(H77="非个人房产","",4)</f>
        <v>4</v>
      </c>
      <c r="L75" s="3497" t="str">
        <f>IF(H77="非个人房产","——","个人所得税")</f>
        <v>个人所得税</v>
      </c>
      <c r="M75" s="3497"/>
      <c r="N75" s="1253">
        <f>D77</f>
        <v>0</v>
      </c>
      <c r="O75" s="1785" t="str">
        <f>E77</f>
        <v>差额计税</v>
      </c>
      <c r="P75" s="1254">
        <f>F77</f>
        <v>0.01</v>
      </c>
      <c r="Q75" s="1910"/>
      <c r="R75" s="1910"/>
      <c r="S75" s="1910"/>
      <c r="T75" s="1910"/>
      <c r="U75" s="1910"/>
      <c r="V75" s="1910"/>
    </row>
    <row r="76" spans="1:22" ht="24.75">
      <c r="A76" s="356" t="s">
        <v>394</v>
      </c>
      <c r="B76" s="3444" t="s">
        <v>417</v>
      </c>
      <c r="C76" s="3445"/>
      <c r="D76" s="359">
        <f ca="1">IF(H76="转让取得",C99,C115)</f>
        <v>16996</v>
      </c>
      <c r="E76" s="17" t="s">
        <v>418</v>
      </c>
      <c r="F76" s="53" t="s">
        <v>21</v>
      </c>
      <c r="G76" s="358"/>
      <c r="H76" s="360"/>
      <c r="I76" s="42"/>
      <c r="J76" s="1917"/>
      <c r="K76" s="2756" t="str">
        <f>IF(项目基本情况!K6="上海银行",IF(K75="",4,K75+1),"")</f>
        <v/>
      </c>
      <c r="L76" s="3512" t="str">
        <f>IF(项目基本情况!K6="上海银行","其他处置费用","")</f>
        <v/>
      </c>
      <c r="M76" s="3513"/>
      <c r="N76" s="1249" t="str">
        <f>IF(项目基本情况!K6="上海银行",N89,"")</f>
        <v/>
      </c>
      <c r="O76" s="3514" t="str">
        <f>IF(项目基本情况!K6="上海银行","包含处置中涉及的律师、诉讼、拍卖、评估等费用","")</f>
        <v/>
      </c>
      <c r="P76" s="3515"/>
      <c r="Q76" s="1910"/>
      <c r="R76" s="1910"/>
      <c r="S76" s="1910"/>
      <c r="T76" s="1910"/>
      <c r="U76" s="1910"/>
      <c r="V76" s="1910"/>
    </row>
    <row r="77" spans="1:22" ht="24.75" thickBot="1">
      <c r="A77" s="3499" t="s">
        <v>420</v>
      </c>
      <c r="B77" s="3500"/>
      <c r="C77" s="3500"/>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412</v>
      </c>
      <c r="H77" s="3008"/>
      <c r="I77" s="3007" t="s">
        <v>2969</v>
      </c>
      <c r="J77" s="1917"/>
      <c r="K77" s="3498">
        <f>IF(AND(K75="",K76=""),4,IF(项目基本情况!K6="上海银行",K76+1,K75+1))</f>
        <v>5</v>
      </c>
      <c r="L77" s="3497" t="s">
        <v>2862</v>
      </c>
      <c r="M77" s="2761" t="s">
        <v>416</v>
      </c>
      <c r="N77" s="1255"/>
      <c r="O77" s="1256">
        <f ca="1">SUMIF(N72:N76,"&lt;9e307")</f>
        <v>17011</v>
      </c>
      <c r="P77" s="1257"/>
      <c r="Q77" s="2759">
        <f ca="1">O77/N69</f>
        <v>0.56648573046055484</v>
      </c>
      <c r="R77" s="1910"/>
      <c r="S77" s="1910"/>
      <c r="T77" s="1910"/>
      <c r="U77" s="1910"/>
      <c r="V77" s="1910"/>
    </row>
    <row r="78" spans="1:22" ht="12" customHeight="1">
      <c r="A78" s="1258"/>
      <c r="B78" s="308"/>
      <c r="C78" s="308"/>
      <c r="D78" s="308"/>
      <c r="E78" s="42"/>
      <c r="F78" s="42"/>
      <c r="G78" s="42"/>
      <c r="H78" s="990"/>
      <c r="I78" s="308"/>
      <c r="J78" s="1917"/>
      <c r="K78" s="3498"/>
      <c r="L78" s="3497"/>
      <c r="M78" s="2761" t="s">
        <v>419</v>
      </c>
      <c r="N78" s="1255"/>
      <c r="O78" s="1256" t="str">
        <f ca="1">NUMBERSTRING(INT(O77*10000),2)&amp;"元整"</f>
        <v>壹亿柒仟零壹拾壹万元整</v>
      </c>
      <c r="P78" s="1257"/>
      <c r="Q78" s="1910"/>
      <c r="R78" s="1910"/>
      <c r="S78" s="1910"/>
      <c r="T78" s="1910"/>
      <c r="U78" s="1910"/>
      <c r="V78" s="1910"/>
    </row>
    <row r="79" spans="1:22" ht="13.5" thickBot="1">
      <c r="A79" s="3464" t="s">
        <v>421</v>
      </c>
      <c r="B79" s="3464"/>
      <c r="C79" s="3464"/>
      <c r="D79" s="3464"/>
      <c r="E79" s="3464"/>
      <c r="F79" s="42"/>
      <c r="G79" s="42"/>
      <c r="H79" s="990"/>
      <c r="I79" s="308"/>
      <c r="J79" s="1917"/>
      <c r="K79" s="3518">
        <f>K77+1</f>
        <v>6</v>
      </c>
      <c r="L79" s="3497" t="s">
        <v>2863</v>
      </c>
      <c r="M79" s="2761" t="s">
        <v>416</v>
      </c>
      <c r="N79" s="1255"/>
      <c r="O79" s="1256">
        <f ca="1">N69-O77</f>
        <v>13018</v>
      </c>
      <c r="P79" s="1257"/>
      <c r="Q79" s="1910"/>
      <c r="R79" s="1910"/>
      <c r="S79" s="1910"/>
      <c r="T79" s="1910"/>
      <c r="U79" s="1910"/>
      <c r="V79" s="1910"/>
    </row>
    <row r="80" spans="1:22" ht="25.5">
      <c r="A80" s="3465" t="s">
        <v>422</v>
      </c>
      <c r="B80" s="3466"/>
      <c r="C80" s="981"/>
      <c r="D80" s="981" t="s">
        <v>423</v>
      </c>
      <c r="E80" s="363" t="s">
        <v>424</v>
      </c>
      <c r="F80" s="42"/>
      <c r="G80" s="42"/>
      <c r="H80" s="990"/>
      <c r="I80" s="308"/>
      <c r="J80" s="1910"/>
      <c r="K80" s="3519"/>
      <c r="L80" s="3497"/>
      <c r="M80" s="2761" t="s">
        <v>419</v>
      </c>
      <c r="N80" s="1255"/>
      <c r="O80" s="1256" t="str">
        <f ca="1">NUMBERSTRING(INT(O79*10000),2)&amp;"元整"</f>
        <v>壹亿叁仟零壹拾捌万元整</v>
      </c>
      <c r="P80" s="1257"/>
      <c r="Q80" s="1910"/>
      <c r="R80" s="1910"/>
      <c r="S80" s="1910"/>
      <c r="T80" s="1910"/>
      <c r="U80" s="1910"/>
      <c r="V80" s="1910"/>
    </row>
    <row r="81" spans="1:26" ht="13.5" thickBot="1">
      <c r="A81" s="374" t="s">
        <v>1813</v>
      </c>
      <c r="B81" s="364" t="s">
        <v>425</v>
      </c>
      <c r="C81" s="365">
        <f ca="1">ROUND((C82+C83)/(1+'数据-取费表'!C42),0)</f>
        <v>28599</v>
      </c>
      <c r="D81" s="366"/>
      <c r="E81" s="367"/>
      <c r="F81" s="42"/>
      <c r="G81" s="42"/>
      <c r="H81" s="990"/>
      <c r="I81" s="308"/>
      <c r="J81" s="1910"/>
      <c r="K81" s="2756">
        <f>K79+1</f>
        <v>7</v>
      </c>
      <c r="L81" s="3495" t="s">
        <v>2864</v>
      </c>
      <c r="M81" s="3496"/>
      <c r="N81" s="1259"/>
      <c r="O81" s="1260">
        <f ca="1">ROUND(O79*10000/'数据-汇总表'!E3,0)</f>
        <v>4931</v>
      </c>
      <c r="P81" s="1261"/>
      <c r="Q81" s="1910"/>
      <c r="R81" s="1910"/>
      <c r="S81" s="1910"/>
      <c r="T81" s="1910"/>
      <c r="U81" s="1910"/>
      <c r="V81" s="1910"/>
    </row>
    <row r="82" spans="1:26" ht="13.5" thickTop="1">
      <c r="A82" s="368" t="s">
        <v>1814</v>
      </c>
      <c r="B82" s="369" t="s">
        <v>426</v>
      </c>
      <c r="C82" s="370">
        <f ca="1">D63</f>
        <v>30029</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1815</v>
      </c>
      <c r="B83" s="369" t="s">
        <v>427</v>
      </c>
      <c r="C83" s="373"/>
      <c r="D83" s="371"/>
      <c r="E83" s="372"/>
      <c r="F83" s="42"/>
      <c r="G83" s="42"/>
      <c r="H83" s="990"/>
      <c r="I83" s="308"/>
      <c r="J83" s="1910"/>
      <c r="K83" s="3511" t="s">
        <v>2852</v>
      </c>
      <c r="L83" s="2767" t="s">
        <v>2853</v>
      </c>
      <c r="M83" s="2757">
        <f ca="1">IF(N69&gt;10000,N69*0.5%,IF(AND(N69&gt;1000,N69&lt;=10000),N69*1%,IF(AND(N69&gt;100,N69&lt;=1000),N69*3%,IF(AND(N69&gt;10,N69&lt;=100),N69*5%,N69*8%))))</f>
        <v>150.14500000000001</v>
      </c>
      <c r="N83" s="53">
        <f ca="1">ROUND(M83,1)</f>
        <v>150.1</v>
      </c>
      <c r="O83" s="2760"/>
      <c r="P83" s="1910"/>
      <c r="Q83" s="1910"/>
      <c r="R83" s="1910"/>
      <c r="S83" s="1910"/>
      <c r="T83" s="1910"/>
      <c r="U83" s="1910"/>
      <c r="V83" s="1910"/>
    </row>
    <row r="84" spans="1:26" ht="12.75">
      <c r="A84" s="374" t="s">
        <v>1816</v>
      </c>
      <c r="B84" s="375" t="s">
        <v>428</v>
      </c>
      <c r="C84" s="376"/>
      <c r="D84" s="377" t="s">
        <v>19</v>
      </c>
      <c r="E84" s="2785" t="s">
        <v>2907</v>
      </c>
      <c r="F84" s="42"/>
      <c r="G84" s="42"/>
      <c r="H84" s="990"/>
      <c r="I84" s="308"/>
      <c r="J84" s="1910"/>
      <c r="K84" s="3511"/>
      <c r="L84" s="2767" t="s">
        <v>2854</v>
      </c>
      <c r="M84" s="2757">
        <f ca="1">IF(N69&gt;2000,N69*0.5%,IF(AND(N69&gt;1000,N69&lt;=2000),N69*0.6%,IF(AND(N69&gt;500,N69&lt;=1000),N69*0.7%,IF(AND(N69&gt;200,N69&lt;=500),N69*0.8%,IF(AND(N69&gt;100,N69&lt;=200),N69*0.9%,IF(AND(N69&gt;50,N69&lt;=100),N69*1%,IF(AND(N69&gt;20,N69&lt;=50),N69*1.5%,IF(AND(N69&gt;10,N69&lt;=20),N69*2%,IF(AND(N69&gt;1,N69&lt;=10),N69*2.5%)))))))))</f>
        <v>150.14500000000001</v>
      </c>
      <c r="N84" s="53">
        <f t="shared" ref="N84:N85" ca="1" si="2">ROUND(M84,1)</f>
        <v>150.1</v>
      </c>
      <c r="O84" s="1910" t="s">
        <v>2855</v>
      </c>
      <c r="P84" s="1910"/>
      <c r="Q84" s="1910"/>
      <c r="R84" s="1910"/>
      <c r="S84" s="1910"/>
      <c r="T84" s="1910"/>
      <c r="U84" s="1910"/>
      <c r="V84" s="1910"/>
    </row>
    <row r="85" spans="1:26" ht="12.75">
      <c r="A85" s="374" t="s">
        <v>1817</v>
      </c>
      <c r="B85" s="375" t="s">
        <v>429</v>
      </c>
      <c r="C85" s="378">
        <f ca="1">C81-C84</f>
        <v>28599</v>
      </c>
      <c r="D85" s="371" t="s">
        <v>19</v>
      </c>
      <c r="E85" s="372"/>
      <c r="F85" s="42"/>
      <c r="G85" s="42"/>
      <c r="H85" s="990"/>
      <c r="I85" s="308"/>
      <c r="J85" s="1910"/>
      <c r="K85" s="3511"/>
      <c r="L85" s="2767" t="s">
        <v>2856</v>
      </c>
      <c r="M85" s="2757">
        <f ca="1">IF(N69&gt;1000,N69*0.1%,IF(AND(N69&gt;500,N69&lt;=1000),N69*0.5%,IF(AND(N69&gt;50,N69&lt;=500),N69*1%,IF(AND(N69&gt;1,N69&lt;=50),N69*1.5%))))</f>
        <v>30.029</v>
      </c>
      <c r="N85" s="53">
        <f t="shared" ca="1" si="2"/>
        <v>30</v>
      </c>
      <c r="O85" s="1910" t="s">
        <v>2855</v>
      </c>
      <c r="P85" s="1910"/>
      <c r="Q85" s="1910"/>
      <c r="R85" s="1910"/>
      <c r="S85" s="1910"/>
      <c r="T85" s="1910"/>
      <c r="U85" s="1910"/>
      <c r="V85" s="1910"/>
    </row>
    <row r="86" spans="1:26" ht="13.5" thickBot="1">
      <c r="A86" s="379" t="s">
        <v>1818</v>
      </c>
      <c r="B86" s="380" t="s">
        <v>430</v>
      </c>
      <c r="C86" s="381">
        <f ca="1">IF(C85&lt;=0,0,ROUND(C85*D86,0))</f>
        <v>1602</v>
      </c>
      <c r="D86" s="382">
        <f>'数据-取费表'!B41</f>
        <v>5.6000000000000001E-2</v>
      </c>
      <c r="E86" s="383"/>
      <c r="F86" s="42"/>
      <c r="G86" s="42"/>
      <c r="H86" s="990"/>
      <c r="I86" s="308"/>
      <c r="J86" s="1910"/>
      <c r="K86" s="3511"/>
      <c r="L86" s="2767" t="s">
        <v>2857</v>
      </c>
      <c r="M86" s="2757">
        <f ca="1">N69*0.5%</f>
        <v>150.14500000000001</v>
      </c>
      <c r="N86" s="53">
        <f ca="1">IF(M86&gt;0.5,0.5,ROUND(M86,0))</f>
        <v>0.5</v>
      </c>
      <c r="O86" s="1910" t="s">
        <v>2858</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511"/>
      <c r="L87" s="2767" t="s">
        <v>2859</v>
      </c>
      <c r="M87" s="2757">
        <f ca="1">IF(N69&gt;=10000,(8.25+(N69-10000)*0.01%),IF(AND(N69&gt;=8000,N69&lt;10000),(7.85+(N69-8000)*0.02%),IF(AND(N69&gt;=5000,N69&lt;8000),(6.65+(N69-5000)*0.04%),IF(AND(N69&gt;=2000,N69&lt;5000),(4.25+(PN69-2000)*0.08%),IF(AND(N69&gt;=1000,N69&lt;2000),(2.75+(N69-1000)*0.15%),IF(AND(N69&gt;=100,N69&lt;1000),(0.5+(N69-100)*0.25%),IF(AND(N69&gt;0,N69&lt;100),N69*0.5%)))))))</f>
        <v>10.2529</v>
      </c>
      <c r="N87" s="53">
        <f ca="1">ROUND(M87*0.9,1)</f>
        <v>9.1999999999999993</v>
      </c>
      <c r="O87" s="2760"/>
      <c r="P87" s="1910"/>
      <c r="Q87" s="1910"/>
      <c r="R87" s="1910"/>
      <c r="S87" s="1910"/>
      <c r="T87" s="1910"/>
      <c r="U87" s="1910"/>
      <c r="V87" s="1910"/>
      <c r="W87" s="289"/>
      <c r="X87" s="289"/>
      <c r="Y87" s="289"/>
      <c r="Z87" s="289"/>
    </row>
    <row r="88" spans="1:26" s="1267" customFormat="1" ht="15" thickBot="1">
      <c r="A88" s="3490" t="s">
        <v>431</v>
      </c>
      <c r="B88" s="3491"/>
      <c r="C88" s="3491"/>
      <c r="D88" s="3491"/>
      <c r="E88" s="3491"/>
      <c r="F88" s="3491"/>
      <c r="G88" s="3491"/>
      <c r="H88" s="3491"/>
      <c r="I88" s="1268"/>
      <c r="J88" s="1918"/>
      <c r="K88" s="3511"/>
      <c r="L88" s="2767" t="s">
        <v>2860</v>
      </c>
      <c r="M88" s="2757">
        <f ca="1">IF(N69&gt;10000,N69*0.5%,IF(AND(N69&gt;5000,N69&lt;=10000),N69*1%,IF(AND(N69&gt;1000,N69&lt;=5000),N69*2%,IF(AND(N69&gt;200,N69&lt;=1000),N69*3%,N69*5%))))</f>
        <v>150.14500000000001</v>
      </c>
      <c r="N88" s="53">
        <f ca="1">ROUND(M88,1)</f>
        <v>150.1</v>
      </c>
      <c r="O88" s="2760"/>
      <c r="P88" s="1915"/>
      <c r="Q88" s="1915"/>
      <c r="R88" s="1915"/>
      <c r="S88" s="1915"/>
      <c r="T88" s="1915"/>
      <c r="U88" s="1915"/>
      <c r="V88" s="1915"/>
      <c r="W88" s="1919"/>
      <c r="X88" s="1919"/>
      <c r="Y88" s="1919"/>
      <c r="Z88" s="1919"/>
    </row>
    <row r="89" spans="1:26" s="1267" customFormat="1" ht="14.25">
      <c r="A89" s="3465" t="s">
        <v>422</v>
      </c>
      <c r="B89" s="3466"/>
      <c r="C89" s="981"/>
      <c r="D89" s="981" t="s">
        <v>423</v>
      </c>
      <c r="E89" s="384" t="s">
        <v>432</v>
      </c>
      <c r="F89" s="385"/>
      <c r="G89" s="385"/>
      <c r="H89" s="386"/>
      <c r="I89" s="1269"/>
      <c r="J89" s="1920"/>
      <c r="K89" s="3511"/>
      <c r="L89" s="2767" t="s">
        <v>27</v>
      </c>
      <c r="M89" s="2758"/>
      <c r="N89" s="53">
        <f ca="1">ROUND(SUM(N83:N88),0)</f>
        <v>490</v>
      </c>
      <c r="O89" s="2768">
        <f ca="1">N89/N69</f>
        <v>1.6317559692297447E-2</v>
      </c>
      <c r="P89" s="1915"/>
      <c r="Q89" s="1915"/>
      <c r="R89" s="1915"/>
      <c r="S89" s="1915"/>
      <c r="T89" s="1915"/>
      <c r="U89" s="1915"/>
      <c r="V89" s="1915"/>
      <c r="W89" s="1919"/>
      <c r="X89" s="1919"/>
      <c r="Y89" s="1919"/>
      <c r="Z89" s="1919"/>
    </row>
    <row r="90" spans="1:26" s="1267" customFormat="1" ht="14.25">
      <c r="A90" s="374" t="s">
        <v>1813</v>
      </c>
      <c r="B90" s="375" t="s">
        <v>433</v>
      </c>
      <c r="C90" s="378">
        <f ca="1">ROUND(D63/(1+'数据-取费表'!C42),0)</f>
        <v>28599</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1819</v>
      </c>
      <c r="B91" s="345" t="s">
        <v>434</v>
      </c>
      <c r="C91" s="378">
        <f ca="1">C92+C96</f>
        <v>172</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1820</v>
      </c>
      <c r="B92" s="369" t="s">
        <v>435</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1821</v>
      </c>
      <c r="B93" s="369" t="s">
        <v>436</v>
      </c>
      <c r="C93" s="389"/>
      <c r="D93" s="371" t="s">
        <v>19</v>
      </c>
      <c r="E93" s="390" t="s">
        <v>437</v>
      </c>
      <c r="F93" s="391"/>
      <c r="G93" s="390" t="s">
        <v>438</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1822</v>
      </c>
      <c r="B94" s="393" t="s">
        <v>439</v>
      </c>
      <c r="C94" s="371">
        <f>IF(F93="购房发票",ROUND(C93*H93*5%,0),0)</f>
        <v>0</v>
      </c>
      <c r="D94" s="394">
        <v>0.05</v>
      </c>
      <c r="E94" s="3447" t="s">
        <v>440</v>
      </c>
      <c r="F94" s="3446"/>
      <c r="G94" s="3446"/>
      <c r="H94" s="3489"/>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1823</v>
      </c>
      <c r="B95" s="369" t="s">
        <v>441</v>
      </c>
      <c r="C95" s="371">
        <f>ROUND(IF(G95="个人买卖住房",0,IF(G95="2016年5月1日前购买",C93*D95,C93*D95/(1+'数据-取费表'!C42))),0)</f>
        <v>0</v>
      </c>
      <c r="D95" s="395">
        <f>'数据-取费表'!B48+'数据-取费表'!B49</f>
        <v>3.0499999999999999E-2</v>
      </c>
      <c r="E95" s="26" t="s">
        <v>442</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1824</v>
      </c>
      <c r="B96" s="369" t="s">
        <v>443</v>
      </c>
      <c r="C96" s="398">
        <f ca="1">ROUND(D63*D96/(1+'数据-取费表'!C42),0)</f>
        <v>172</v>
      </c>
      <c r="D96" s="399">
        <f>'数据-取费表'!B43</f>
        <v>6.000000000000001E-3</v>
      </c>
      <c r="E96" s="3481" t="s">
        <v>2412</v>
      </c>
      <c r="F96" s="3482"/>
      <c r="G96" s="3482"/>
      <c r="H96" s="3483"/>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5" t="s">
        <v>444</v>
      </c>
      <c r="C97" s="378">
        <f ca="1">C90-C91</f>
        <v>28427</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5" t="s">
        <v>445</v>
      </c>
      <c r="C98" s="400">
        <f ca="1">IF(C97&lt;=0,0,C97/C91)</f>
        <v>165.27325581395348</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0" t="s">
        <v>446</v>
      </c>
      <c r="C99" s="401">
        <f ca="1">ROUND(IF(C97&lt;=0,0,IF(C98&gt;=200%,C97*60%-C91*35%,IF(C98&gt;=100%,C97*50%-C91*15%,IF(C98&gt;=50%,C97*40%-C91*5%,IF(C98&lt;50%,C97*30%,0))))),0)</f>
        <v>16996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90" t="s">
        <v>447</v>
      </c>
      <c r="B101" s="3491"/>
      <c r="C101" s="3491"/>
      <c r="D101" s="3491"/>
      <c r="E101" s="3491"/>
      <c r="F101" s="3491"/>
      <c r="G101" s="3491"/>
      <c r="H101" s="3491"/>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65" t="s">
        <v>422</v>
      </c>
      <c r="B102" s="3466"/>
      <c r="C102" s="981"/>
      <c r="D102" s="981" t="s">
        <v>423</v>
      </c>
      <c r="E102" s="384" t="s">
        <v>432</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1813</v>
      </c>
      <c r="B103" s="375" t="s">
        <v>433</v>
      </c>
      <c r="C103" s="378">
        <f ca="1">ROUND(D63/(1+'数据-取费表'!C42),0)</f>
        <v>28599</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1819</v>
      </c>
      <c r="B104" s="345" t="s">
        <v>434</v>
      </c>
      <c r="C104" s="378">
        <f ca="1">IF(H106="仅含出让金",C105+C108+C109+C110+C111+C112,C105+C109+C110+C111+C112)</f>
        <v>172</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1820</v>
      </c>
      <c r="B105" s="369" t="s">
        <v>448</v>
      </c>
      <c r="C105" s="398">
        <f>C106+C107</f>
        <v>0</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1821</v>
      </c>
      <c r="B106" s="369" t="s">
        <v>449</v>
      </c>
      <c r="C106" s="409"/>
      <c r="D106" s="399"/>
      <c r="E106" s="410" t="s">
        <v>450</v>
      </c>
      <c r="F106" s="973"/>
      <c r="G106" s="411" t="s">
        <v>451</v>
      </c>
      <c r="H106" s="412"/>
      <c r="I106" s="11"/>
      <c r="J106" s="1915"/>
      <c r="K106" s="3242" t="s">
        <v>2991</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1822</v>
      </c>
      <c r="B107" s="369" t="s">
        <v>441</v>
      </c>
      <c r="C107" s="398">
        <f>ROUND(C106*D107,0)</f>
        <v>0</v>
      </c>
      <c r="D107" s="399">
        <f>'数据-取费表'!B48+'数据-取费表'!B49</f>
        <v>3.0499999999999999E-2</v>
      </c>
      <c r="E107" s="410" t="s">
        <v>452</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1824</v>
      </c>
      <c r="B108" s="369" t="s">
        <v>453</v>
      </c>
      <c r="C108" s="409"/>
      <c r="D108" s="399"/>
      <c r="E108" s="410" t="str">
        <f>IF(H106="-","土地取得成本中已包含该笔费用"," ")</f>
        <v xml:space="preserve"> </v>
      </c>
      <c r="F108" s="973"/>
      <c r="G108" s="3441" t="s">
        <v>2961</v>
      </c>
      <c r="H108" s="3442"/>
      <c r="I108" s="2857"/>
      <c r="J108" s="1915"/>
      <c r="K108" s="3242" t="s">
        <v>2992</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69" t="s">
        <v>454</v>
      </c>
      <c r="C109" s="398">
        <f>IF(H109="——",IF(F1="现房",'剩余法-现房'!C18,0),I109)</f>
        <v>0</v>
      </c>
      <c r="D109" s="399"/>
      <c r="E109" s="3484" t="s">
        <v>455</v>
      </c>
      <c r="F109" s="3482"/>
      <c r="G109" s="3482"/>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69" t="s">
        <v>456</v>
      </c>
      <c r="C110" s="398">
        <f>ROUND((C105+C108+C109)*D110,0)</f>
        <v>0</v>
      </c>
      <c r="D110" s="3273">
        <v>0</v>
      </c>
      <c r="E110" s="3484" t="s">
        <v>457</v>
      </c>
      <c r="F110" s="3482"/>
      <c r="G110" s="3482"/>
      <c r="H110" s="3483"/>
      <c r="I110" s="11"/>
      <c r="J110" s="1915"/>
      <c r="K110" s="3243" t="s">
        <v>2993</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69" t="s">
        <v>443</v>
      </c>
      <c r="C111" s="398">
        <f ca="1">ROUND(D63*D111/(1+'数据-取费表'!C42),0)</f>
        <v>172</v>
      </c>
      <c r="D111" s="399">
        <f>'数据-取费表'!B43</f>
        <v>6.000000000000001E-3</v>
      </c>
      <c r="E111" s="3481" t="s">
        <v>2412</v>
      </c>
      <c r="F111" s="3482"/>
      <c r="G111" s="3482"/>
      <c r="H111" s="3483"/>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69" t="s">
        <v>458</v>
      </c>
      <c r="C112" s="398">
        <f>ROUND(C108*D112,0)</f>
        <v>0</v>
      </c>
      <c r="D112" s="399">
        <v>0.2</v>
      </c>
      <c r="E112" s="3484" t="s">
        <v>2435</v>
      </c>
      <c r="F112" s="3482"/>
      <c r="G112" s="3482"/>
      <c r="H112" s="3483"/>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5" t="s">
        <v>444</v>
      </c>
      <c r="C113" s="378">
        <f ca="1">ROUND(C103-C104,0)</f>
        <v>28427</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5" t="s">
        <v>445</v>
      </c>
      <c r="C114" s="400">
        <f ca="1">IF(C113&lt;=0,0,C113/C104)</f>
        <v>165.27325581395348</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0" t="s">
        <v>446</v>
      </c>
      <c r="C115" s="401">
        <f ca="1">ROUND(IF(C113&lt;=0,0,IF(C114&gt;=200%,C113*60%-C104*35%,IF(C114&gt;=100%,C113*50%-C104*15%,IF(C114&gt;=50%,C113*40%-C104*5%,IF(C114&lt;50%,C113*30%,0))))),0)</f>
        <v>16996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M53" sqref="M5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509</v>
      </c>
      <c r="B1" s="496"/>
      <c r="C1" s="497" t="s">
        <v>510</v>
      </c>
      <c r="D1" s="498" t="s">
        <v>511</v>
      </c>
      <c r="E1" s="499"/>
      <c r="F1" s="421"/>
      <c r="G1" s="499"/>
      <c r="H1" s="499"/>
      <c r="I1" s="499"/>
      <c r="J1" s="499"/>
      <c r="K1" s="500"/>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6" t="s">
        <v>460</v>
      </c>
      <c r="B2" s="501">
        <f>F68</f>
        <v>32868</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29" t="s">
        <v>1674</v>
      </c>
      <c r="B3" s="503">
        <f>ROUND(B2*10000/'数据-汇总表'!E3,0)</f>
        <v>12450</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4" t="s">
        <v>513</v>
      </c>
      <c r="B4" s="420">
        <f>IF(B48="单位面积地价",C50,ROUND(B2*10000/'数据-汇总表'!D3,0))</f>
        <v>20110</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f>ROUND(B2/('数据-汇总表'!D3/666.67),0)</f>
        <v>1341</v>
      </c>
      <c r="C5" s="424" t="s">
        <v>462</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5" t="s">
        <v>514</v>
      </c>
      <c r="B6" s="506"/>
      <c r="C6" s="3532" t="s">
        <v>515</v>
      </c>
      <c r="D6" s="3533"/>
      <c r="E6" s="3532" t="s">
        <v>516</v>
      </c>
      <c r="F6" s="3533"/>
      <c r="G6" s="3532" t="s">
        <v>517</v>
      </c>
      <c r="H6" s="3533"/>
      <c r="I6" s="3532" t="s">
        <v>518</v>
      </c>
      <c r="J6" s="3533"/>
      <c r="K6" s="507" t="s">
        <v>519</v>
      </c>
      <c r="L6" s="2014"/>
      <c r="M6" s="2013"/>
      <c r="N6" s="2013"/>
      <c r="O6" s="2015"/>
      <c r="P6" s="3534" t="s">
        <v>520</v>
      </c>
      <c r="Q6" s="3535"/>
      <c r="R6" s="3540" t="s">
        <v>516</v>
      </c>
      <c r="S6" s="3541"/>
      <c r="T6" s="3540" t="s">
        <v>517</v>
      </c>
      <c r="U6" s="3541"/>
      <c r="V6" s="3527" t="s">
        <v>518</v>
      </c>
      <c r="W6" s="3527"/>
      <c r="X6" s="1500"/>
      <c r="Y6" s="3540" t="s">
        <v>520</v>
      </c>
      <c r="Z6" s="3541"/>
      <c r="AA6" s="3529" t="s">
        <v>516</v>
      </c>
      <c r="AB6" s="3530" t="s">
        <v>517</v>
      </c>
      <c r="AC6" s="3529" t="s">
        <v>518</v>
      </c>
    </row>
    <row r="7" spans="1:30" ht="54.75" customHeight="1">
      <c r="A7" s="508"/>
      <c r="B7" s="509"/>
      <c r="C7" s="3548" t="s">
        <v>2896</v>
      </c>
      <c r="D7" s="3549"/>
      <c r="E7" s="3548" t="str">
        <f>土地案例!A2</f>
        <v>北京市石景山区中关村科技园石景山园北Ⅱ区西井地块土地一级开发项目1606-034地块B1商业用地</v>
      </c>
      <c r="F7" s="3549"/>
      <c r="G7" s="3548" t="str">
        <f>土地案例!A3</f>
        <v>北京市石景山区古城南街东侧(首钢园区东南区)1612-769、775等地块B4综合性商业金融服务业用地</v>
      </c>
      <c r="H7" s="3549"/>
      <c r="I7" s="3548" t="str">
        <f>土地案例!A4</f>
        <v>北京市石景山区古城南街东侧(首钢园区东南区)1612-778、779、783、784、786等地块B4综合性商业金融服务业用地、F3其他类多功能用地</v>
      </c>
      <c r="J7" s="3549"/>
      <c r="K7" s="507"/>
      <c r="L7" s="2014"/>
      <c r="M7" s="2013"/>
      <c r="N7" s="2013"/>
      <c r="O7" s="2015"/>
      <c r="P7" s="3536"/>
      <c r="Q7" s="3537"/>
      <c r="R7" s="3542"/>
      <c r="S7" s="3543"/>
      <c r="T7" s="3542"/>
      <c r="U7" s="3543"/>
      <c r="V7" s="3527"/>
      <c r="W7" s="3527"/>
      <c r="X7" s="1500"/>
      <c r="Y7" s="3542"/>
      <c r="Z7" s="3543"/>
      <c r="AA7" s="3530"/>
      <c r="AB7" s="3530"/>
      <c r="AC7" s="3530"/>
    </row>
    <row r="8" spans="1:30" ht="21" thickBot="1">
      <c r="A8" s="508"/>
      <c r="B8" s="509"/>
      <c r="C8" s="3550" t="s">
        <v>2900</v>
      </c>
      <c r="D8" s="3551"/>
      <c r="E8" s="3550" t="s">
        <v>2900</v>
      </c>
      <c r="F8" s="3551"/>
      <c r="G8" s="3546" t="s">
        <v>2900</v>
      </c>
      <c r="H8" s="3547"/>
      <c r="I8" s="3546" t="s">
        <v>2900</v>
      </c>
      <c r="J8" s="3547"/>
      <c r="K8" s="507" t="s">
        <v>521</v>
      </c>
      <c r="L8" s="2014"/>
      <c r="M8" s="2013"/>
      <c r="N8" s="2013"/>
      <c r="O8" s="2015"/>
      <c r="P8" s="3538"/>
      <c r="Q8" s="3539"/>
      <c r="R8" s="3542"/>
      <c r="S8" s="3543"/>
      <c r="T8" s="3544"/>
      <c r="U8" s="3545"/>
      <c r="V8" s="3527"/>
      <c r="W8" s="3527"/>
      <c r="X8" s="1500"/>
      <c r="Y8" s="3544"/>
      <c r="Z8" s="3545"/>
      <c r="AA8" s="3531"/>
      <c r="AB8" s="3531"/>
      <c r="AC8" s="3531"/>
    </row>
    <row r="9" spans="1:30" s="1202" customFormat="1" ht="21" thickBot="1">
      <c r="A9" s="2627"/>
      <c r="B9" s="2634" t="s">
        <v>522</v>
      </c>
      <c r="C9" s="2626">
        <f>'数据-取费表'!B2</f>
        <v>44202</v>
      </c>
      <c r="D9" s="513">
        <v>100</v>
      </c>
      <c r="E9" s="514" t="str">
        <f>土地案例!H2</f>
        <v>2020-12-14</v>
      </c>
      <c r="F9" s="515">
        <f>SUMIF(72:72,YEAR(E9)&amp;"-"&amp;INT((MONTH(E9)+2)/3),73:73)</f>
        <v>100</v>
      </c>
      <c r="G9" s="516" t="str">
        <f>土地案例!H3</f>
        <v>2019-12-12</v>
      </c>
      <c r="H9" s="513">
        <f>SUMIF(72:72,YEAR(G9)&amp;"-"&amp;INT((MONTH(G9)+2)/3),73:73)</f>
        <v>99</v>
      </c>
      <c r="I9" s="516" t="str">
        <f>土地案例!H4</f>
        <v>2019-12-12</v>
      </c>
      <c r="J9" s="513">
        <f>SUMIF(72:72,YEAR(I9)&amp;"-"&amp;INT((MONTH(I9)+2)/3),73:73)</f>
        <v>99</v>
      </c>
      <c r="K9" s="517"/>
      <c r="L9" s="2016"/>
      <c r="M9" s="2013"/>
      <c r="N9" s="2013"/>
      <c r="O9" s="2017"/>
      <c r="P9" s="3557" t="s">
        <v>523</v>
      </c>
      <c r="Q9" s="3559"/>
      <c r="R9" s="1501" t="s">
        <v>8</v>
      </c>
      <c r="S9" s="1502">
        <f t="shared" ref="S9:S17" si="0">F9</f>
        <v>100</v>
      </c>
      <c r="T9" s="1501" t="s">
        <v>8</v>
      </c>
      <c r="U9" s="1502">
        <f t="shared" ref="U9:U17" si="1">H9</f>
        <v>99</v>
      </c>
      <c r="V9" s="1501" t="s">
        <v>8</v>
      </c>
      <c r="W9" s="1502">
        <f t="shared" ref="W9:W17" si="2">J9</f>
        <v>99</v>
      </c>
      <c r="X9" s="1503"/>
      <c r="Y9" s="3557" t="s">
        <v>523</v>
      </c>
      <c r="Z9" s="3558"/>
      <c r="AA9" s="1504">
        <f>D9/F9</f>
        <v>1</v>
      </c>
      <c r="AB9" s="1504">
        <f>D9/H9</f>
        <v>1.0101010101010102</v>
      </c>
      <c r="AC9" s="1504">
        <f>D9/J9</f>
        <v>1.0101010101010102</v>
      </c>
    </row>
    <row r="10" spans="1:30" s="1202" customFormat="1" ht="21" thickBot="1">
      <c r="A10" s="2628"/>
      <c r="B10" s="2635" t="s">
        <v>524</v>
      </c>
      <c r="C10" s="844" t="s">
        <v>525</v>
      </c>
      <c r="D10" s="513">
        <v>100</v>
      </c>
      <c r="E10" s="518" t="s">
        <v>3207</v>
      </c>
      <c r="F10" s="515">
        <f>SUMIF(75:75,E10,76:76)-SUMIF(75:75,C10,76:76)+100</f>
        <v>100</v>
      </c>
      <c r="G10" s="518" t="s">
        <v>3207</v>
      </c>
      <c r="H10" s="513">
        <f>SUMIF(75:75,G10,76:76)-SUMIF(75:75,C10,76:76)+100</f>
        <v>100</v>
      </c>
      <c r="I10" s="518" t="s">
        <v>3207</v>
      </c>
      <c r="J10" s="513">
        <f>SUMIF(75:75,I10,76:76)-SUMIF(75:75,C10,76:76)+100</f>
        <v>100</v>
      </c>
      <c r="K10" s="517"/>
      <c r="L10" s="2016"/>
      <c r="M10" s="2013"/>
      <c r="N10" s="2013"/>
      <c r="O10" s="2017"/>
      <c r="P10" s="3557" t="s">
        <v>526</v>
      </c>
      <c r="Q10" s="3558"/>
      <c r="R10" s="1501" t="s">
        <v>8</v>
      </c>
      <c r="S10" s="1502">
        <f t="shared" si="0"/>
        <v>100</v>
      </c>
      <c r="T10" s="1501" t="s">
        <v>8</v>
      </c>
      <c r="U10" s="1502">
        <f t="shared" si="1"/>
        <v>100</v>
      </c>
      <c r="V10" s="1501" t="s">
        <v>8</v>
      </c>
      <c r="W10" s="1502">
        <f t="shared" si="2"/>
        <v>100</v>
      </c>
      <c r="X10" s="1503"/>
      <c r="Y10" s="3557" t="s">
        <v>526</v>
      </c>
      <c r="Z10" s="3558"/>
      <c r="AA10" s="1504">
        <f t="shared" ref="AA10:AA47" si="3">D10/F10</f>
        <v>1</v>
      </c>
      <c r="AB10" s="1504">
        <f t="shared" ref="AB10:AB47" si="4">D10/H10</f>
        <v>1</v>
      </c>
      <c r="AC10" s="1504">
        <f t="shared" ref="AC10:AC47" si="5">D10/J10</f>
        <v>1</v>
      </c>
    </row>
    <row r="11" spans="1:30" s="1202" customFormat="1" ht="28.5">
      <c r="A11" s="2629"/>
      <c r="B11" s="2636" t="s">
        <v>2735</v>
      </c>
      <c r="C11" s="3323" t="s">
        <v>3209</v>
      </c>
      <c r="D11" s="251">
        <v>100</v>
      </c>
      <c r="E11" s="519" t="s">
        <v>3036</v>
      </c>
      <c r="F11" s="251">
        <f>SUMIF(77:77,E11,78:78)-SUMIF(77:77,C11,78:78)+100</f>
        <v>110</v>
      </c>
      <c r="G11" s="519" t="s">
        <v>3214</v>
      </c>
      <c r="H11" s="251">
        <f>SUMIF(77:77,G11,78:78)-SUMIF(77:77,C11,78:78)+100</f>
        <v>110</v>
      </c>
      <c r="I11" s="519" t="s">
        <v>3215</v>
      </c>
      <c r="J11" s="251">
        <f>SUMIF(77:77,I11,78:78)-SUMIF(77:77,C11,78:78)+100</f>
        <v>110</v>
      </c>
      <c r="K11" s="517"/>
      <c r="L11" s="2016"/>
      <c r="M11" s="2013"/>
      <c r="N11" s="2013"/>
      <c r="O11" s="2018"/>
      <c r="P11" s="3526" t="s">
        <v>528</v>
      </c>
      <c r="Q11" s="1133" t="str">
        <f t="shared" ref="Q11:Q17" si="6">B11</f>
        <v>用途</v>
      </c>
      <c r="R11" s="1501" t="s">
        <v>8</v>
      </c>
      <c r="S11" s="1502">
        <f t="shared" si="0"/>
        <v>110</v>
      </c>
      <c r="T11" s="1501" t="s">
        <v>8</v>
      </c>
      <c r="U11" s="1502">
        <f t="shared" si="1"/>
        <v>110</v>
      </c>
      <c r="V11" s="1501" t="s">
        <v>8</v>
      </c>
      <c r="W11" s="1502">
        <f t="shared" si="2"/>
        <v>110</v>
      </c>
      <c r="X11" s="1503"/>
      <c r="Y11" s="3472" t="s">
        <v>529</v>
      </c>
      <c r="Z11" s="1132" t="str">
        <f t="shared" ref="Z11:Z17" si="7">Q11</f>
        <v>用途</v>
      </c>
      <c r="AA11" s="1504">
        <f t="shared" si="3"/>
        <v>0.90909090909090906</v>
      </c>
      <c r="AB11" s="1504">
        <f t="shared" si="4"/>
        <v>0.90909090909090906</v>
      </c>
      <c r="AC11" s="1504">
        <f t="shared" si="5"/>
        <v>0.90909090909090906</v>
      </c>
    </row>
    <row r="12" spans="1:30" s="1291" customFormat="1" ht="27">
      <c r="A12" s="2630"/>
      <c r="B12" s="2635" t="s">
        <v>2736</v>
      </c>
      <c r="C12" s="898"/>
      <c r="D12" s="252">
        <v>100</v>
      </c>
      <c r="E12" s="522"/>
      <c r="F12" s="252">
        <f>ROUND(100/'数据-取费表'!G16,0)</f>
        <v>111</v>
      </c>
      <c r="G12" s="523"/>
      <c r="H12" s="252">
        <f>ROUND(100/'数据-取费表'!G16,0)</f>
        <v>111</v>
      </c>
      <c r="I12" s="523"/>
      <c r="J12" s="252">
        <f>ROUND(100/'数据-取费表'!G16,0)</f>
        <v>111</v>
      </c>
      <c r="K12" s="524"/>
      <c r="L12" s="2019"/>
      <c r="M12" s="2013"/>
      <c r="N12" s="2013"/>
      <c r="O12" s="2020"/>
      <c r="P12" s="3526"/>
      <c r="Q12" s="1133" t="str">
        <f t="shared" si="6"/>
        <v>土地使用年限（年）</v>
      </c>
      <c r="R12" s="1501" t="s">
        <v>8</v>
      </c>
      <c r="S12" s="1502">
        <f t="shared" si="0"/>
        <v>111</v>
      </c>
      <c r="T12" s="1501" t="s">
        <v>8</v>
      </c>
      <c r="U12" s="1502">
        <f t="shared" si="1"/>
        <v>111</v>
      </c>
      <c r="V12" s="1501" t="s">
        <v>8</v>
      </c>
      <c r="W12" s="1502">
        <f t="shared" si="2"/>
        <v>111</v>
      </c>
      <c r="X12" s="1503"/>
      <c r="Y12" s="3472"/>
      <c r="Z12" s="1132" t="str">
        <f t="shared" si="7"/>
        <v>土地使用年限（年）</v>
      </c>
      <c r="AA12" s="1504">
        <f t="shared" si="3"/>
        <v>0.90090090090090091</v>
      </c>
      <c r="AB12" s="1504">
        <f t="shared" si="4"/>
        <v>0.90090090090090091</v>
      </c>
      <c r="AC12" s="1504">
        <f t="shared" si="5"/>
        <v>0.90090090090090091</v>
      </c>
    </row>
    <row r="13" spans="1:30" ht="20.25">
      <c r="A13" s="2631"/>
      <c r="B13" s="2635" t="s">
        <v>2737</v>
      </c>
      <c r="C13" s="527">
        <f>'数据-汇总表'!I6</f>
        <v>1.62</v>
      </c>
      <c r="D13" s="252">
        <v>100</v>
      </c>
      <c r="E13" s="526">
        <v>4</v>
      </c>
      <c r="F13" s="252">
        <f>LOOKUP(E13,82:82,83:83)-LOOKUP(C13,82:82,83:83)+100</f>
        <v>85</v>
      </c>
      <c r="G13" s="527">
        <v>4.5999999999999996</v>
      </c>
      <c r="H13" s="252">
        <f>LOOKUP(G13,82:82,83:83)-LOOKUP(C13,82:82,83:83)+100</f>
        <v>85</v>
      </c>
      <c r="I13" s="526">
        <v>2.8</v>
      </c>
      <c r="J13" s="252">
        <f>LOOKUP(I13,82:82,83:83)-LOOKUP(C13,82:82,83:83)+100</f>
        <v>95</v>
      </c>
      <c r="K13" s="528">
        <v>5</v>
      </c>
      <c r="L13" s="2021"/>
      <c r="M13" s="2013"/>
      <c r="N13" s="2013"/>
      <c r="O13" s="2022"/>
      <c r="P13" s="3526"/>
      <c r="Q13" s="1133" t="str">
        <f t="shared" si="6"/>
        <v>容积率</v>
      </c>
      <c r="R13" s="1501" t="s">
        <v>8</v>
      </c>
      <c r="S13" s="1502">
        <f t="shared" si="0"/>
        <v>85</v>
      </c>
      <c r="T13" s="1501" t="s">
        <v>8</v>
      </c>
      <c r="U13" s="1502">
        <f t="shared" si="1"/>
        <v>85</v>
      </c>
      <c r="V13" s="1501" t="s">
        <v>8</v>
      </c>
      <c r="W13" s="1502">
        <f t="shared" si="2"/>
        <v>95</v>
      </c>
      <c r="X13" s="1503"/>
      <c r="Y13" s="3472"/>
      <c r="Z13" s="1132" t="str">
        <f t="shared" si="7"/>
        <v>容积率</v>
      </c>
      <c r="AA13" s="1504">
        <f t="shared" si="3"/>
        <v>1.1764705882352942</v>
      </c>
      <c r="AB13" s="1504">
        <f t="shared" si="4"/>
        <v>1.1764705882352942</v>
      </c>
      <c r="AC13" s="1504">
        <f t="shared" si="5"/>
        <v>1.0526315789473684</v>
      </c>
    </row>
    <row r="14" spans="1:30" s="1202" customFormat="1" ht="20.25">
      <c r="A14" s="2628"/>
      <c r="B14" s="2637" t="s">
        <v>2738</v>
      </c>
      <c r="C14" s="2624"/>
      <c r="D14" s="531">
        <v>100</v>
      </c>
      <c r="E14" s="1325"/>
      <c r="F14" s="252">
        <f>SUMIF(84:84,E14,85:85)-SUMIF(84:84,C14,85:85)+100</f>
        <v>100</v>
      </c>
      <c r="G14" s="523"/>
      <c r="H14" s="252">
        <f>SUMIF(84:84,G14,85:85)-SUMIF(84:84,C14,85:85)+100</f>
        <v>100</v>
      </c>
      <c r="I14" s="522"/>
      <c r="J14" s="252">
        <f>SUMIF(84:84,I14,85:85)-SUMIF(84:84,C14,85:85)+100</f>
        <v>100</v>
      </c>
      <c r="K14" s="524"/>
      <c r="L14" s="2016"/>
      <c r="M14" s="2013"/>
      <c r="N14" s="2013"/>
      <c r="O14" s="2018"/>
      <c r="P14" s="3526"/>
      <c r="Q14" s="1133" t="str">
        <f t="shared" si="6"/>
        <v>配建</v>
      </c>
      <c r="R14" s="1501" t="s">
        <v>8</v>
      </c>
      <c r="S14" s="1502">
        <f t="shared" si="0"/>
        <v>100</v>
      </c>
      <c r="T14" s="1501" t="s">
        <v>8</v>
      </c>
      <c r="U14" s="1502">
        <f t="shared" si="1"/>
        <v>100</v>
      </c>
      <c r="V14" s="1501" t="s">
        <v>8</v>
      </c>
      <c r="W14" s="1502">
        <f t="shared" si="2"/>
        <v>100</v>
      </c>
      <c r="X14" s="1503"/>
      <c r="Y14" s="3472"/>
      <c r="Z14" s="1132" t="str">
        <f t="shared" si="7"/>
        <v>配建</v>
      </c>
      <c r="AA14" s="1504">
        <f>D14/F14</f>
        <v>1</v>
      </c>
      <c r="AB14" s="1504">
        <f>D14/H14</f>
        <v>1</v>
      </c>
      <c r="AC14" s="1504">
        <f>D14/J14</f>
        <v>1</v>
      </c>
    </row>
    <row r="15" spans="1:30" ht="20.25">
      <c r="A15" s="2632"/>
      <c r="B15" s="3335" t="s">
        <v>3249</v>
      </c>
      <c r="C15" s="3336" t="s">
        <v>3253</v>
      </c>
      <c r="D15" s="533">
        <v>100</v>
      </c>
      <c r="E15" s="3337" t="s">
        <v>3254</v>
      </c>
      <c r="F15" s="252">
        <f>SUMIF(86:86,E15,87:87)-SUMIF(86:86,C15,87:87)+100</f>
        <v>105</v>
      </c>
      <c r="G15" s="3338" t="s">
        <v>3254</v>
      </c>
      <c r="H15" s="533">
        <f>SUMIF(86:86,G15,87:87)-SUMIF(86:86,C15,87:87)+100</f>
        <v>105</v>
      </c>
      <c r="I15" s="3338" t="s">
        <v>3254</v>
      </c>
      <c r="J15" s="533">
        <f>SUMIF(86:86,I15,87:87)-SUMIF(86:86,C15,87:87)+100</f>
        <v>105</v>
      </c>
      <c r="K15" s="524"/>
      <c r="L15" s="2023"/>
      <c r="M15" s="2013"/>
      <c r="N15" s="2013"/>
      <c r="O15" s="2022"/>
      <c r="P15" s="3526"/>
      <c r="Q15" s="1133" t="str">
        <f t="shared" si="6"/>
        <v>自持</v>
      </c>
      <c r="R15" s="1501" t="s">
        <v>8</v>
      </c>
      <c r="S15" s="1502">
        <f t="shared" si="0"/>
        <v>105</v>
      </c>
      <c r="T15" s="1501" t="s">
        <v>8</v>
      </c>
      <c r="U15" s="1502">
        <f t="shared" si="1"/>
        <v>105</v>
      </c>
      <c r="V15" s="1501" t="s">
        <v>8</v>
      </c>
      <c r="W15" s="1502">
        <f t="shared" si="2"/>
        <v>105</v>
      </c>
      <c r="X15" s="1503"/>
      <c r="Y15" s="3472"/>
      <c r="Z15" s="1132" t="str">
        <f t="shared" si="7"/>
        <v>自持</v>
      </c>
      <c r="AA15" s="1504">
        <f>D15/F15</f>
        <v>0.95238095238095233</v>
      </c>
      <c r="AB15" s="1504">
        <f>D15/H15</f>
        <v>0.95238095238095233</v>
      </c>
      <c r="AC15" s="1504">
        <f>D15/J15</f>
        <v>0.95238095238095233</v>
      </c>
    </row>
    <row r="16" spans="1:30" ht="2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526"/>
      <c r="Q16" s="1133">
        <f t="shared" si="6"/>
        <v>111</v>
      </c>
      <c r="R16" s="1501" t="s">
        <v>8</v>
      </c>
      <c r="S16" s="1502">
        <f t="shared" si="0"/>
        <v>100</v>
      </c>
      <c r="T16" s="1501" t="s">
        <v>8</v>
      </c>
      <c r="U16" s="1502">
        <f t="shared" si="1"/>
        <v>100</v>
      </c>
      <c r="V16" s="1501" t="s">
        <v>8</v>
      </c>
      <c r="W16" s="1502">
        <f t="shared" si="2"/>
        <v>100</v>
      </c>
      <c r="X16" s="1503"/>
      <c r="Y16" s="3472"/>
      <c r="Z16" s="1132">
        <f t="shared" si="7"/>
        <v>111</v>
      </c>
      <c r="AA16" s="1504">
        <f>D16/F16</f>
        <v>1</v>
      </c>
      <c r="AB16" s="1504">
        <f>D16/H16</f>
        <v>1</v>
      </c>
      <c r="AC16" s="1504">
        <f>D16/J16</f>
        <v>1</v>
      </c>
    </row>
    <row r="17" spans="1:29" ht="99.75" hidden="1">
      <c r="A17" s="2625" t="s">
        <v>2733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3"/>
      <c r="M17" s="2013"/>
      <c r="N17" s="2013"/>
      <c r="O17" s="2022"/>
      <c r="P17" s="3560" t="s">
        <v>533</v>
      </c>
      <c r="Q17" s="1505" t="str">
        <f t="shared" si="6"/>
        <v>居住社区成熟度</v>
      </c>
      <c r="R17" s="1506" t="s">
        <v>8</v>
      </c>
      <c r="S17" s="1507">
        <f t="shared" si="0"/>
        <v>100</v>
      </c>
      <c r="T17" s="1506" t="s">
        <v>8</v>
      </c>
      <c r="U17" s="1507">
        <f t="shared" si="1"/>
        <v>100</v>
      </c>
      <c r="V17" s="1506" t="s">
        <v>8</v>
      </c>
      <c r="W17" s="1507">
        <f t="shared" si="2"/>
        <v>100</v>
      </c>
      <c r="X17" s="1500"/>
      <c r="Y17" s="3560" t="s">
        <v>533</v>
      </c>
      <c r="Z17" s="1508" t="str">
        <f t="shared" si="7"/>
        <v>居住社区成熟度</v>
      </c>
      <c r="AA17" s="1509">
        <f t="shared" si="3"/>
        <v>1</v>
      </c>
      <c r="AB17" s="1509">
        <f t="shared" si="4"/>
        <v>1</v>
      </c>
      <c r="AC17" s="1509">
        <f t="shared" si="5"/>
        <v>1</v>
      </c>
    </row>
    <row r="18" spans="1:29" ht="20.25" hidden="1">
      <c r="A18" s="525"/>
      <c r="B18" s="546"/>
      <c r="C18" s="547"/>
      <c r="D18" s="550"/>
      <c r="E18" s="551"/>
      <c r="F18" s="548"/>
      <c r="G18" s="549"/>
      <c r="H18" s="552"/>
      <c r="I18" s="551"/>
      <c r="J18" s="548"/>
      <c r="K18" s="524"/>
      <c r="L18" s="2023"/>
      <c r="M18" s="2013"/>
      <c r="N18" s="2013"/>
      <c r="O18" s="2022"/>
      <c r="P18" s="3561"/>
      <c r="Q18" s="1505"/>
      <c r="R18" s="1506"/>
      <c r="S18" s="1507"/>
      <c r="T18" s="1506"/>
      <c r="U18" s="1507"/>
      <c r="V18" s="1506"/>
      <c r="W18" s="1507"/>
      <c r="X18" s="1500"/>
      <c r="Y18" s="3561"/>
      <c r="Z18" s="1508"/>
      <c r="AA18" s="1509">
        <v>1</v>
      </c>
      <c r="AB18" s="1509">
        <v>1</v>
      </c>
      <c r="AC18" s="1509">
        <v>1</v>
      </c>
    </row>
    <row r="19" spans="1:29" ht="71.25" hidden="1">
      <c r="A19" s="525"/>
      <c r="B19" s="553" t="s">
        <v>534</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561"/>
      <c r="Q19" s="1505" t="str">
        <f>B19</f>
        <v>商业繁华度</v>
      </c>
      <c r="R19" s="1506" t="s">
        <v>8</v>
      </c>
      <c r="S19" s="1507">
        <f>F19</f>
        <v>100</v>
      </c>
      <c r="T19" s="1506" t="s">
        <v>8</v>
      </c>
      <c r="U19" s="1507">
        <f>H19</f>
        <v>100</v>
      </c>
      <c r="V19" s="1506" t="s">
        <v>8</v>
      </c>
      <c r="W19" s="1507">
        <f>J19</f>
        <v>100</v>
      </c>
      <c r="X19" s="1500"/>
      <c r="Y19" s="3561"/>
      <c r="Z19" s="1508" t="str">
        <f>Q19</f>
        <v>商业繁华度</v>
      </c>
      <c r="AA19" s="1509">
        <f t="shared" si="3"/>
        <v>1</v>
      </c>
      <c r="AB19" s="1509">
        <f t="shared" si="4"/>
        <v>1</v>
      </c>
      <c r="AC19" s="1509">
        <f t="shared" si="5"/>
        <v>1</v>
      </c>
    </row>
    <row r="20" spans="1:29" ht="20.25" hidden="1">
      <c r="A20" s="525"/>
      <c r="B20" s="559"/>
      <c r="C20" s="560"/>
      <c r="D20" s="556"/>
      <c r="E20" s="562"/>
      <c r="F20" s="552"/>
      <c r="G20" s="561"/>
      <c r="H20" s="548"/>
      <c r="I20" s="562"/>
      <c r="J20" s="548"/>
      <c r="K20" s="524"/>
      <c r="L20" s="2023"/>
      <c r="M20" s="2013"/>
      <c r="N20" s="2013"/>
      <c r="O20" s="2022"/>
      <c r="P20" s="3561"/>
      <c r="Q20" s="1505"/>
      <c r="R20" s="1506"/>
      <c r="S20" s="1507"/>
      <c r="T20" s="1506"/>
      <c r="U20" s="1507"/>
      <c r="V20" s="1506"/>
      <c r="W20" s="1507"/>
      <c r="X20" s="1500"/>
      <c r="Y20" s="3561"/>
      <c r="Z20" s="1508"/>
      <c r="AA20" s="1509">
        <v>1</v>
      </c>
      <c r="AB20" s="1509">
        <v>1</v>
      </c>
      <c r="AC20" s="1509">
        <v>1</v>
      </c>
    </row>
    <row r="21" spans="1:29" ht="71.25">
      <c r="A21" s="525"/>
      <c r="B21" s="553" t="s">
        <v>535</v>
      </c>
      <c r="C21" s="554" t="str">
        <f>估价对象房地状况!C17</f>
        <v>估价对象位于XX商圈，周边办公楼项目较多，入驻率高，办公集聚程度较好</v>
      </c>
      <c r="D21" s="564">
        <v>100</v>
      </c>
      <c r="E21" s="565"/>
      <c r="F21" s="558">
        <f>SUMIF(94:94,E22,95:95)-SUMIF(94:94,C22,95:95)+100</f>
        <v>104</v>
      </c>
      <c r="G21" s="563"/>
      <c r="H21" s="552">
        <f>SUMIF(94:94,G22,95:95)-SUMIF(94:94,C22,95:95)+100</f>
        <v>104</v>
      </c>
      <c r="I21" s="565"/>
      <c r="J21" s="552">
        <f>SUMIF(94:94,I22,95:95)-SUMIF(94:94,C22,95:95)+100</f>
        <v>104</v>
      </c>
      <c r="K21" s="528">
        <v>2</v>
      </c>
      <c r="L21" s="2023"/>
      <c r="M21" s="2013"/>
      <c r="N21" s="2013"/>
      <c r="O21" s="2022"/>
      <c r="P21" s="3561"/>
      <c r="Q21" s="1505" t="str">
        <f>B21</f>
        <v>办公集聚程度</v>
      </c>
      <c r="R21" s="1506" t="s">
        <v>8</v>
      </c>
      <c r="S21" s="1507">
        <f>F21</f>
        <v>104</v>
      </c>
      <c r="T21" s="1506" t="s">
        <v>8</v>
      </c>
      <c r="U21" s="1507">
        <f>H21</f>
        <v>104</v>
      </c>
      <c r="V21" s="1506" t="s">
        <v>8</v>
      </c>
      <c r="W21" s="1507">
        <f>J21</f>
        <v>104</v>
      </c>
      <c r="X21" s="1500"/>
      <c r="Y21" s="3561"/>
      <c r="Z21" s="1508" t="str">
        <f>Q21</f>
        <v>办公集聚程度</v>
      </c>
      <c r="AA21" s="1509">
        <f t="shared" si="3"/>
        <v>0.96153846153846156</v>
      </c>
      <c r="AB21" s="1509">
        <f t="shared" si="4"/>
        <v>0.96153846153846156</v>
      </c>
      <c r="AC21" s="1509">
        <f t="shared" si="5"/>
        <v>0.96153846153846156</v>
      </c>
    </row>
    <row r="22" spans="1:29" ht="20.25">
      <c r="A22" s="525"/>
      <c r="B22" s="559"/>
      <c r="C22" s="547" t="s">
        <v>3246</v>
      </c>
      <c r="D22" s="550"/>
      <c r="E22" s="551" t="s">
        <v>3217</v>
      </c>
      <c r="F22" s="548"/>
      <c r="G22" s="551" t="s">
        <v>3217</v>
      </c>
      <c r="H22" s="548"/>
      <c r="I22" s="551" t="s">
        <v>3217</v>
      </c>
      <c r="J22" s="548"/>
      <c r="K22" s="524"/>
      <c r="L22" s="2023"/>
      <c r="M22" s="2013"/>
      <c r="N22" s="2013"/>
      <c r="O22" s="2022"/>
      <c r="P22" s="3561"/>
      <c r="Q22" s="1505"/>
      <c r="R22" s="1506"/>
      <c r="S22" s="1507"/>
      <c r="T22" s="1506"/>
      <c r="U22" s="1507"/>
      <c r="V22" s="1506"/>
      <c r="W22" s="1507"/>
      <c r="X22" s="1500"/>
      <c r="Y22" s="3561"/>
      <c r="Z22" s="1508"/>
      <c r="AA22" s="1509">
        <v>1</v>
      </c>
      <c r="AB22" s="1509">
        <v>1</v>
      </c>
      <c r="AC22" s="1509">
        <v>1</v>
      </c>
    </row>
    <row r="23" spans="1:29" ht="85.5">
      <c r="A23" s="525"/>
      <c r="B23" s="553" t="s">
        <v>536</v>
      </c>
      <c r="C23" s="566" t="str">
        <f>估价对象房地状况!C18</f>
        <v>估价对象周边道路状况、公共交通通达情况、停车便捷程度，综合评价交通便捷度较好</v>
      </c>
      <c r="D23" s="556">
        <v>100</v>
      </c>
      <c r="E23" s="557"/>
      <c r="F23" s="558">
        <f>SUMIF(96:96,E24,97:97)-SUMIF(96:96,C24,97:97)+100</f>
        <v>104</v>
      </c>
      <c r="G23" s="555"/>
      <c r="H23" s="552">
        <f>SUMIF(96:96,G24,97:97)-SUMIF(96:96,C24,97:97)+100</f>
        <v>104</v>
      </c>
      <c r="I23" s="557"/>
      <c r="J23" s="552">
        <f>SUMIF(96:96,I24,97:97)-SUMIF(96:96,C24,97:97)+100</f>
        <v>104</v>
      </c>
      <c r="K23" s="528">
        <v>2</v>
      </c>
      <c r="L23" s="2023"/>
      <c r="M23" s="2013"/>
      <c r="N23" s="2013"/>
      <c r="O23" s="2022"/>
      <c r="P23" s="3561"/>
      <c r="Q23" s="1505" t="str">
        <f>B23</f>
        <v>交通便捷度</v>
      </c>
      <c r="R23" s="1506" t="s">
        <v>8</v>
      </c>
      <c r="S23" s="1507">
        <f>F23</f>
        <v>104</v>
      </c>
      <c r="T23" s="1506" t="s">
        <v>8</v>
      </c>
      <c r="U23" s="1507">
        <f>H23</f>
        <v>104</v>
      </c>
      <c r="V23" s="1506" t="s">
        <v>8</v>
      </c>
      <c r="W23" s="1507">
        <f>J23</f>
        <v>104</v>
      </c>
      <c r="X23" s="1500"/>
      <c r="Y23" s="3561"/>
      <c r="Z23" s="1508" t="str">
        <f>Q23</f>
        <v>交通便捷度</v>
      </c>
      <c r="AA23" s="1509">
        <f t="shared" si="3"/>
        <v>0.96153846153846156</v>
      </c>
      <c r="AB23" s="1509">
        <f t="shared" si="4"/>
        <v>0.96153846153846156</v>
      </c>
      <c r="AC23" s="1509">
        <f t="shared" si="5"/>
        <v>0.96153846153846156</v>
      </c>
    </row>
    <row r="24" spans="1:29" ht="20.25">
      <c r="A24" s="525"/>
      <c r="B24" s="571"/>
      <c r="C24" s="547" t="s">
        <v>3246</v>
      </c>
      <c r="D24" s="550"/>
      <c r="E24" s="551" t="s">
        <v>3217</v>
      </c>
      <c r="F24" s="548"/>
      <c r="G24" s="551" t="s">
        <v>3217</v>
      </c>
      <c r="H24" s="548"/>
      <c r="I24" s="551" t="s">
        <v>3217</v>
      </c>
      <c r="J24" s="548"/>
      <c r="K24" s="524"/>
      <c r="L24" s="2023"/>
      <c r="M24" s="2013"/>
      <c r="N24" s="2013"/>
      <c r="O24" s="2022"/>
      <c r="P24" s="3561"/>
      <c r="Q24" s="1505"/>
      <c r="R24" s="1506"/>
      <c r="S24" s="1507"/>
      <c r="T24" s="1506"/>
      <c r="U24" s="1507"/>
      <c r="V24" s="1506"/>
      <c r="W24" s="1507"/>
      <c r="X24" s="1500"/>
      <c r="Y24" s="3561"/>
      <c r="Z24" s="1508"/>
      <c r="AA24" s="1509">
        <v>1</v>
      </c>
      <c r="AB24" s="1509">
        <v>1</v>
      </c>
      <c r="AC24" s="1509">
        <v>1</v>
      </c>
    </row>
    <row r="25" spans="1:29" ht="27">
      <c r="A25" s="508"/>
      <c r="B25" s="256" t="s">
        <v>537</v>
      </c>
      <c r="C25" s="566">
        <f>估价对象房地状况!C19</f>
        <v>0</v>
      </c>
      <c r="D25" s="556">
        <v>100</v>
      </c>
      <c r="E25" s="557"/>
      <c r="F25" s="558">
        <f>SUMIF(98:98,E26,99:99)-SUMIF(98:98,C26,99:99)+100</f>
        <v>102</v>
      </c>
      <c r="G25" s="555"/>
      <c r="H25" s="552">
        <f>SUMIF(98:98,G26,99:99)-SUMIF(98:98,C26,99:99)+100</f>
        <v>102</v>
      </c>
      <c r="I25" s="557"/>
      <c r="J25" s="552">
        <f>SUMIF(98:98,I26,99:99)-SUMIF(98:98,C26,99:99)+100</f>
        <v>102</v>
      </c>
      <c r="K25" s="528">
        <v>2</v>
      </c>
      <c r="L25" s="2023"/>
      <c r="M25" s="2013"/>
      <c r="N25" s="2013"/>
      <c r="O25" s="2022"/>
      <c r="P25" s="3561"/>
      <c r="Q25" s="1505" t="str">
        <f t="shared" ref="Q25:Q39" si="8">B25</f>
        <v>区域土地利用方向</v>
      </c>
      <c r="R25" s="1506" t="s">
        <v>8</v>
      </c>
      <c r="S25" s="1507">
        <f>F25</f>
        <v>102</v>
      </c>
      <c r="T25" s="1506" t="s">
        <v>8</v>
      </c>
      <c r="U25" s="1507">
        <f>H25</f>
        <v>102</v>
      </c>
      <c r="V25" s="1506" t="s">
        <v>8</v>
      </c>
      <c r="W25" s="1507">
        <f>J25</f>
        <v>102</v>
      </c>
      <c r="X25" s="1500"/>
      <c r="Y25" s="3561"/>
      <c r="Z25" s="1508" t="str">
        <f>Q25</f>
        <v>区域土地利用方向</v>
      </c>
      <c r="AA25" s="1509">
        <f t="shared" si="3"/>
        <v>0.98039215686274506</v>
      </c>
      <c r="AB25" s="1509">
        <f t="shared" si="4"/>
        <v>0.98039215686274506</v>
      </c>
      <c r="AC25" s="1509">
        <f t="shared" si="5"/>
        <v>0.98039215686274506</v>
      </c>
    </row>
    <row r="26" spans="1:29" ht="20.25">
      <c r="A26" s="508"/>
      <c r="B26" s="993"/>
      <c r="C26" s="547" t="s">
        <v>3216</v>
      </c>
      <c r="D26" s="550"/>
      <c r="E26" s="551" t="s">
        <v>3217</v>
      </c>
      <c r="F26" s="548"/>
      <c r="G26" s="549" t="s">
        <v>3217</v>
      </c>
      <c r="H26" s="548"/>
      <c r="I26" s="551" t="s">
        <v>3217</v>
      </c>
      <c r="J26" s="548"/>
      <c r="K26" s="524"/>
      <c r="L26" s="2023"/>
      <c r="M26" s="2013"/>
      <c r="N26" s="2013"/>
      <c r="O26" s="2022"/>
      <c r="P26" s="3561"/>
      <c r="Q26" s="1505"/>
      <c r="R26" s="1506"/>
      <c r="S26" s="1507"/>
      <c r="T26" s="1506"/>
      <c r="U26" s="1507"/>
      <c r="V26" s="1506"/>
      <c r="W26" s="1507"/>
      <c r="X26" s="1500"/>
      <c r="Y26" s="3561"/>
      <c r="Z26" s="1508"/>
      <c r="AA26" s="1509"/>
      <c r="AB26" s="1509"/>
      <c r="AC26" s="1509"/>
    </row>
    <row r="27" spans="1:29" ht="57">
      <c r="A27" s="508"/>
      <c r="B27" s="571" t="s">
        <v>538</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3"/>
      <c r="M27" s="2013"/>
      <c r="N27" s="2013"/>
      <c r="O27" s="2022"/>
      <c r="P27" s="3561"/>
      <c r="Q27" s="1505" t="str">
        <f t="shared" si="8"/>
        <v>自然及人文环境状况</v>
      </c>
      <c r="R27" s="1506" t="s">
        <v>8</v>
      </c>
      <c r="S27" s="1507">
        <f>F27</f>
        <v>100</v>
      </c>
      <c r="T27" s="1506" t="s">
        <v>8</v>
      </c>
      <c r="U27" s="1507">
        <f>H27</f>
        <v>100</v>
      </c>
      <c r="V27" s="1506" t="s">
        <v>8</v>
      </c>
      <c r="W27" s="1507">
        <f>J27</f>
        <v>100</v>
      </c>
      <c r="X27" s="1500"/>
      <c r="Y27" s="3561"/>
      <c r="Z27" s="1508" t="str">
        <f>Q27</f>
        <v>自然及人文环境状况</v>
      </c>
      <c r="AA27" s="1509">
        <f t="shared" si="3"/>
        <v>1</v>
      </c>
      <c r="AB27" s="1509">
        <f t="shared" si="4"/>
        <v>1</v>
      </c>
      <c r="AC27" s="1509">
        <f t="shared" si="5"/>
        <v>1</v>
      </c>
    </row>
    <row r="28" spans="1:29" ht="20.25">
      <c r="A28" s="508"/>
      <c r="B28" s="559"/>
      <c r="C28" s="547" t="s">
        <v>3217</v>
      </c>
      <c r="D28" s="550"/>
      <c r="E28" s="547" t="s">
        <v>3217</v>
      </c>
      <c r="F28" s="548"/>
      <c r="G28" s="547" t="s">
        <v>3217</v>
      </c>
      <c r="H28" s="548"/>
      <c r="I28" s="547" t="s">
        <v>3217</v>
      </c>
      <c r="J28" s="548"/>
      <c r="K28" s="524"/>
      <c r="L28" s="2023"/>
      <c r="M28" s="2013"/>
      <c r="N28" s="2013"/>
      <c r="O28" s="2022"/>
      <c r="P28" s="3561"/>
      <c r="Q28" s="1505"/>
      <c r="R28" s="1506"/>
      <c r="S28" s="1507"/>
      <c r="T28" s="1506"/>
      <c r="U28" s="1507"/>
      <c r="V28" s="1506"/>
      <c r="W28" s="1507"/>
      <c r="X28" s="1500"/>
      <c r="Y28" s="3561"/>
      <c r="Z28" s="1508"/>
      <c r="AA28" s="1509">
        <v>1</v>
      </c>
      <c r="AB28" s="1509">
        <v>1</v>
      </c>
      <c r="AC28" s="1509">
        <v>1</v>
      </c>
    </row>
    <row r="29" spans="1:29" s="1202" customFormat="1" ht="42.75">
      <c r="A29" s="570"/>
      <c r="B29" s="2434" t="s">
        <v>2529</v>
      </c>
      <c r="C29" s="566" t="str">
        <f>估价对象房地状况!C21</f>
        <v>估价对象所在区域公共配套设施齐备情况</v>
      </c>
      <c r="D29" s="556">
        <v>100</v>
      </c>
      <c r="E29" s="557"/>
      <c r="F29" s="552">
        <f>SUMIF(102:102,E30,103:103)-SUMIF(102:102,C30,103:103)+100</f>
        <v>104</v>
      </c>
      <c r="G29" s="555"/>
      <c r="H29" s="552">
        <f>SUMIF(102:102,G30,103:103)-SUMIF(102:102,C30,103:103)+100</f>
        <v>104</v>
      </c>
      <c r="I29" s="557"/>
      <c r="J29" s="552">
        <f>SUMIF(102:102,I30,103:103)-SUMIF(102:102,C30,103:103)+100</f>
        <v>104</v>
      </c>
      <c r="K29" s="528">
        <v>2</v>
      </c>
      <c r="L29" s="2016"/>
      <c r="M29" s="2013"/>
      <c r="N29" s="2013"/>
      <c r="O29" s="2018"/>
      <c r="P29" s="3561"/>
      <c r="Q29" s="1133" t="str">
        <f t="shared" si="8"/>
        <v>公共配套设施</v>
      </c>
      <c r="R29" s="1501" t="s">
        <v>8</v>
      </c>
      <c r="S29" s="1502">
        <f>F29</f>
        <v>104</v>
      </c>
      <c r="T29" s="1501" t="s">
        <v>8</v>
      </c>
      <c r="U29" s="1502">
        <f>H29</f>
        <v>104</v>
      </c>
      <c r="V29" s="1501" t="s">
        <v>8</v>
      </c>
      <c r="W29" s="1502">
        <f>J29</f>
        <v>104</v>
      </c>
      <c r="X29" s="1503"/>
      <c r="Y29" s="3561"/>
      <c r="Z29" s="1132" t="str">
        <f>Q29</f>
        <v>公共配套设施</v>
      </c>
      <c r="AA29" s="1509">
        <f>D29/F29</f>
        <v>0.96153846153846156</v>
      </c>
      <c r="AB29" s="1509">
        <f>D29/H29</f>
        <v>0.96153846153846156</v>
      </c>
      <c r="AC29" s="1509">
        <f>D29/J29</f>
        <v>0.96153846153846156</v>
      </c>
    </row>
    <row r="30" spans="1:29" s="1202" customFormat="1" ht="20.25">
      <c r="A30" s="570"/>
      <c r="B30" s="559"/>
      <c r="C30" s="572" t="s">
        <v>3246</v>
      </c>
      <c r="D30" s="550"/>
      <c r="E30" s="547" t="s">
        <v>3217</v>
      </c>
      <c r="F30" s="548"/>
      <c r="G30" s="547" t="s">
        <v>3217</v>
      </c>
      <c r="H30" s="548"/>
      <c r="I30" s="547" t="s">
        <v>3217</v>
      </c>
      <c r="J30" s="548"/>
      <c r="K30" s="524"/>
      <c r="L30" s="2016"/>
      <c r="M30" s="2013"/>
      <c r="N30" s="2013"/>
      <c r="O30" s="2018"/>
      <c r="P30" s="3561"/>
      <c r="Q30" s="1133"/>
      <c r="R30" s="1501"/>
      <c r="S30" s="1502"/>
      <c r="T30" s="1501"/>
      <c r="U30" s="1502"/>
      <c r="V30" s="1501"/>
      <c r="W30" s="1502"/>
      <c r="X30" s="1503"/>
      <c r="Y30" s="3561"/>
      <c r="Z30" s="1132"/>
      <c r="AA30" s="1509">
        <v>1</v>
      </c>
      <c r="AB30" s="1509">
        <v>1</v>
      </c>
      <c r="AC30" s="1509">
        <v>1</v>
      </c>
    </row>
    <row r="31" spans="1:29" s="1202" customFormat="1" ht="28.5">
      <c r="A31" s="570"/>
      <c r="B31" s="2434"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6"/>
      <c r="M31" s="2013"/>
      <c r="N31" s="2013"/>
      <c r="O31" s="2018"/>
      <c r="P31" s="3561"/>
      <c r="Q31" s="2427" t="str">
        <f t="shared" ref="Q31" si="9">B31</f>
        <v>基础设施水平</v>
      </c>
      <c r="R31" s="1501" t="s">
        <v>8</v>
      </c>
      <c r="S31" s="1502">
        <f>F31</f>
        <v>100</v>
      </c>
      <c r="T31" s="1501" t="s">
        <v>8</v>
      </c>
      <c r="U31" s="1502">
        <f>H31</f>
        <v>100</v>
      </c>
      <c r="V31" s="1501" t="s">
        <v>8</v>
      </c>
      <c r="W31" s="1502">
        <f>J31</f>
        <v>100</v>
      </c>
      <c r="X31" s="1503"/>
      <c r="Y31" s="3561"/>
      <c r="Z31" s="2426" t="str">
        <f>Q31</f>
        <v>基础设施水平</v>
      </c>
      <c r="AA31" s="1509">
        <f>D31/F31</f>
        <v>1</v>
      </c>
      <c r="AB31" s="1509">
        <f>D31/H31</f>
        <v>1</v>
      </c>
      <c r="AC31" s="1509">
        <f>D31/J31</f>
        <v>1</v>
      </c>
    </row>
    <row r="32" spans="1:29" s="1202" customFormat="1" ht="20.25">
      <c r="A32" s="570"/>
      <c r="B32" s="559"/>
      <c r="C32" s="572" t="s">
        <v>3224</v>
      </c>
      <c r="D32" s="550"/>
      <c r="E32" s="2435" t="s">
        <v>3224</v>
      </c>
      <c r="F32" s="548"/>
      <c r="G32" s="572" t="s">
        <v>3224</v>
      </c>
      <c r="H32" s="548"/>
      <c r="I32" s="572" t="s">
        <v>3224</v>
      </c>
      <c r="J32" s="548"/>
      <c r="K32" s="524"/>
      <c r="L32" s="2016"/>
      <c r="M32" s="2013"/>
      <c r="N32" s="2013"/>
      <c r="O32" s="2018"/>
      <c r="P32" s="3561"/>
      <c r="Q32" s="2427"/>
      <c r="R32" s="1501"/>
      <c r="S32" s="1502"/>
      <c r="T32" s="1501"/>
      <c r="U32" s="1502"/>
      <c r="V32" s="1501"/>
      <c r="W32" s="1502"/>
      <c r="X32" s="1503"/>
      <c r="Y32" s="3561"/>
      <c r="Z32" s="2426"/>
      <c r="AA32" s="1509">
        <v>1</v>
      </c>
      <c r="AB32" s="1509">
        <v>1</v>
      </c>
      <c r="AC32" s="1509">
        <v>1</v>
      </c>
    </row>
    <row r="33" spans="1:29" ht="20.25" hidden="1">
      <c r="A33" s="525"/>
      <c r="B33" s="559" t="s">
        <v>540</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6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61"/>
      <c r="Z33" s="1508" t="str">
        <f t="shared" ref="Z33:Z47" si="13">Q33</f>
        <v>临街状况</v>
      </c>
      <c r="AA33" s="1509">
        <f t="shared" si="3"/>
        <v>1</v>
      </c>
      <c r="AB33" s="1509">
        <f t="shared" si="4"/>
        <v>1</v>
      </c>
      <c r="AC33" s="1509">
        <f t="shared" si="5"/>
        <v>1</v>
      </c>
    </row>
    <row r="34" spans="1:29" ht="27">
      <c r="A34" s="525"/>
      <c r="B34" s="571" t="s">
        <v>541</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v>2</v>
      </c>
      <c r="L34" s="2023"/>
      <c r="M34" s="2013"/>
      <c r="N34" s="2013"/>
      <c r="O34" s="2022"/>
      <c r="P34" s="3561"/>
      <c r="Q34" s="1505" t="str">
        <f t="shared" si="8"/>
        <v>毗邻道路的类型与等级</v>
      </c>
      <c r="R34" s="1506" t="s">
        <v>8</v>
      </c>
      <c r="S34" s="1507">
        <f t="shared" si="10"/>
        <v>100</v>
      </c>
      <c r="T34" s="1506" t="s">
        <v>8</v>
      </c>
      <c r="U34" s="1507">
        <f t="shared" si="11"/>
        <v>100</v>
      </c>
      <c r="V34" s="1506" t="s">
        <v>8</v>
      </c>
      <c r="W34" s="1507">
        <f t="shared" si="12"/>
        <v>100</v>
      </c>
      <c r="X34" s="1500"/>
      <c r="Y34" s="3561"/>
      <c r="Z34" s="1508" t="str">
        <f t="shared" si="13"/>
        <v>毗邻道路的类型与等级</v>
      </c>
      <c r="AA34" s="1509">
        <f t="shared" si="3"/>
        <v>1</v>
      </c>
      <c r="AB34" s="1509">
        <f t="shared" si="4"/>
        <v>1</v>
      </c>
      <c r="AC34" s="1509">
        <f t="shared" si="5"/>
        <v>1</v>
      </c>
    </row>
    <row r="35" spans="1:29" ht="20.25">
      <c r="A35" s="525"/>
      <c r="B35" s="559"/>
      <c r="C35" s="547" t="s">
        <v>3229</v>
      </c>
      <c r="D35" s="550"/>
      <c r="E35" s="569" t="s">
        <v>3229</v>
      </c>
      <c r="F35" s="548"/>
      <c r="G35" s="547" t="s">
        <v>3229</v>
      </c>
      <c r="H35" s="548"/>
      <c r="I35" s="569" t="s">
        <v>3229</v>
      </c>
      <c r="J35" s="548"/>
      <c r="K35" s="574"/>
      <c r="L35" s="2023"/>
      <c r="M35" s="2013"/>
      <c r="N35" s="2013"/>
      <c r="O35" s="2022"/>
      <c r="P35" s="3561"/>
      <c r="Q35" s="1505"/>
      <c r="R35" s="1506"/>
      <c r="S35" s="1507"/>
      <c r="T35" s="1506"/>
      <c r="U35" s="1507"/>
      <c r="V35" s="1506"/>
      <c r="W35" s="1507"/>
      <c r="X35" s="1500"/>
      <c r="Y35" s="3561"/>
      <c r="Z35" s="1508"/>
      <c r="AA35" s="1509">
        <v>1</v>
      </c>
      <c r="AB35" s="1509">
        <v>1</v>
      </c>
      <c r="AC35" s="1509">
        <v>1</v>
      </c>
    </row>
    <row r="36" spans="1:29" ht="21" thickBot="1">
      <c r="A36" s="525"/>
      <c r="B36" s="575" t="s">
        <v>542</v>
      </c>
      <c r="C36" s="573" t="s">
        <v>1401</v>
      </c>
      <c r="D36" s="568">
        <v>100</v>
      </c>
      <c r="E36" s="576" t="s">
        <v>1399</v>
      </c>
      <c r="F36" s="533">
        <f>SUMIF(110:110,E36,111:111)-SUMIF(110:110,C36,111:111)+100</f>
        <v>101.5</v>
      </c>
      <c r="G36" s="573" t="s">
        <v>1399</v>
      </c>
      <c r="H36" s="533">
        <f>SUMIF(110:110,G36,111:111)-SUMIF(110:110,C36,111:111)+100</f>
        <v>101.5</v>
      </c>
      <c r="I36" s="576" t="s">
        <v>1399</v>
      </c>
      <c r="J36" s="533">
        <f>SUMIF(110:110,I36,111:111)-SUMIF(110:110,C36,111:111)+100</f>
        <v>101.5</v>
      </c>
      <c r="K36" s="577">
        <v>1.5</v>
      </c>
      <c r="L36" s="2023"/>
      <c r="M36" s="2013"/>
      <c r="N36" s="2013"/>
      <c r="O36" s="2022"/>
      <c r="P36" s="3561"/>
      <c r="Q36" s="1505" t="str">
        <f t="shared" si="8"/>
        <v>土地级别</v>
      </c>
      <c r="R36" s="1506" t="s">
        <v>8</v>
      </c>
      <c r="S36" s="1507">
        <f t="shared" si="10"/>
        <v>101.5</v>
      </c>
      <c r="T36" s="1506" t="s">
        <v>8</v>
      </c>
      <c r="U36" s="1507">
        <f t="shared" si="11"/>
        <v>101.5</v>
      </c>
      <c r="V36" s="1506" t="s">
        <v>8</v>
      </c>
      <c r="W36" s="1507">
        <f t="shared" si="12"/>
        <v>101.5</v>
      </c>
      <c r="X36" s="1500"/>
      <c r="Y36" s="3561"/>
      <c r="Z36" s="1508" t="str">
        <f t="shared" si="13"/>
        <v>土地级别</v>
      </c>
      <c r="AA36" s="1509">
        <f t="shared" si="3"/>
        <v>0.98522167487684731</v>
      </c>
      <c r="AB36" s="1509">
        <f t="shared" si="4"/>
        <v>0.98522167487684731</v>
      </c>
      <c r="AC36" s="1509">
        <f t="shared" si="5"/>
        <v>0.98522167487684731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61"/>
      <c r="Q37" s="1505">
        <f t="shared" si="8"/>
        <v>111</v>
      </c>
      <c r="R37" s="1506" t="s">
        <v>8</v>
      </c>
      <c r="S37" s="1507">
        <f t="shared" si="10"/>
        <v>100</v>
      </c>
      <c r="T37" s="1506" t="s">
        <v>8</v>
      </c>
      <c r="U37" s="1507">
        <f t="shared" si="11"/>
        <v>100</v>
      </c>
      <c r="V37" s="1506" t="s">
        <v>8</v>
      </c>
      <c r="W37" s="1507">
        <f t="shared" si="12"/>
        <v>100</v>
      </c>
      <c r="X37" s="1500"/>
      <c r="Y37" s="3561"/>
      <c r="Z37" s="1508">
        <f t="shared" si="13"/>
        <v>111</v>
      </c>
      <c r="AA37" s="1509">
        <f t="shared" si="3"/>
        <v>1</v>
      </c>
      <c r="AB37" s="1509">
        <f t="shared" si="4"/>
        <v>1</v>
      </c>
      <c r="AC37" s="1509">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62" t="s">
        <v>543</v>
      </c>
      <c r="Q38" s="1505">
        <f t="shared" si="8"/>
        <v>111</v>
      </c>
      <c r="R38" s="1506" t="s">
        <v>8</v>
      </c>
      <c r="S38" s="1507">
        <f t="shared" si="10"/>
        <v>100</v>
      </c>
      <c r="T38" s="1506" t="s">
        <v>8</v>
      </c>
      <c r="U38" s="1507">
        <f t="shared" si="11"/>
        <v>100</v>
      </c>
      <c r="V38" s="1506" t="s">
        <v>8</v>
      </c>
      <c r="W38" s="1507">
        <f t="shared" si="12"/>
        <v>100</v>
      </c>
      <c r="X38" s="1500"/>
      <c r="Y38" s="3563" t="s">
        <v>543</v>
      </c>
      <c r="Z38" s="1508">
        <f t="shared" si="13"/>
        <v>111</v>
      </c>
      <c r="AA38" s="1509">
        <f t="shared" si="3"/>
        <v>1</v>
      </c>
      <c r="AB38" s="1509">
        <f t="shared" si="4"/>
        <v>1</v>
      </c>
      <c r="AC38" s="1509">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63"/>
      <c r="Q39" s="1505">
        <f t="shared" si="8"/>
        <v>111</v>
      </c>
      <c r="R39" s="1510" t="s">
        <v>8</v>
      </c>
      <c r="S39" s="1511">
        <f t="shared" si="10"/>
        <v>100</v>
      </c>
      <c r="T39" s="1510" t="s">
        <v>8</v>
      </c>
      <c r="U39" s="1511">
        <f t="shared" si="11"/>
        <v>100</v>
      </c>
      <c r="V39" s="1510" t="s">
        <v>8</v>
      </c>
      <c r="W39" s="1511">
        <f t="shared" si="12"/>
        <v>100</v>
      </c>
      <c r="X39" s="1512"/>
      <c r="Y39" s="3563"/>
      <c r="Z39" s="1513">
        <f t="shared" si="13"/>
        <v>111</v>
      </c>
      <c r="AA39" s="1509">
        <f t="shared" si="3"/>
        <v>1</v>
      </c>
      <c r="AB39" s="1509">
        <f t="shared" si="4"/>
        <v>1</v>
      </c>
      <c r="AC39" s="1509">
        <f t="shared" si="5"/>
        <v>1</v>
      </c>
    </row>
    <row r="40" spans="1:29" ht="20.25">
      <c r="A40" s="2623" t="s">
        <v>2734</v>
      </c>
      <c r="B40" s="588" t="s">
        <v>545</v>
      </c>
      <c r="C40" s="589">
        <f>'数据-汇总表'!D19</f>
        <v>16344.23</v>
      </c>
      <c r="D40" s="590">
        <v>100</v>
      </c>
      <c r="E40" s="589">
        <f>土地案例!E2</f>
        <v>28676.63</v>
      </c>
      <c r="F40" s="590">
        <f>LOOKUP(E40,119:119,120:120)-LOOKUP(C40,119:119,120:120)+100</f>
        <v>100</v>
      </c>
      <c r="G40" s="589">
        <f>土地案例!E3</f>
        <v>30159.25</v>
      </c>
      <c r="H40" s="590">
        <f>LOOKUP(G40,119:119,120:120)-LOOKUP(C40,119:119,120:120)+100</f>
        <v>101.5</v>
      </c>
      <c r="I40" s="591">
        <f>土地案例!E4</f>
        <v>35629.120000000003</v>
      </c>
      <c r="J40" s="590">
        <f>LOOKUP(I40,119:119,120:120)-LOOKUP(C40,119:119,120:120)+100</f>
        <v>101.5</v>
      </c>
      <c r="K40" s="574"/>
      <c r="L40" s="2023"/>
      <c r="M40" s="2013"/>
      <c r="N40" s="2013"/>
      <c r="O40" s="2022"/>
      <c r="P40" s="3563"/>
      <c r="Q40" s="1505" t="str">
        <f>B40</f>
        <v>宗地面积</v>
      </c>
      <c r="R40" s="1506" t="s">
        <v>8</v>
      </c>
      <c r="S40" s="1507">
        <f t="shared" si="10"/>
        <v>100</v>
      </c>
      <c r="T40" s="1506" t="s">
        <v>8</v>
      </c>
      <c r="U40" s="1507">
        <f t="shared" si="11"/>
        <v>101.5</v>
      </c>
      <c r="V40" s="1506" t="s">
        <v>8</v>
      </c>
      <c r="W40" s="1507">
        <f t="shared" si="12"/>
        <v>101.5</v>
      </c>
      <c r="X40" s="1500"/>
      <c r="Y40" s="3563"/>
      <c r="Z40" s="1508" t="str">
        <f t="shared" si="13"/>
        <v>宗地面积</v>
      </c>
      <c r="AA40" s="1509">
        <f t="shared" si="3"/>
        <v>1</v>
      </c>
      <c r="AB40" s="1509">
        <f t="shared" si="4"/>
        <v>0.98522167487684731</v>
      </c>
      <c r="AC40" s="1509">
        <f t="shared" si="5"/>
        <v>0.98522167487684731</v>
      </c>
    </row>
    <row r="41" spans="1:29" ht="20.25">
      <c r="A41" s="587"/>
      <c r="B41" s="3334" t="s">
        <v>546</v>
      </c>
      <c r="C41" s="592" t="s">
        <v>3250</v>
      </c>
      <c r="D41" s="533">
        <v>100</v>
      </c>
      <c r="E41" s="592" t="s">
        <v>3251</v>
      </c>
      <c r="F41" s="533">
        <f>SUMIF(121:121,E41,122:122)-SUMIF(121:121,C41,122:122)+100</f>
        <v>101.5</v>
      </c>
      <c r="G41" s="592" t="s">
        <v>3251</v>
      </c>
      <c r="H41" s="533">
        <f>SUMIF(121:121,G41,122:122)-SUMIF(121:121,C41,122:122)+100</f>
        <v>101.5</v>
      </c>
      <c r="I41" s="592" t="s">
        <v>3251</v>
      </c>
      <c r="J41" s="533">
        <f>SUMIF(121:121,I41,122:122)-SUMIF(121:121,C41,122:122)+100</f>
        <v>101.5</v>
      </c>
      <c r="K41" s="577">
        <v>1.5</v>
      </c>
      <c r="L41" s="2023"/>
      <c r="M41" s="2013"/>
      <c r="N41" s="2013"/>
      <c r="O41" s="2022"/>
      <c r="P41" s="3563"/>
      <c r="Q41" s="1505" t="str">
        <f t="shared" ref="Q41:Q47" si="14">B41</f>
        <v>宗地形状</v>
      </c>
      <c r="R41" s="1506" t="s">
        <v>8</v>
      </c>
      <c r="S41" s="1507">
        <f t="shared" si="10"/>
        <v>101.5</v>
      </c>
      <c r="T41" s="1506" t="s">
        <v>8</v>
      </c>
      <c r="U41" s="1507">
        <f t="shared" si="11"/>
        <v>101.5</v>
      </c>
      <c r="V41" s="1506" t="s">
        <v>8</v>
      </c>
      <c r="W41" s="1507">
        <f t="shared" si="12"/>
        <v>101.5</v>
      </c>
      <c r="X41" s="1500"/>
      <c r="Y41" s="3563"/>
      <c r="Z41" s="1508" t="str">
        <f t="shared" si="13"/>
        <v>宗地形状</v>
      </c>
      <c r="AA41" s="1509">
        <f t="shared" si="3"/>
        <v>0.98522167487684731</v>
      </c>
      <c r="AB41" s="1509">
        <f t="shared" si="4"/>
        <v>0.98522167487684731</v>
      </c>
      <c r="AC41" s="1509">
        <f t="shared" si="5"/>
        <v>0.98522167487684731</v>
      </c>
    </row>
    <row r="42" spans="1:29" ht="20.25">
      <c r="A42" s="587"/>
      <c r="B42" s="520" t="s">
        <v>547</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63"/>
      <c r="Q42" s="1505" t="str">
        <f t="shared" si="14"/>
        <v>临街宽度及深度</v>
      </c>
      <c r="R42" s="1506" t="s">
        <v>8</v>
      </c>
      <c r="S42" s="1507">
        <f t="shared" si="10"/>
        <v>100</v>
      </c>
      <c r="T42" s="1506" t="s">
        <v>8</v>
      </c>
      <c r="U42" s="1507">
        <f t="shared" si="11"/>
        <v>100</v>
      </c>
      <c r="V42" s="1506" t="s">
        <v>8</v>
      </c>
      <c r="W42" s="1507">
        <f t="shared" si="12"/>
        <v>100</v>
      </c>
      <c r="X42" s="1500"/>
      <c r="Y42" s="3563"/>
      <c r="Z42" s="1508" t="str">
        <f t="shared" si="13"/>
        <v>临街宽度及深度</v>
      </c>
      <c r="AA42" s="1509">
        <f t="shared" si="3"/>
        <v>1</v>
      </c>
      <c r="AB42" s="1509">
        <f t="shared" si="4"/>
        <v>1</v>
      </c>
      <c r="AC42" s="1509">
        <f t="shared" si="5"/>
        <v>1</v>
      </c>
    </row>
    <row r="43" spans="1:29" s="1202" customFormat="1" ht="20.25">
      <c r="A43" s="593"/>
      <c r="B43" s="1808" t="s">
        <v>2408</v>
      </c>
      <c r="C43" s="3333" t="s">
        <v>3224</v>
      </c>
      <c r="D43" s="252">
        <v>100</v>
      </c>
      <c r="E43" s="594" t="s">
        <v>3218</v>
      </c>
      <c r="F43" s="533">
        <f>SUMIF(125:125,E43,126:126)-SUMIF(125:125,C43,126:126)+100</f>
        <v>92</v>
      </c>
      <c r="G43" s="594" t="s">
        <v>3219</v>
      </c>
      <c r="H43" s="533">
        <f>SUMIF(125:125,G43,126:126)-SUMIF(125:125,C43,126:126)+100</f>
        <v>98</v>
      </c>
      <c r="I43" s="594" t="s">
        <v>3219</v>
      </c>
      <c r="J43" s="533">
        <f>SUMIF(125:125,I43,126:126)-SUMIF(125:125,C43,126:126)+100</f>
        <v>98</v>
      </c>
      <c r="K43" s="577">
        <v>2</v>
      </c>
      <c r="L43" s="2016"/>
      <c r="M43" s="2013"/>
      <c r="N43" s="2013"/>
      <c r="O43" s="2018"/>
      <c r="P43" s="3563"/>
      <c r="Q43" s="1505" t="str">
        <f t="shared" si="14"/>
        <v>宗地开发程度</v>
      </c>
      <c r="R43" s="1501" t="s">
        <v>8</v>
      </c>
      <c r="S43" s="1502">
        <f t="shared" si="10"/>
        <v>92</v>
      </c>
      <c r="T43" s="1501" t="s">
        <v>8</v>
      </c>
      <c r="U43" s="1502">
        <f t="shared" si="11"/>
        <v>98</v>
      </c>
      <c r="V43" s="1501" t="s">
        <v>8</v>
      </c>
      <c r="W43" s="1502">
        <f t="shared" si="12"/>
        <v>98</v>
      </c>
      <c r="X43" s="1503"/>
      <c r="Y43" s="3563"/>
      <c r="Z43" s="1132" t="str">
        <f t="shared" si="13"/>
        <v>宗地开发程度</v>
      </c>
      <c r="AA43" s="1504">
        <f t="shared" si="3"/>
        <v>1.0869565217391304</v>
      </c>
      <c r="AB43" s="1504">
        <f t="shared" si="4"/>
        <v>1.0204081632653061</v>
      </c>
      <c r="AC43" s="1504">
        <f t="shared" si="5"/>
        <v>1.0204081632653061</v>
      </c>
    </row>
    <row r="44" spans="1:29" ht="21" thickBot="1">
      <c r="A44" s="587"/>
      <c r="B44" s="520" t="s">
        <v>548</v>
      </c>
      <c r="C44" s="592" t="s">
        <v>3216</v>
      </c>
      <c r="D44" s="533">
        <v>100</v>
      </c>
      <c r="E44" s="592" t="s">
        <v>3217</v>
      </c>
      <c r="F44" s="533">
        <f>SUMIF(127:127,E44,128:128)-SUMIF(127:127,C44,128:128)+100</f>
        <v>101</v>
      </c>
      <c r="G44" s="592" t="s">
        <v>3217</v>
      </c>
      <c r="H44" s="533">
        <f>SUMIF(127:127,G44,128:128)-SUMIF(127:127,C44,128:128)+100</f>
        <v>101</v>
      </c>
      <c r="I44" s="592" t="s">
        <v>3217</v>
      </c>
      <c r="J44" s="533">
        <f>SUMIF(127:127,I44,128:128)-SUMIF(127:127,C44,128:128)+100</f>
        <v>101</v>
      </c>
      <c r="K44" s="577">
        <v>1</v>
      </c>
      <c r="L44" s="2023"/>
      <c r="M44" s="2013">
        <v>12454</v>
      </c>
      <c r="N44" s="2013">
        <f ca="1">结果表!O38</f>
        <v>30029</v>
      </c>
      <c r="O44" s="2022"/>
      <c r="P44" s="3563" t="s">
        <v>543</v>
      </c>
      <c r="Q44" s="1505" t="str">
        <f t="shared" si="14"/>
        <v>工程地质条件</v>
      </c>
      <c r="R44" s="1506" t="s">
        <v>8</v>
      </c>
      <c r="S44" s="1507">
        <f t="shared" si="10"/>
        <v>101</v>
      </c>
      <c r="T44" s="1506" t="s">
        <v>8</v>
      </c>
      <c r="U44" s="1507">
        <f t="shared" si="11"/>
        <v>101</v>
      </c>
      <c r="V44" s="1506" t="s">
        <v>8</v>
      </c>
      <c r="W44" s="1507">
        <f t="shared" si="12"/>
        <v>101</v>
      </c>
      <c r="X44" s="1500"/>
      <c r="Y44" s="3563" t="s">
        <v>543</v>
      </c>
      <c r="Z44" s="1508" t="str">
        <f t="shared" si="13"/>
        <v>工程地质条件</v>
      </c>
      <c r="AA44" s="1509">
        <f t="shared" si="3"/>
        <v>0.99009900990099009</v>
      </c>
      <c r="AB44" s="1509">
        <f t="shared" si="4"/>
        <v>0.99009900990099009</v>
      </c>
      <c r="AC44" s="1509">
        <f t="shared" si="5"/>
        <v>0.99009900990099009</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63"/>
      <c r="Q45" s="1505">
        <f t="shared" si="14"/>
        <v>111</v>
      </c>
      <c r="R45" s="1506" t="s">
        <v>8</v>
      </c>
      <c r="S45" s="1507">
        <f t="shared" si="10"/>
        <v>100</v>
      </c>
      <c r="T45" s="1506" t="s">
        <v>8</v>
      </c>
      <c r="U45" s="1507">
        <f t="shared" si="11"/>
        <v>100</v>
      </c>
      <c r="V45" s="1506" t="s">
        <v>8</v>
      </c>
      <c r="W45" s="1507">
        <f t="shared" si="12"/>
        <v>100</v>
      </c>
      <c r="X45" s="1500"/>
      <c r="Y45" s="3563"/>
      <c r="Z45" s="1508">
        <f t="shared" si="13"/>
        <v>111</v>
      </c>
      <c r="AA45" s="1509">
        <f t="shared" si="3"/>
        <v>1</v>
      </c>
      <c r="AB45" s="1509">
        <f t="shared" si="4"/>
        <v>1</v>
      </c>
      <c r="AC45" s="1509">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63"/>
      <c r="Q46" s="1505">
        <f t="shared" si="14"/>
        <v>111</v>
      </c>
      <c r="R46" s="1506" t="s">
        <v>8</v>
      </c>
      <c r="S46" s="1507">
        <f t="shared" si="10"/>
        <v>100</v>
      </c>
      <c r="T46" s="1506" t="s">
        <v>8</v>
      </c>
      <c r="U46" s="1507">
        <f t="shared" si="11"/>
        <v>100</v>
      </c>
      <c r="V46" s="1506" t="s">
        <v>8</v>
      </c>
      <c r="W46" s="1507">
        <f t="shared" si="12"/>
        <v>100</v>
      </c>
      <c r="X46" s="1500"/>
      <c r="Y46" s="3563"/>
      <c r="Z46" s="1508">
        <f t="shared" si="13"/>
        <v>111</v>
      </c>
      <c r="AA46" s="1509">
        <f t="shared" si="3"/>
        <v>1</v>
      </c>
      <c r="AB46" s="1509">
        <f t="shared" si="4"/>
        <v>1</v>
      </c>
      <c r="AC46" s="1509">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63"/>
      <c r="Q47" s="1505">
        <f t="shared" si="14"/>
        <v>111</v>
      </c>
      <c r="R47" s="1510" t="s">
        <v>8</v>
      </c>
      <c r="S47" s="1511">
        <f t="shared" si="10"/>
        <v>100</v>
      </c>
      <c r="T47" s="1510" t="s">
        <v>8</v>
      </c>
      <c r="U47" s="1511">
        <f t="shared" si="11"/>
        <v>100</v>
      </c>
      <c r="V47" s="1510" t="s">
        <v>8</v>
      </c>
      <c r="W47" s="1511">
        <f t="shared" si="12"/>
        <v>100</v>
      </c>
      <c r="X47" s="1512"/>
      <c r="Y47" s="3563"/>
      <c r="Z47" s="1513">
        <f t="shared" si="13"/>
        <v>111</v>
      </c>
      <c r="AA47" s="1509">
        <f t="shared" si="3"/>
        <v>1</v>
      </c>
      <c r="AB47" s="1509">
        <f t="shared" si="4"/>
        <v>1</v>
      </c>
      <c r="AC47" s="1509">
        <f t="shared" si="5"/>
        <v>1</v>
      </c>
    </row>
    <row r="48" spans="1:29" ht="20.25">
      <c r="A48" s="600" t="s">
        <v>549</v>
      </c>
      <c r="B48" s="601" t="s">
        <v>3208</v>
      </c>
      <c r="C48" s="602" t="s">
        <v>1</v>
      </c>
      <c r="D48" s="603"/>
      <c r="E48" s="604">
        <v>15300</v>
      </c>
      <c r="F48" s="605"/>
      <c r="G48" s="606">
        <v>16623</v>
      </c>
      <c r="H48" s="607"/>
      <c r="I48" s="604">
        <v>16599</v>
      </c>
      <c r="J48" s="607"/>
      <c r="K48" s="1293"/>
      <c r="L48" s="2025"/>
      <c r="M48" s="3349">
        <f>C50-M44</f>
        <v>-4</v>
      </c>
      <c r="N48" s="2013">
        <f ca="1">N44-30029</f>
        <v>0</v>
      </c>
      <c r="O48" s="2026"/>
      <c r="P48" s="3526" t="str">
        <f>A48</f>
        <v>成交单价</v>
      </c>
      <c r="Q48" s="3526"/>
      <c r="R48" s="3527">
        <f>E48</f>
        <v>15300</v>
      </c>
      <c r="S48" s="3527"/>
      <c r="T48" s="3527">
        <f>G48</f>
        <v>16623</v>
      </c>
      <c r="U48" s="3527"/>
      <c r="V48" s="3527">
        <f>I48</f>
        <v>16599</v>
      </c>
      <c r="W48" s="3527"/>
      <c r="X48" s="1495"/>
      <c r="Y48" s="1514"/>
      <c r="Z48" s="1495"/>
      <c r="AA48" s="1495"/>
      <c r="AB48" s="1495"/>
      <c r="AC48" s="1495"/>
    </row>
    <row r="49" spans="1:29" ht="21" thickBot="1">
      <c r="A49" s="608" t="s">
        <v>2672</v>
      </c>
      <c r="B49" s="609"/>
      <c r="C49" s="610">
        <f>R50</f>
        <v>12450</v>
      </c>
      <c r="D49" s="3012" t="s">
        <v>2970</v>
      </c>
      <c r="E49" s="610">
        <f>R49</f>
        <v>12783</v>
      </c>
      <c r="F49" s="3013"/>
      <c r="G49" s="611">
        <f>T49</f>
        <v>12975</v>
      </c>
      <c r="H49" s="3013"/>
      <c r="I49" s="610">
        <f>V49</f>
        <v>11592</v>
      </c>
      <c r="J49" s="3013"/>
      <c r="K49" s="3014">
        <f>F49+H49+J49</f>
        <v>0</v>
      </c>
      <c r="L49" s="2025"/>
      <c r="M49" s="2013"/>
      <c r="N49" s="2013"/>
      <c r="O49" s="2026"/>
      <c r="P49" s="3526" t="str">
        <f>A49</f>
        <v>比较价格（元/平方米）</v>
      </c>
      <c r="Q49" s="3526"/>
      <c r="R49" s="3528">
        <f>ROUND(PRODUCT(R48,AA9:AA47),0)</f>
        <v>12783</v>
      </c>
      <c r="S49" s="3528"/>
      <c r="T49" s="3528">
        <f>ROUND(PRODUCT(T48,AB9:AB47),0)</f>
        <v>12975</v>
      </c>
      <c r="U49" s="3528"/>
      <c r="V49" s="3528">
        <f>ROUND(PRODUCT(V48,AC9:AC47),0)</f>
        <v>11592</v>
      </c>
      <c r="W49" s="3528"/>
      <c r="X49" s="1495"/>
      <c r="Y49" s="1495"/>
      <c r="Z49" s="1495"/>
      <c r="AA49" s="1495"/>
      <c r="AB49" s="1495"/>
      <c r="AC49" s="1495"/>
    </row>
    <row r="50" spans="1:29" ht="21" thickBot="1">
      <c r="A50" s="612" t="s">
        <v>2902</v>
      </c>
      <c r="B50" s="613"/>
      <c r="C50" s="614">
        <f>R50</f>
        <v>12450</v>
      </c>
      <c r="D50" s="614"/>
      <c r="E50" s="614"/>
      <c r="F50" s="614"/>
      <c r="G50" s="614"/>
      <c r="H50" s="614"/>
      <c r="I50" s="614"/>
      <c r="J50" s="614"/>
      <c r="K50" s="1294"/>
      <c r="L50" s="2025"/>
      <c r="M50" s="2013"/>
      <c r="N50" s="2013"/>
      <c r="O50" s="2026"/>
      <c r="P50" s="3523" t="str">
        <f>A50</f>
        <v>估价对象XX用房的比较价格（楼面单价，元/平方米）</v>
      </c>
      <c r="Q50" s="3524"/>
      <c r="R50" s="3525">
        <f>ROUND(IF(D49="简单平均",AVERAGE(R49:W49),R49*F49+T49*H49+V49*J49),0)</f>
        <v>12450</v>
      </c>
      <c r="S50" s="3525"/>
      <c r="T50" s="3525"/>
      <c r="U50" s="3525"/>
      <c r="V50" s="3525"/>
      <c r="W50" s="3525"/>
      <c r="X50" s="1495"/>
      <c r="Y50" s="1495"/>
      <c r="Z50" s="1495"/>
      <c r="AA50" s="1495"/>
      <c r="AB50" s="1495"/>
      <c r="AC50" s="1495"/>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550</v>
      </c>
      <c r="D53" s="616"/>
      <c r="E53" s="617">
        <f>IF(E48&lt;E49,E49/E48-1,E48/E49-1)</f>
        <v>0.19690213564890868</v>
      </c>
      <c r="F53" s="618" t="str">
        <f>IF(OR(E53&gt;=0.3,E53&lt;=-0.3),"超过30%","")</f>
        <v/>
      </c>
      <c r="G53" s="617">
        <f>IF(G48&lt;G49,G49/G48-1,G48/G49-1)</f>
        <v>0.28115606936416193</v>
      </c>
      <c r="H53" s="618" t="str">
        <f>IF(OR(G53&gt;=0.3,G53&lt;=-0.3),"超过30%","")</f>
        <v/>
      </c>
      <c r="I53" s="617">
        <f>IF(I48&lt;I49,I49/I48-1,I48/I49-1)</f>
        <v>0.43193581780538293</v>
      </c>
      <c r="J53" s="618" t="str">
        <f>IF(OR(I53&gt;=0.3,I53&lt;=-0.3),"超过30%","")</f>
        <v>超过30%</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5" t="s">
        <v>551</v>
      </c>
      <c r="D54" s="619"/>
      <c r="E54" s="617">
        <f>IF(E49&lt;G49,G49/E49-1,E49/G49-1)</f>
        <v>1.5019948368927505E-2</v>
      </c>
      <c r="F54" s="618" t="str">
        <f>IF(OR(E54&gt;=0.2,E54&lt;=-0.2),"超过20%","")</f>
        <v/>
      </c>
      <c r="G54" s="617">
        <f>IF(G49&lt;I49,I49/G49-1,G49/I49-1)</f>
        <v>0.11930641821946164</v>
      </c>
      <c r="H54" s="618" t="str">
        <f>IF(OR(G54&gt;=0.2,G54&lt;=-0.2),"超过20%","")</f>
        <v/>
      </c>
      <c r="I54" s="617">
        <f>IF(I49&lt;E49,E49/I49-1,I49/E49-1)</f>
        <v>0.10274327122153215</v>
      </c>
      <c r="J54" s="618" t="str">
        <f>IF(OR(I54&gt;=0.2,I54&lt;=-0.2),"超过20%","")</f>
        <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5" t="s">
        <v>552</v>
      </c>
      <c r="D55" s="619"/>
      <c r="E55" s="617">
        <f>IF(E48&lt;G48,G48/E48-1,E48/G48-1)</f>
        <v>8.6470588235294077E-2</v>
      </c>
      <c r="F55" s="618" t="str">
        <f>IF(OR(E55&gt;=0.3,E55&lt;=-0.3),"超过30%","")</f>
        <v/>
      </c>
      <c r="G55" s="617">
        <f>IF(G48&lt;I48,I48/G48-1,G48/I48-1)</f>
        <v>1.4458702331465734E-3</v>
      </c>
      <c r="H55" s="618" t="str">
        <f>IF(OR(G55&gt;=0.3,G55&lt;=-0.3),"超过30%","")</f>
        <v/>
      </c>
      <c r="I55" s="617">
        <f>IF(I48&lt;E48,E48/I48-1,I48/E48-1)</f>
        <v>8.4901960784313779E-2</v>
      </c>
      <c r="J55" s="618" t="str">
        <f>IF(OR(I55&gt;=0.3,I55&lt;=-0.3),"超过30%","")</f>
        <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553</v>
      </c>
      <c r="B57" s="621" t="s">
        <v>554</v>
      </c>
      <c r="C57" s="1496" t="s">
        <v>1714</v>
      </c>
      <c r="D57" s="2106" t="s">
        <v>2280</v>
      </c>
      <c r="E57" s="622" t="s">
        <v>555</v>
      </c>
      <c r="F57" s="623" t="s">
        <v>556</v>
      </c>
      <c r="G57" s="3552" t="s">
        <v>2268</v>
      </c>
      <c r="H57" s="3553"/>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557</v>
      </c>
      <c r="B58" s="625">
        <f>C50</f>
        <v>12450</v>
      </c>
      <c r="C58" s="626">
        <v>1</v>
      </c>
      <c r="D58" s="2107">
        <v>1</v>
      </c>
      <c r="E58" s="626">
        <f>'数据-汇总表'!E8+'数据-汇总表'!E9</f>
        <v>26400</v>
      </c>
      <c r="F58" s="627">
        <f t="shared" ref="F58:F67" si="15">ROUND(B58*E58/10000,0)</f>
        <v>32868</v>
      </c>
      <c r="G58" s="3554"/>
      <c r="H58" s="3555"/>
      <c r="I58" s="1493">
        <v>1</v>
      </c>
      <c r="J58" s="1493">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558</v>
      </c>
      <c r="B59" s="629">
        <f>ROUND($C$50*C59*D59,0)</f>
        <v>0</v>
      </c>
      <c r="C59" s="371">
        <f t="shared" ref="C59:C67" si="16">IF($C$57="北京市系数",I59,J59)</f>
        <v>0</v>
      </c>
      <c r="D59" s="2108">
        <v>0.25</v>
      </c>
      <c r="E59" s="630">
        <v>0</v>
      </c>
      <c r="F59" s="627">
        <f t="shared" si="15"/>
        <v>0</v>
      </c>
      <c r="G59" s="3556" t="s">
        <v>2269</v>
      </c>
      <c r="H59" s="1861">
        <f>项目基本情况!B43</f>
        <v>0</v>
      </c>
      <c r="I59" s="1493">
        <f>SUMIF(修正!$A$45:$A$56,H59,修正!B45:B56)</f>
        <v>0</v>
      </c>
      <c r="J59" s="1494"/>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559</v>
      </c>
      <c r="B60" s="629">
        <f t="shared" ref="B60:B67" si="17">ROUND($C$50*C60*D60,0)</f>
        <v>0</v>
      </c>
      <c r="C60" s="371">
        <f t="shared" si="16"/>
        <v>0</v>
      </c>
      <c r="D60" s="2108">
        <v>0.25</v>
      </c>
      <c r="E60" s="630">
        <v>0</v>
      </c>
      <c r="F60" s="627">
        <f t="shared" si="15"/>
        <v>0</v>
      </c>
      <c r="G60" s="3556"/>
      <c r="H60" s="1861">
        <f>项目基本情况!B43</f>
        <v>0</v>
      </c>
      <c r="I60" s="1493">
        <f>SUMIF(修正!$A$45:$A$56,H60,修正!C45:C56)</f>
        <v>0</v>
      </c>
      <c r="J60" s="1494"/>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560</v>
      </c>
      <c r="B61" s="629">
        <f t="shared" si="17"/>
        <v>0</v>
      </c>
      <c r="C61" s="371">
        <f t="shared" si="16"/>
        <v>0</v>
      </c>
      <c r="D61" s="2108">
        <v>0.25</v>
      </c>
      <c r="E61" s="630">
        <v>0</v>
      </c>
      <c r="F61" s="627">
        <f t="shared" si="15"/>
        <v>0</v>
      </c>
      <c r="G61" s="3556"/>
      <c r="H61" s="1861">
        <f>项目基本情况!B43</f>
        <v>0</v>
      </c>
      <c r="I61" s="1493">
        <f>SUMIF(修正!$A$45:$A$56,H61,修正!D45:D56)</f>
        <v>0</v>
      </c>
      <c r="J61" s="1494"/>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561</v>
      </c>
      <c r="B62" s="629">
        <f t="shared" si="17"/>
        <v>0</v>
      </c>
      <c r="C62" s="371">
        <f t="shared" si="16"/>
        <v>0</v>
      </c>
      <c r="D62" s="2108">
        <v>0.25</v>
      </c>
      <c r="E62" s="630">
        <v>0</v>
      </c>
      <c r="F62" s="627">
        <f t="shared" si="15"/>
        <v>0</v>
      </c>
      <c r="G62" s="3556"/>
      <c r="H62" s="1861">
        <f>项目基本情况!B43</f>
        <v>0</v>
      </c>
      <c r="I62" s="1493">
        <f>SUMIF(修正!$A$45:$A$56,H62,修正!E45:E56)</f>
        <v>0</v>
      </c>
      <c r="J62" s="1494"/>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29">
        <f t="shared" si="17"/>
        <v>778</v>
      </c>
      <c r="C63" s="371">
        <f t="shared" si="16"/>
        <v>0.25</v>
      </c>
      <c r="D63" s="2108">
        <v>0.25</v>
      </c>
      <c r="E63" s="632">
        <f>'数据-汇总表'!E11</f>
        <v>0</v>
      </c>
      <c r="F63" s="627">
        <f t="shared" si="15"/>
        <v>0</v>
      </c>
      <c r="G63" s="1858" t="s">
        <v>2270</v>
      </c>
      <c r="H63" s="1861" t="str">
        <f>项目基本情况!C43</f>
        <v>七级</v>
      </c>
      <c r="I63" s="1493">
        <f>SUMIF(修正!$A$45:$A$56,H63,修正!F45:F56)</f>
        <v>0.25</v>
      </c>
      <c r="J63" s="1494"/>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562</v>
      </c>
      <c r="B64" s="629">
        <f t="shared" si="17"/>
        <v>778</v>
      </c>
      <c r="C64" s="371">
        <f t="shared" si="16"/>
        <v>0.25</v>
      </c>
      <c r="D64" s="2108">
        <v>0.25</v>
      </c>
      <c r="E64" s="632">
        <f>'数据-汇总表'!E12</f>
        <v>0</v>
      </c>
      <c r="F64" s="627">
        <f t="shared" si="15"/>
        <v>0</v>
      </c>
      <c r="G64" s="1859" t="s">
        <v>1667</v>
      </c>
      <c r="H64" s="1857" t="str">
        <f>IF(G64="商业",项目基本情况!B43,IF(G64="办公",项目基本情况!C43,IF(G64="住宅",项目基本情况!D43,项目基本情况!E43)))</f>
        <v>七级</v>
      </c>
      <c r="I64" s="1493">
        <f>SUMIF(修正!$A$45:$A$56,H64,修正!G45:G56)</f>
        <v>0.25</v>
      </c>
      <c r="J64" s="1494"/>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563</v>
      </c>
      <c r="B65" s="629">
        <f t="shared" si="17"/>
        <v>0</v>
      </c>
      <c r="C65" s="371">
        <f t="shared" si="16"/>
        <v>0</v>
      </c>
      <c r="D65" s="2108">
        <v>0.25</v>
      </c>
      <c r="E65" s="632">
        <f>'数据-汇总表'!E13</f>
        <v>0</v>
      </c>
      <c r="F65" s="627">
        <f t="shared" si="15"/>
        <v>0</v>
      </c>
      <c r="G65" s="1859" t="s">
        <v>913</v>
      </c>
      <c r="H65" s="1857">
        <f>IF(G65="商业",项目基本情况!B43,IF(G65="办公",项目基本情况!C43,IF(G65="住宅",项目基本情况!D43,项目基本情况!E43)))</f>
        <v>0</v>
      </c>
      <c r="I65" s="1493">
        <f>SUMIF(修正!$A$45:$A$56,H65,修正!H45:H56)</f>
        <v>0</v>
      </c>
      <c r="J65" s="1494"/>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564</v>
      </c>
      <c r="B66" s="629">
        <f t="shared" si="17"/>
        <v>0</v>
      </c>
      <c r="C66" s="371">
        <f t="shared" si="16"/>
        <v>0</v>
      </c>
      <c r="D66" s="2108">
        <v>0.25</v>
      </c>
      <c r="E66" s="632">
        <f>'数据-汇总表'!E14</f>
        <v>0</v>
      </c>
      <c r="F66" s="627">
        <f t="shared" si="15"/>
        <v>0</v>
      </c>
      <c r="G66" s="1858" t="s">
        <v>2269</v>
      </c>
      <c r="H66" s="1861">
        <f>项目基本情况!B43</f>
        <v>0</v>
      </c>
      <c r="I66" s="1493">
        <f>SUMIF(修正!$A$45:$A$56,H66,修正!H45:H56)</f>
        <v>0</v>
      </c>
      <c r="J66" s="1494"/>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565</v>
      </c>
      <c r="B67" s="629">
        <f t="shared" si="17"/>
        <v>623</v>
      </c>
      <c r="C67" s="371">
        <f t="shared" si="16"/>
        <v>0.2</v>
      </c>
      <c r="D67" s="2108">
        <v>0.25</v>
      </c>
      <c r="E67" s="632">
        <f>'数据-汇总表'!E15</f>
        <v>0</v>
      </c>
      <c r="F67" s="627">
        <f t="shared" si="15"/>
        <v>0</v>
      </c>
      <c r="G67" s="1860" t="s">
        <v>2270</v>
      </c>
      <c r="H67" s="1862" t="str">
        <f>项目基本情况!C43</f>
        <v>七级</v>
      </c>
      <c r="I67" s="1493">
        <f>SUMIF(修正!$A$45:$A$56,H67,修正!H45:H56)</f>
        <v>0.2</v>
      </c>
      <c r="J67" s="1494"/>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566</v>
      </c>
      <c r="B68" s="634" t="s">
        <v>17</v>
      </c>
      <c r="C68" s="634" t="s">
        <v>18</v>
      </c>
      <c r="D68" s="634" t="s">
        <v>2281</v>
      </c>
      <c r="E68" s="634">
        <f>IF(B48="楼面地价",SUM(E58:E67),'数据-汇总表'!D3)</f>
        <v>26400</v>
      </c>
      <c r="F68" s="635">
        <f>IF(B48="楼面地价",SUM(F58:F67),ROUND(C50*E68/10000,0))</f>
        <v>32868</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2021-1-1</v>
      </c>
      <c r="D70" s="2515">
        <f>EDATE(C70,-3)</f>
        <v>44105</v>
      </c>
      <c r="E70" s="2515">
        <f t="shared" ref="E70:N70" si="18">EDATE(D70,-3)</f>
        <v>44013</v>
      </c>
      <c r="F70" s="2515">
        <f t="shared" si="18"/>
        <v>43922</v>
      </c>
      <c r="G70" s="2515">
        <f t="shared" si="18"/>
        <v>43831</v>
      </c>
      <c r="H70" s="2515">
        <f t="shared" si="18"/>
        <v>43739</v>
      </c>
      <c r="I70" s="2515">
        <f t="shared" si="18"/>
        <v>43647</v>
      </c>
      <c r="J70" s="2515">
        <f t="shared" si="18"/>
        <v>43556</v>
      </c>
      <c r="K70" s="2515">
        <f t="shared" si="18"/>
        <v>43466</v>
      </c>
      <c r="L70" s="2515">
        <f t="shared" si="18"/>
        <v>43374</v>
      </c>
      <c r="M70" s="2515">
        <f t="shared" si="18"/>
        <v>43282</v>
      </c>
      <c r="N70" s="2515">
        <f t="shared" si="18"/>
        <v>43191</v>
      </c>
      <c r="O70" s="2026"/>
      <c r="P70" s="2026"/>
      <c r="Q70" s="2026"/>
      <c r="R70" s="2026"/>
      <c r="S70" s="2026"/>
      <c r="T70" s="2026"/>
      <c r="U70" s="2026"/>
      <c r="V70" s="2026"/>
      <c r="W70" s="2026"/>
      <c r="X70" s="2026"/>
      <c r="Y70" s="2026"/>
      <c r="Z70" s="2026"/>
      <c r="AA70" s="2026"/>
      <c r="AB70" s="2026"/>
      <c r="AC70" s="2026"/>
    </row>
    <row r="71" spans="1:29" ht="21.75" thickBot="1">
      <c r="A71" s="1517" t="s">
        <v>567</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2021-1</v>
      </c>
      <c r="D72" s="2517" t="str">
        <f>YEAR(D70)&amp;"-"&amp;ROUNDUP(MONTH(D70)/3,0)</f>
        <v>2020-4</v>
      </c>
      <c r="E72" s="2517" t="str">
        <f t="shared" ref="E72:N72" si="19">YEAR(E70)&amp;"-"&amp;ROUNDUP(MONTH(E70)/3,0)</f>
        <v>2020-3</v>
      </c>
      <c r="F72" s="2517" t="str">
        <f t="shared" si="19"/>
        <v>2020-2</v>
      </c>
      <c r="G72" s="2517" t="str">
        <f t="shared" si="19"/>
        <v>2020-1</v>
      </c>
      <c r="H72" s="2517" t="str">
        <f t="shared" si="19"/>
        <v>2019-4</v>
      </c>
      <c r="I72" s="2517" t="str">
        <f t="shared" si="19"/>
        <v>2019-3</v>
      </c>
      <c r="J72" s="2517" t="str">
        <f t="shared" si="19"/>
        <v>2019-2</v>
      </c>
      <c r="K72" s="2517" t="str">
        <f t="shared" si="19"/>
        <v>2019-1</v>
      </c>
      <c r="L72" s="2517" t="str">
        <f t="shared" si="19"/>
        <v>2018-4</v>
      </c>
      <c r="M72" s="2517" t="str">
        <f t="shared" si="19"/>
        <v>2018-3</v>
      </c>
      <c r="N72" s="2517" t="str">
        <f t="shared" si="19"/>
        <v>2018-2</v>
      </c>
      <c r="O72" s="2039"/>
      <c r="P72" s="2040"/>
      <c r="Q72" s="2041"/>
      <c r="R72" s="2041"/>
      <c r="S72" s="2041"/>
      <c r="T72" s="2041"/>
      <c r="U72" s="2041"/>
      <c r="V72" s="2041"/>
      <c r="W72" s="2041"/>
      <c r="X72" s="2041"/>
      <c r="Y72" s="2041"/>
      <c r="Z72" s="2041"/>
      <c r="AA72" s="2041"/>
      <c r="AB72" s="2041"/>
      <c r="AC72" s="2041"/>
    </row>
    <row r="73" spans="1:29" s="1202" customFormat="1" ht="27" customHeight="1">
      <c r="A73" s="2522" t="s">
        <v>1667</v>
      </c>
      <c r="B73" s="472" t="str">
        <f>"北京市平均增长率"&amp;TEXT(SUMIF(基准地价!N21:N25,A73,基准地价!P21:P25),"0.00%")</f>
        <v>北京市平均增长率1.10%</v>
      </c>
      <c r="C73" s="882">
        <v>100</v>
      </c>
      <c r="D73" s="721">
        <v>100</v>
      </c>
      <c r="E73" s="721">
        <v>100</v>
      </c>
      <c r="F73" s="721">
        <v>100</v>
      </c>
      <c r="G73" s="721">
        <v>100</v>
      </c>
      <c r="H73" s="721">
        <v>99</v>
      </c>
      <c r="I73" s="721">
        <v>98</v>
      </c>
      <c r="J73" s="721">
        <v>97</v>
      </c>
      <c r="K73" s="721">
        <v>96</v>
      </c>
      <c r="L73" s="721">
        <v>95</v>
      </c>
      <c r="M73" s="721">
        <v>94</v>
      </c>
      <c r="N73" s="721">
        <v>93</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524</v>
      </c>
      <c r="B75" s="639"/>
      <c r="C75" s="651" t="s">
        <v>569</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ht="42">
      <c r="A77" s="655" t="s">
        <v>570</v>
      </c>
      <c r="B77" s="656" t="s">
        <v>527</v>
      </c>
      <c r="C77" s="3324" t="s">
        <v>3210</v>
      </c>
      <c r="D77" s="591" t="s">
        <v>3211</v>
      </c>
      <c r="E77" s="591" t="s">
        <v>3212</v>
      </c>
      <c r="F77" s="591" t="s">
        <v>3213</v>
      </c>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v>110</v>
      </c>
      <c r="E78" s="662">
        <v>110</v>
      </c>
      <c r="F78" s="662">
        <v>110</v>
      </c>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530</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531</v>
      </c>
      <c r="C81" s="673" t="str">
        <f>C82&amp;"（含）"&amp;"-"&amp;D82</f>
        <v>0（含）-1</v>
      </c>
      <c r="D81" s="673" t="str">
        <f t="shared" ref="D81:L81" si="20">D82&amp;"（含）"&amp;"-"&amp;E82</f>
        <v>1（含）-2</v>
      </c>
      <c r="E81" s="673" t="str">
        <f t="shared" si="20"/>
        <v>2（含）-3</v>
      </c>
      <c r="F81" s="673" t="str">
        <f t="shared" si="20"/>
        <v>3（含）-4</v>
      </c>
      <c r="G81" s="673" t="str">
        <f t="shared" si="20"/>
        <v>4（含）-5</v>
      </c>
      <c r="H81" s="673" t="str">
        <f t="shared" si="20"/>
        <v>5（含）-6</v>
      </c>
      <c r="I81" s="673" t="str">
        <f t="shared" si="20"/>
        <v>6（含）-</v>
      </c>
      <c r="J81" s="673" t="str">
        <f t="shared" si="20"/>
        <v>（含）-</v>
      </c>
      <c r="K81" s="673" t="str">
        <f t="shared" si="20"/>
        <v>（含）-</v>
      </c>
      <c r="L81" s="673" t="str">
        <f t="shared" si="20"/>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v>6</v>
      </c>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95</v>
      </c>
      <c r="E83" s="670">
        <f t="shared" ref="E83:M83" si="21">IF($B$48="单位面积地价",D83+$K13,D83-$K13)</f>
        <v>90</v>
      </c>
      <c r="F83" s="670">
        <f t="shared" si="21"/>
        <v>85</v>
      </c>
      <c r="G83" s="670">
        <f t="shared" si="21"/>
        <v>80</v>
      </c>
      <c r="H83" s="670">
        <f t="shared" si="21"/>
        <v>75</v>
      </c>
      <c r="I83" s="670">
        <f t="shared" si="21"/>
        <v>70</v>
      </c>
      <c r="J83" s="670">
        <f t="shared" si="21"/>
        <v>65</v>
      </c>
      <c r="K83" s="670">
        <f t="shared" si="21"/>
        <v>60</v>
      </c>
      <c r="L83" s="670">
        <f t="shared" si="21"/>
        <v>55</v>
      </c>
      <c r="M83" s="670">
        <f t="shared" si="21"/>
        <v>50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t="str">
        <f>B15</f>
        <v>自持</v>
      </c>
      <c r="C86" s="3329" t="s">
        <v>3253</v>
      </c>
      <c r="D86" s="3329" t="s">
        <v>3254</v>
      </c>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v>100</v>
      </c>
      <c r="D87" s="683">
        <v>105</v>
      </c>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532</v>
      </c>
      <c r="B90" s="656" t="s">
        <v>571</v>
      </c>
      <c r="C90" s="694" t="s">
        <v>572</v>
      </c>
      <c r="D90" s="694" t="s">
        <v>573</v>
      </c>
      <c r="E90" s="694" t="s">
        <v>574</v>
      </c>
      <c r="F90" s="694" t="s">
        <v>575</v>
      </c>
      <c r="G90" s="694" t="s">
        <v>576</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577</v>
      </c>
      <c r="C92" s="699" t="s">
        <v>572</v>
      </c>
      <c r="D92" s="699" t="s">
        <v>573</v>
      </c>
      <c r="E92" s="699" t="s">
        <v>574</v>
      </c>
      <c r="F92" s="699" t="s">
        <v>575</v>
      </c>
      <c r="G92" s="699" t="s">
        <v>576</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578</v>
      </c>
      <c r="C94" s="699" t="s">
        <v>572</v>
      </c>
      <c r="D94" s="699" t="s">
        <v>573</v>
      </c>
      <c r="E94" s="699" t="s">
        <v>574</v>
      </c>
      <c r="F94" s="699" t="s">
        <v>575</v>
      </c>
      <c r="G94" s="699" t="s">
        <v>576</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98</v>
      </c>
      <c r="E95" s="670">
        <f>D95-$K21</f>
        <v>96</v>
      </c>
      <c r="F95" s="670">
        <f>E95-$K21</f>
        <v>94</v>
      </c>
      <c r="G95" s="670">
        <f>F95-$K21</f>
        <v>92</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579</v>
      </c>
      <c r="C96" s="699" t="s">
        <v>572</v>
      </c>
      <c r="D96" s="699" t="s">
        <v>573</v>
      </c>
      <c r="E96" s="699" t="s">
        <v>574</v>
      </c>
      <c r="F96" s="699" t="s">
        <v>575</v>
      </c>
      <c r="G96" s="699" t="s">
        <v>576</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580</v>
      </c>
      <c r="C98" s="699" t="s">
        <v>572</v>
      </c>
      <c r="D98" s="699" t="s">
        <v>573</v>
      </c>
      <c r="E98" s="699" t="s">
        <v>574</v>
      </c>
      <c r="F98" s="699" t="s">
        <v>575</v>
      </c>
      <c r="G98" s="699" t="s">
        <v>576</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98</v>
      </c>
      <c r="E99" s="670">
        <f>D99-$K25</f>
        <v>96</v>
      </c>
      <c r="F99" s="670">
        <f>E99-$K25</f>
        <v>94</v>
      </c>
      <c r="G99" s="670">
        <f>F99-$K25</f>
        <v>92</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581</v>
      </c>
      <c r="C100" s="694" t="s">
        <v>572</v>
      </c>
      <c r="D100" s="694" t="s">
        <v>573</v>
      </c>
      <c r="E100" s="694" t="s">
        <v>574</v>
      </c>
      <c r="F100" s="694" t="s">
        <v>575</v>
      </c>
      <c r="G100" s="694" t="s">
        <v>576</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2529</v>
      </c>
      <c r="C102" s="694" t="s">
        <v>572</v>
      </c>
      <c r="D102" s="694" t="s">
        <v>573</v>
      </c>
      <c r="E102" s="694" t="s">
        <v>574</v>
      </c>
      <c r="F102" s="694" t="s">
        <v>575</v>
      </c>
      <c r="G102" s="694" t="s">
        <v>576</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2531</v>
      </c>
      <c r="C104" s="2441" t="s">
        <v>2532</v>
      </c>
      <c r="D104" s="2441" t="s">
        <v>2533</v>
      </c>
      <c r="E104" s="2441" t="s">
        <v>2534</v>
      </c>
      <c r="F104" s="2441" t="s">
        <v>2535</v>
      </c>
      <c r="G104" s="2441" t="s">
        <v>2536</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98</v>
      </c>
      <c r="E105" s="670">
        <f>D105-$K31</f>
        <v>96</v>
      </c>
      <c r="F105" s="670">
        <f>E105-$K31</f>
        <v>94</v>
      </c>
      <c r="G105" s="670">
        <f>F105-$K31</f>
        <v>92</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582</v>
      </c>
      <c r="D106" s="665" t="s">
        <v>583</v>
      </c>
      <c r="E106" s="665" t="s">
        <v>584</v>
      </c>
      <c r="F106" s="665" t="s">
        <v>585</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541</v>
      </c>
      <c r="C108" s="3329" t="s">
        <v>3225</v>
      </c>
      <c r="D108" s="3329" t="s">
        <v>3226</v>
      </c>
      <c r="E108" s="3329" t="s">
        <v>3227</v>
      </c>
      <c r="F108" s="3329" t="s">
        <v>3228</v>
      </c>
      <c r="G108" s="3329" t="s">
        <v>3230</v>
      </c>
      <c r="H108" s="3330" t="s">
        <v>3231</v>
      </c>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542</v>
      </c>
      <c r="C110" s="3330" t="s">
        <v>3233</v>
      </c>
      <c r="D110" s="3330" t="s">
        <v>3232</v>
      </c>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98.5</v>
      </c>
      <c r="E111" s="670">
        <f t="shared" ref="E111:M111" si="24">D111-$K36</f>
        <v>97</v>
      </c>
      <c r="F111" s="670">
        <f t="shared" si="24"/>
        <v>95.5</v>
      </c>
      <c r="G111" s="670">
        <f t="shared" si="24"/>
        <v>94</v>
      </c>
      <c r="H111" s="670">
        <f t="shared" si="24"/>
        <v>92.5</v>
      </c>
      <c r="I111" s="670">
        <f t="shared" si="24"/>
        <v>91</v>
      </c>
      <c r="J111" s="670">
        <f t="shared" si="24"/>
        <v>89.5</v>
      </c>
      <c r="K111" s="670">
        <f t="shared" si="24"/>
        <v>88</v>
      </c>
      <c r="L111" s="670">
        <f t="shared" si="24"/>
        <v>86.5</v>
      </c>
      <c r="M111" s="670">
        <f t="shared" si="24"/>
        <v>85</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8.5">
      <c r="A118" s="655" t="s">
        <v>544</v>
      </c>
      <c r="B118" s="656" t="s">
        <v>586</v>
      </c>
      <c r="C118" s="695" t="str">
        <f t="shared" ref="C118:L118" si="25">C119&amp;"(含)"&amp;"-"&amp;D119</f>
        <v>0(含)-30000</v>
      </c>
      <c r="D118" s="695" t="str">
        <f t="shared" si="25"/>
        <v>30000(含)-60000</v>
      </c>
      <c r="E118" s="695" t="str">
        <f t="shared" si="25"/>
        <v>60000(含)-</v>
      </c>
      <c r="F118" s="695" t="str">
        <f t="shared" si="25"/>
        <v>(含)-</v>
      </c>
      <c r="G118" s="695" t="str">
        <f t="shared" si="25"/>
        <v>(含)-</v>
      </c>
      <c r="H118" s="695" t="str">
        <f t="shared" si="25"/>
        <v>(含)-</v>
      </c>
      <c r="I118" s="695" t="str">
        <f t="shared" si="25"/>
        <v>(含)-</v>
      </c>
      <c r="J118" s="2778" t="str">
        <f t="shared" si="25"/>
        <v>(含)-</v>
      </c>
      <c r="K118" s="2778" t="str">
        <f t="shared" si="25"/>
        <v>(含)-</v>
      </c>
      <c r="L118" s="2779" t="str">
        <f t="shared" si="25"/>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v>30000</v>
      </c>
      <c r="E119" s="721">
        <v>60000</v>
      </c>
      <c r="F119" s="721"/>
      <c r="G119" s="721"/>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100</v>
      </c>
      <c r="D120" s="717">
        <v>101.5</v>
      </c>
      <c r="E120" s="691">
        <v>103</v>
      </c>
      <c r="F120" s="717"/>
      <c r="G120" s="691"/>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587</v>
      </c>
      <c r="C121" s="3330" t="s">
        <v>3252</v>
      </c>
      <c r="D121" s="3330" t="s">
        <v>3275</v>
      </c>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6">C122-$K41</f>
        <v>98.5</v>
      </c>
      <c r="E122" s="670">
        <f t="shared" si="26"/>
        <v>97</v>
      </c>
      <c r="F122" s="670">
        <f t="shared" si="26"/>
        <v>95.5</v>
      </c>
      <c r="G122" s="670">
        <f t="shared" si="26"/>
        <v>94</v>
      </c>
      <c r="H122" s="670">
        <f t="shared" si="26"/>
        <v>92.5</v>
      </c>
      <c r="I122" s="670">
        <f t="shared" si="26"/>
        <v>91</v>
      </c>
      <c r="J122" s="670">
        <f t="shared" si="26"/>
        <v>89.5</v>
      </c>
      <c r="K122" s="670">
        <f t="shared" si="26"/>
        <v>88</v>
      </c>
      <c r="L122" s="670">
        <f t="shared" si="26"/>
        <v>86.5</v>
      </c>
      <c r="M122" s="671">
        <f t="shared" si="26"/>
        <v>85</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588</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2409</v>
      </c>
      <c r="C125" s="3325" t="s">
        <v>2532</v>
      </c>
      <c r="D125" s="3325" t="s">
        <v>2533</v>
      </c>
      <c r="E125" s="3325" t="s">
        <v>2534</v>
      </c>
      <c r="F125" s="3325" t="s">
        <v>2535</v>
      </c>
      <c r="G125" s="3325" t="s">
        <v>2536</v>
      </c>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98</v>
      </c>
      <c r="E126" s="670">
        <f t="shared" ref="E126:M126" si="28">D126-$K43</f>
        <v>96</v>
      </c>
      <c r="F126" s="670">
        <f t="shared" si="28"/>
        <v>94</v>
      </c>
      <c r="G126" s="670">
        <f t="shared" si="28"/>
        <v>92</v>
      </c>
      <c r="H126" s="670">
        <f t="shared" si="28"/>
        <v>90</v>
      </c>
      <c r="I126" s="670">
        <f t="shared" si="28"/>
        <v>88</v>
      </c>
      <c r="J126" s="670">
        <f t="shared" si="28"/>
        <v>86</v>
      </c>
      <c r="K126" s="670">
        <f t="shared" si="28"/>
        <v>84</v>
      </c>
      <c r="L126" s="670">
        <f t="shared" si="28"/>
        <v>82</v>
      </c>
      <c r="M126" s="671">
        <f t="shared" si="28"/>
        <v>80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589</v>
      </c>
      <c r="C127" s="3329" t="s">
        <v>3273</v>
      </c>
      <c r="D127" s="3329" t="s">
        <v>3274</v>
      </c>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29">C128-$K44</f>
        <v>99</v>
      </c>
      <c r="E128" s="670">
        <f t="shared" si="29"/>
        <v>98</v>
      </c>
      <c r="F128" s="670">
        <f t="shared" si="29"/>
        <v>97</v>
      </c>
      <c r="G128" s="670">
        <f t="shared" si="29"/>
        <v>96</v>
      </c>
      <c r="H128" s="670">
        <f t="shared" si="29"/>
        <v>95</v>
      </c>
      <c r="I128" s="670">
        <f t="shared" si="29"/>
        <v>94</v>
      </c>
      <c r="J128" s="670">
        <f t="shared" si="29"/>
        <v>93</v>
      </c>
      <c r="K128" s="670">
        <f t="shared" si="29"/>
        <v>92</v>
      </c>
      <c r="L128" s="670">
        <f t="shared" si="29"/>
        <v>91</v>
      </c>
      <c r="M128" s="671">
        <f t="shared" si="29"/>
        <v>90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Normal="60" zoomScaleSheetLayoutView="100" workbookViewId="0">
      <selection activeCell="E63" sqref="E63"/>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26400</v>
      </c>
      <c r="E1" s="1353" t="s">
        <v>2411</v>
      </c>
      <c r="F1" s="2306"/>
      <c r="G1" s="1348"/>
      <c r="H1" s="1348"/>
      <c r="I1" s="1348"/>
      <c r="J1" s="1348"/>
      <c r="K1" s="2069"/>
      <c r="L1" s="1795" t="s">
        <v>2226</v>
      </c>
      <c r="M1" s="1796">
        <f>SUMPRODUCT((区片价!B5:B9=I2)*(区片价!C3:F3=E2)*(区片价!C5:F9))</f>
        <v>0</v>
      </c>
      <c r="N1" s="1797">
        <f>SUMPRODUCT((因素修正幅度!B5:B9=I2)*(因素修正幅度!C3:F3=E2)*(因素修正幅度!C5:F9))</f>
        <v>0</v>
      </c>
      <c r="O1" s="2069"/>
      <c r="P1" s="2069"/>
      <c r="Q1" s="2069"/>
      <c r="R1" s="2651" t="s">
        <v>2740</v>
      </c>
      <c r="S1" s="2651" t="s">
        <v>2741</v>
      </c>
      <c r="T1" s="2651" t="s">
        <v>2762</v>
      </c>
      <c r="U1" s="2651" t="s">
        <v>2763</v>
      </c>
      <c r="V1" s="2651" t="s">
        <v>2764</v>
      </c>
      <c r="W1" s="2069"/>
      <c r="X1" s="2069"/>
      <c r="Y1" s="2069"/>
      <c r="Z1" s="2069"/>
      <c r="AA1" s="2069"/>
      <c r="AB1" s="2069"/>
      <c r="AC1" s="2070"/>
    </row>
    <row r="2" spans="1:39" ht="15.75">
      <c r="A2" s="1353" t="s">
        <v>910</v>
      </c>
      <c r="B2" s="1024">
        <f ca="1">C26</f>
        <v>23541</v>
      </c>
      <c r="C2" s="1354" t="s">
        <v>911</v>
      </c>
      <c r="D2" s="1355" t="s">
        <v>912</v>
      </c>
      <c r="E2" s="1356" t="s">
        <v>1667</v>
      </c>
      <c r="F2" s="1355" t="s">
        <v>914</v>
      </c>
      <c r="G2" s="1579" t="str">
        <f>IF(E2="商业",项目基本情况!B43,IF(E2="办公",项目基本情况!C43,IF(E2="住宅",项目基本情况!D43,项目基本情况!E43)))</f>
        <v>七级</v>
      </c>
      <c r="H2" s="1355" t="s">
        <v>916</v>
      </c>
      <c r="I2" s="1580" t="str">
        <f>IF(E2="商业",项目基本情况!B44,IF(E2="办公",项目基本情况!C44,IF(E2="住宅",项目基本情况!D44,项目基本情况!E44)))</f>
        <v>Ⅶ-02</v>
      </c>
      <c r="J2" s="1357"/>
      <c r="K2" s="3230"/>
      <c r="L2" s="1798" t="s">
        <v>2227</v>
      </c>
      <c r="M2" s="1799">
        <f>SUMPRODUCT((区片价!B10:B28=I2)*(区片价!C3:F3=E2)*(区片价!C10:F28))</f>
        <v>0</v>
      </c>
      <c r="N2" s="1800">
        <f>SUMPRODUCT((因素修正幅度!B10:B28=I2)*(因素修正幅度!C3:F3=E2)*(因素修正幅度!C10:F28))</f>
        <v>0</v>
      </c>
      <c r="O2" s="3230"/>
      <c r="P2" s="2069"/>
      <c r="Q2" s="2069"/>
      <c r="R2" s="2652">
        <v>1</v>
      </c>
      <c r="S2" s="2652">
        <f>ROUND(IF(G3&gt;1,IF(R2&lt;7,SUMPRODUCT((B93:B98=R2)*(C92:N92=G2)*(C93:N98)),SUMIF(C92:N92,G2,C100:N100)),IF(R2&lt;7,SUMPRODUCT((B102:B107=R2)*(C92:N92=G2)*(C102:N107)),SUMIF(C92:N92,G2,C109:N109))),4)</f>
        <v>1.8629</v>
      </c>
      <c r="T2" s="2652">
        <f ca="1">ROUND($C$5*$C$18*$C$19*$C$20*S2*$C$24,0)</f>
        <v>14552</v>
      </c>
      <c r="U2" s="2641"/>
      <c r="V2" s="2652">
        <f ca="1">ROUND(T2*U2/10000,0)</f>
        <v>0</v>
      </c>
      <c r="W2" s="2069"/>
      <c r="X2" s="2069"/>
      <c r="Y2" s="2069"/>
      <c r="Z2" s="2069"/>
      <c r="AA2" s="2069"/>
      <c r="AB2" s="2069"/>
      <c r="AC2" s="2070"/>
    </row>
    <row r="3" spans="1:39" ht="15.75">
      <c r="A3" s="1358" t="s">
        <v>1677</v>
      </c>
      <c r="B3" s="1024">
        <f ca="1">ROUND(B2*10000/D1,0)</f>
        <v>8917</v>
      </c>
      <c r="C3" s="1354" t="s">
        <v>917</v>
      </c>
      <c r="D3" s="1355" t="s">
        <v>918</v>
      </c>
      <c r="E3" s="1359" t="s">
        <v>3220</v>
      </c>
      <c r="F3" s="1360" t="s">
        <v>3221</v>
      </c>
      <c r="G3" s="1025">
        <f>IF(F3="宗地容积率",'数据-汇总表'!I4,IF(F3="估价对象容积率",'数据-汇总表'!I6,'数据-汇总表'!I7))</f>
        <v>1.62</v>
      </c>
      <c r="H3" s="1361" t="s">
        <v>919</v>
      </c>
      <c r="I3" s="1026">
        <v>1</v>
      </c>
      <c r="J3" s="1357" t="s">
        <v>920</v>
      </c>
      <c r="K3" s="3230"/>
      <c r="L3" s="1798" t="s">
        <v>2228</v>
      </c>
      <c r="M3" s="1799">
        <f>SUMPRODUCT((区片价!B29:B48=I2)*(区片价!C3:F3=E2)*(区片价!C29:F48))</f>
        <v>0</v>
      </c>
      <c r="N3" s="1800">
        <f>SUMPRODUCT((因素修正幅度!B29:B48=I2)*(因素修正幅度!C3:F3=E2)*(因素修正幅度!C29:F48))</f>
        <v>0</v>
      </c>
      <c r="O3" s="3230"/>
      <c r="P3" s="2069"/>
      <c r="Q3" s="2069"/>
      <c r="R3" s="2652">
        <v>2</v>
      </c>
      <c r="S3" s="2652">
        <f>ROUND(IF(G3&gt;1,IF(R3&lt;7,SUMPRODUCT((B93:B98=R3)*(C92:N92=G2)*(C93:N98)),SUMIF(C92:N92,G2,C100:N100)),IF(R3&lt;7,SUMPRODUCT((B102:B107=R3)*(C92:N92=G2)*(C102:N107)),SUMIF(C92:N92,G2,C109:N109))),4)</f>
        <v>1.3371999999999999</v>
      </c>
      <c r="T3" s="2652">
        <f t="shared" ref="T3:T16" ca="1" si="0">ROUND($C$5*$C$18*$C$19*$C$20*S3*$C$24,0)</f>
        <v>10445</v>
      </c>
      <c r="U3" s="2641"/>
      <c r="V3" s="2652">
        <f t="shared" ref="V3:V16" ca="1" si="1">ROUND(T3*U3/10000,0)</f>
        <v>0</v>
      </c>
      <c r="W3" s="2069"/>
      <c r="X3" s="2069"/>
      <c r="Y3" s="2069"/>
      <c r="Z3" s="2069"/>
      <c r="AA3" s="2069"/>
      <c r="AB3" s="2069"/>
      <c r="AC3" s="2070"/>
    </row>
    <row r="4" spans="1:39" ht="28.5">
      <c r="A4" s="1804" t="s">
        <v>2267</v>
      </c>
      <c r="B4" s="2307" t="e">
        <f ca="1">ROUND(B2*10000/F1,0)</f>
        <v>#DIV/0!</v>
      </c>
      <c r="C4" s="1807" t="s">
        <v>2242</v>
      </c>
      <c r="D4" s="1807" t="e">
        <f ca="1">ROUND(B2/(F1/666.67),0)</f>
        <v>#DIV/0!</v>
      </c>
      <c r="E4" s="1807" t="s">
        <v>2243</v>
      </c>
      <c r="F4" s="1805"/>
      <c r="G4" s="1805"/>
      <c r="H4" s="1805"/>
      <c r="I4" s="1805"/>
      <c r="J4" s="1806"/>
      <c r="K4" s="3231"/>
      <c r="L4" s="1798" t="s">
        <v>2229</v>
      </c>
      <c r="M4" s="1799">
        <f>SUMPRODUCT((区片价!B49:B75=I2)*(区片价!C3:F3=E2)*(区片价!C49:F75))</f>
        <v>0</v>
      </c>
      <c r="N4" s="1800">
        <f>SUMPRODUCT((因素修正幅度!B49:B75=I2)*(因素修正幅度!C3:F3=E2)*(因素修正幅度!C49:F75))</f>
        <v>0</v>
      </c>
      <c r="O4" s="3231"/>
      <c r="P4" s="2069"/>
      <c r="Q4" s="2069"/>
      <c r="R4" s="2652">
        <v>3</v>
      </c>
      <c r="S4" s="2652">
        <f>ROUND(IF(G3&gt;1,IF(R4&lt;7,SUMPRODUCT((B93:B98=R4)*(C92:N92=G2)*(C93:N98)),SUMIF(C92:N92,G2,C100:N100)),IF(R4&lt;7,SUMPRODUCT((B102:B107=R4)*(C92:N92=G2)*(C102:N107)),SUMIF(C92:N92,G2,C109:N109))),4)</f>
        <v>1.0788</v>
      </c>
      <c r="T4" s="2652">
        <f t="shared" ca="1" si="0"/>
        <v>8427</v>
      </c>
      <c r="U4" s="2641"/>
      <c r="V4" s="2652">
        <f t="shared" ca="1" si="1"/>
        <v>0</v>
      </c>
      <c r="W4" s="2069"/>
      <c r="X4" s="2069"/>
      <c r="Y4" s="2069"/>
      <c r="Z4" s="2069"/>
      <c r="AA4" s="2069"/>
      <c r="AB4" s="2069"/>
      <c r="AC4" s="2070"/>
    </row>
    <row r="5" spans="1:39" s="1368" customFormat="1" ht="15.75" thickBot="1">
      <c r="A5" s="1565" t="s">
        <v>1813</v>
      </c>
      <c r="B5" s="1362" t="s">
        <v>921</v>
      </c>
      <c r="C5" s="1027">
        <f>ROUND(IF(E2="商业",C6*C7+C16,(IF(E2="住宅",C6*C12+C16,C6+C16))),0)</f>
        <v>7370</v>
      </c>
      <c r="D5" s="2791">
        <f>ROUND(C6+C16,0)</f>
        <v>7370</v>
      </c>
      <c r="E5" s="2791"/>
      <c r="F5" s="1363"/>
      <c r="G5" s="1364"/>
      <c r="H5" s="1364"/>
      <c r="I5" s="1364"/>
      <c r="J5" s="1365"/>
      <c r="K5" s="3232"/>
      <c r="L5" s="1798" t="s">
        <v>2230</v>
      </c>
      <c r="M5" s="1799">
        <f>SUMPRODUCT((区片价!B76:B109=I2)*(区片价!C3:F3=E2)*(区片价!C76:F109))</f>
        <v>0</v>
      </c>
      <c r="N5" s="1800">
        <f>SUMPRODUCT((因素修正幅度!B76:B109=I2)*(因素修正幅度!C3:F3=E2)*(因素修正幅度!C76:F109))</f>
        <v>0</v>
      </c>
      <c r="O5" s="3232"/>
      <c r="P5" s="3235"/>
      <c r="Q5" s="2069"/>
      <c r="R5" s="2652">
        <v>4</v>
      </c>
      <c r="S5" s="2652">
        <f>ROUND(IF(G3&gt;1,IF(R5&lt;7,SUMPRODUCT((B93:B98=R5)*(C92:N92=G2)*(C93:N98)),SUMIF(C92:N92,G2,C100:N100)),IF(R5&lt;7,SUMPRODUCT((B102:B107=R5)*(C92:N92=G2)*(C102:N107)),SUMIF(C92:N92,G2,C109:N109))),4)</f>
        <v>0.86560000000000004</v>
      </c>
      <c r="T5" s="2652">
        <f t="shared" ca="1" si="0"/>
        <v>6761</v>
      </c>
      <c r="U5" s="2641"/>
      <c r="V5" s="2652">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921</v>
      </c>
      <c r="C6" s="1028">
        <f>SUMIF(L1:L12,基准地价!G2,M1:M12)</f>
        <v>7370</v>
      </c>
      <c r="D6" s="1370" t="s">
        <v>1685</v>
      </c>
      <c r="E6" s="1371"/>
      <c r="F6" s="1371"/>
      <c r="G6" s="1372"/>
      <c r="H6" s="1372"/>
      <c r="I6" s="1372"/>
      <c r="J6" s="1373"/>
      <c r="K6" s="3233"/>
      <c r="L6" s="1798" t="s">
        <v>2231</v>
      </c>
      <c r="M6" s="1799">
        <f>SUMPRODUCT((区片价!B110:B157=I2)*(区片价!C3:F3=E2)*(区片价!C110:F157))</f>
        <v>0</v>
      </c>
      <c r="N6" s="1800">
        <f>SUMPRODUCT((因素修正幅度!B110:B157=I2)*(因素修正幅度!C3:F3=E2)*(因素修正幅度!C110:F157))</f>
        <v>0</v>
      </c>
      <c r="O6" s="3233"/>
      <c r="P6" s="3236"/>
      <c r="Q6" s="2069"/>
      <c r="R6" s="2652">
        <v>5</v>
      </c>
      <c r="S6" s="2652">
        <f>ROUND(IF(G3&gt;1,IF(R6&lt;7,SUMPRODUCT((B93:B98=R6)*(C92:N92=G2)*(C93:N98)),SUMIF(C92:N92,G2,C100:N100)),IF(R6&lt;7,SUMPRODUCT((B102:B107=R6)*(C92:N92=G2)*(C102:N107)),SUMIF(C92:N92,G2,C109:N109))),4)</f>
        <v>0.73709999999999998</v>
      </c>
      <c r="T6" s="2652">
        <f t="shared" ca="1" si="0"/>
        <v>5758</v>
      </c>
      <c r="U6" s="2641"/>
      <c r="V6" s="2652">
        <f t="shared" ca="1" si="1"/>
        <v>0</v>
      </c>
      <c r="W6" s="2069"/>
      <c r="X6" s="2069"/>
      <c r="Y6" s="2069"/>
      <c r="Z6" s="2069"/>
      <c r="AA6" s="2069"/>
      <c r="AB6" s="2069"/>
      <c r="AC6" s="2071"/>
      <c r="AD6" s="1366"/>
      <c r="AE6" s="1366"/>
      <c r="AF6" s="1366"/>
      <c r="AG6" s="1366"/>
      <c r="AH6" s="1366"/>
      <c r="AI6" s="1366"/>
      <c r="AJ6" s="1367"/>
    </row>
    <row r="7" spans="1:39" ht="24" hidden="1">
      <c r="A7" s="3578" t="str">
        <f>IF(E2="商业",IF(C8="不临58条商业街","",2),"")</f>
        <v/>
      </c>
      <c r="B7" s="1374" t="s">
        <v>922</v>
      </c>
      <c r="C7" s="1029" t="e">
        <f>IF(C8="不临58条商业街",1,ROUND(1+(1.6*E8+1.2*E9+0.8*E10+0.4*E11)*C9,4))</f>
        <v>#DIV/0!</v>
      </c>
      <c r="D7" s="1375" t="s">
        <v>923</v>
      </c>
      <c r="E7" s="1030"/>
      <c r="F7" s="1376"/>
      <c r="G7" s="1377"/>
      <c r="H7" s="1377"/>
      <c r="I7" s="1377"/>
      <c r="J7" s="1378"/>
      <c r="K7" s="3233"/>
      <c r="L7" s="1798" t="s">
        <v>2232</v>
      </c>
      <c r="M7" s="1799">
        <f>SUMPRODUCT((区片价!B158:B205=I2)*(区片价!C3:F3=E2)*(区片价!C158:F205))</f>
        <v>7370</v>
      </c>
      <c r="N7" s="1800">
        <f>SUMPRODUCT((因素修正幅度!B158:B205=I2)*(因素修正幅度!C3:F3=E2)*(因素修正幅度!C158:F205))</f>
        <v>0.13</v>
      </c>
      <c r="O7" s="3233"/>
      <c r="P7" s="3236"/>
      <c r="Q7" s="2069"/>
      <c r="R7" s="2652">
        <v>6</v>
      </c>
      <c r="S7" s="2652">
        <f>ROUND(IF(G3&gt;1,IF(R7&lt;7,SUMPRODUCT((B93:B98=R7)*(C92:N92=G2)*(C93:N98)),SUMIF(C92:N92,G2,C100:N100)),IF(R7&lt;7,SUMPRODUCT((B102:B107=R7)*(C92:N92=G2)*(C102:N107)),SUMIF(C92:N92,G2,C109:N109))),4)</f>
        <v>0.6482</v>
      </c>
      <c r="T7" s="2652">
        <f t="shared" ca="1" si="0"/>
        <v>5063</v>
      </c>
      <c r="U7" s="2641"/>
      <c r="V7" s="2652">
        <f t="shared" ca="1" si="1"/>
        <v>0</v>
      </c>
      <c r="W7" s="2650" t="s">
        <v>2743</v>
      </c>
      <c r="X7" s="2642" t="str">
        <f>G2</f>
        <v>七级</v>
      </c>
      <c r="Y7" s="2642" t="s">
        <v>2744</v>
      </c>
      <c r="Z7" s="2643">
        <f>G3</f>
        <v>1.62</v>
      </c>
      <c r="AA7" s="2072"/>
      <c r="AB7" s="2072"/>
      <c r="AC7" s="2073"/>
      <c r="AD7" s="2644"/>
      <c r="AE7" s="2644"/>
      <c r="AF7" s="2644"/>
      <c r="AG7" s="2644"/>
      <c r="AH7" s="2644"/>
      <c r="AI7" s="2644"/>
      <c r="AJ7" s="2645"/>
    </row>
    <row r="8" spans="1:39" ht="15" hidden="1">
      <c r="A8" s="3579"/>
      <c r="B8" s="1361" t="s">
        <v>924</v>
      </c>
      <c r="C8" s="1467"/>
      <c r="D8" s="1031" t="s">
        <v>925</v>
      </c>
      <c r="E8" s="1032" t="e">
        <f>ROUND(C11/E7,4)</f>
        <v>#DIV/0!</v>
      </c>
      <c r="F8" s="1379" t="s">
        <v>926</v>
      </c>
      <c r="G8" s="1380"/>
      <c r="H8" s="1380"/>
      <c r="I8" s="1380"/>
      <c r="J8" s="1381"/>
      <c r="K8" s="3233"/>
      <c r="L8" s="1798" t="s">
        <v>2233</v>
      </c>
      <c r="M8" s="1799">
        <f>SUMPRODUCT((区片价!B206:B244=I2)*(区片价!C3:F3=E2)*(区片价!C206:F244))</f>
        <v>0</v>
      </c>
      <c r="N8" s="1800">
        <f>SUMPRODUCT((因素修正幅度!B206:B244=I2)*(因素修正幅度!C3:F3=E2)*(因素修正幅度!C206:F244))</f>
        <v>0</v>
      </c>
      <c r="O8" s="3233"/>
      <c r="P8" s="2069"/>
      <c r="Q8" s="2069"/>
      <c r="R8" s="2652">
        <v>7</v>
      </c>
      <c r="S8" s="2641"/>
      <c r="T8" s="2652">
        <f t="shared" ca="1" si="0"/>
        <v>0</v>
      </c>
      <c r="U8" s="2641"/>
      <c r="V8" s="2652">
        <f t="shared" ca="1" si="1"/>
        <v>0</v>
      </c>
      <c r="W8" s="3565" t="s">
        <v>2761</v>
      </c>
      <c r="X8" s="3566"/>
      <c r="Y8" s="1762" t="s">
        <v>2745</v>
      </c>
      <c r="Z8" s="1762" t="s">
        <v>2746</v>
      </c>
      <c r="AA8" s="1762" t="s">
        <v>2747</v>
      </c>
      <c r="AB8" s="1762" t="s">
        <v>2748</v>
      </c>
      <c r="AC8" s="1762" t="s">
        <v>2749</v>
      </c>
      <c r="AD8" s="1762" t="s">
        <v>2750</v>
      </c>
      <c r="AE8" s="1762" t="s">
        <v>2751</v>
      </c>
      <c r="AF8" s="1762" t="s">
        <v>2752</v>
      </c>
      <c r="AG8" s="1762" t="s">
        <v>2753</v>
      </c>
      <c r="AH8" s="1762" t="s">
        <v>2754</v>
      </c>
      <c r="AI8" s="1762" t="s">
        <v>2755</v>
      </c>
      <c r="AJ8" s="1762" t="s">
        <v>2756</v>
      </c>
    </row>
    <row r="9" spans="1:39" ht="15" hidden="1">
      <c r="A9" s="3579"/>
      <c r="B9" s="1361" t="s">
        <v>927</v>
      </c>
      <c r="C9" s="1033">
        <f>SUMIF(修正!C59:C119,C8,修正!E59:E119)</f>
        <v>0</v>
      </c>
      <c r="D9" s="1034" t="s">
        <v>928</v>
      </c>
      <c r="E9" s="1034" t="e">
        <f>ROUND(C11/E7,4)</f>
        <v>#DIV/0!</v>
      </c>
      <c r="F9" s="1379" t="s">
        <v>929</v>
      </c>
      <c r="G9" s="1380"/>
      <c r="H9" s="1380"/>
      <c r="I9" s="1380"/>
      <c r="J9" s="1381"/>
      <c r="K9" s="3233"/>
      <c r="L9" s="1798" t="s">
        <v>2234</v>
      </c>
      <c r="M9" s="1799">
        <f>SUMPRODUCT((区片价!B245:B289=I2)*(区片价!C3:F3=E2)*(区片价!C245:F289))</f>
        <v>0</v>
      </c>
      <c r="N9" s="1800">
        <f>SUMPRODUCT((因素修正幅度!B245:B289=I2)*(因素修正幅度!C3:F3=E2)*(因素修正幅度!C245:F289))</f>
        <v>0</v>
      </c>
      <c r="O9" s="3233"/>
      <c r="P9" s="2069"/>
      <c r="Q9" s="2069"/>
      <c r="R9" s="2652">
        <v>8</v>
      </c>
      <c r="S9" s="2641"/>
      <c r="T9" s="2652">
        <f t="shared" ca="1" si="0"/>
        <v>0</v>
      </c>
      <c r="U9" s="2641"/>
      <c r="V9" s="2652">
        <f t="shared" ca="1" si="1"/>
        <v>0</v>
      </c>
      <c r="W9" s="3564" t="s">
        <v>2757</v>
      </c>
      <c r="X9" s="2646" t="s">
        <v>2758</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hidden="1">
      <c r="A10" s="3579"/>
      <c r="B10" s="1361" t="s">
        <v>930</v>
      </c>
      <c r="C10" s="1034">
        <f>SUMIF(修正!C59:C119,C8,修正!F59:F119)</f>
        <v>0</v>
      </c>
      <c r="D10" s="1034" t="s">
        <v>931</v>
      </c>
      <c r="E10" s="1034" t="e">
        <f>ROUND(C11/E7,4)</f>
        <v>#DIV/0!</v>
      </c>
      <c r="F10" s="1379" t="s">
        <v>932</v>
      </c>
      <c r="G10" s="1380"/>
      <c r="H10" s="1380"/>
      <c r="I10" s="1380"/>
      <c r="J10" s="1381"/>
      <c r="K10" s="3233"/>
      <c r="L10" s="1798" t="s">
        <v>2235</v>
      </c>
      <c r="M10" s="1799">
        <f>SUMPRODUCT((区片价!B290:B316=I2)*(区片价!C3:F3=E2)*(区片价!C290:F316))</f>
        <v>0</v>
      </c>
      <c r="N10" s="1800">
        <f>SUMPRODUCT((因素修正幅度!B290:B316=I2)*(因素修正幅度!C3:F3=E2)*(因素修正幅度!C290:F316))</f>
        <v>0</v>
      </c>
      <c r="O10" s="3233"/>
      <c r="P10" s="2069"/>
      <c r="Q10" s="2069"/>
      <c r="R10" s="2652">
        <v>9</v>
      </c>
      <c r="S10" s="2641"/>
      <c r="T10" s="2652">
        <f t="shared" ca="1" si="0"/>
        <v>0</v>
      </c>
      <c r="U10" s="2641"/>
      <c r="V10" s="2652">
        <f t="shared" ca="1" si="1"/>
        <v>0</v>
      </c>
      <c r="W10" s="3564"/>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hidden="1" customHeight="1" thickBot="1">
      <c r="A11" s="3579"/>
      <c r="B11" s="1382" t="s">
        <v>933</v>
      </c>
      <c r="C11" s="1035">
        <f>C10/4</f>
        <v>0</v>
      </c>
      <c r="D11" s="1035" t="s">
        <v>934</v>
      </c>
      <c r="E11" s="1035" t="e">
        <f>ROUND(C11/E7,4)</f>
        <v>#DIV/0!</v>
      </c>
      <c r="F11" s="1383" t="s">
        <v>935</v>
      </c>
      <c r="G11" s="1384"/>
      <c r="H11" s="1384"/>
      <c r="I11" s="1384"/>
      <c r="J11" s="1385"/>
      <c r="K11" s="3233"/>
      <c r="L11" s="1798" t="s">
        <v>2236</v>
      </c>
      <c r="M11" s="1799">
        <f>SUMPRODUCT((区片价!B317:B337=I2)*(区片价!C3:F3=E2)*(区片价!C317:F337))</f>
        <v>0</v>
      </c>
      <c r="N11" s="1800">
        <f>SUMPRODUCT((因素修正幅度!B317:B337=I2)*(因素修正幅度!C3:F3=E2)*(因素修正幅度!C317:F337))</f>
        <v>0</v>
      </c>
      <c r="O11" s="3233"/>
      <c r="P11" s="2069"/>
      <c r="Q11" s="2069"/>
      <c r="R11" s="2652">
        <v>10</v>
      </c>
      <c r="S11" s="2641"/>
      <c r="T11" s="2652">
        <f t="shared" ca="1" si="0"/>
        <v>0</v>
      </c>
      <c r="U11" s="2641"/>
      <c r="V11" s="2652">
        <f t="shared" ca="1" si="1"/>
        <v>0</v>
      </c>
      <c r="W11" s="3564" t="s">
        <v>2759</v>
      </c>
      <c r="X11" s="1034" t="s">
        <v>2744</v>
      </c>
      <c r="Y11" s="1580">
        <f>$G$3</f>
        <v>1.62</v>
      </c>
      <c r="Z11" s="1580">
        <f t="shared" ref="Z11:AJ11" si="3">$G$3</f>
        <v>1.62</v>
      </c>
      <c r="AA11" s="1580">
        <f t="shared" si="3"/>
        <v>1.62</v>
      </c>
      <c r="AB11" s="1580">
        <f t="shared" si="3"/>
        <v>1.62</v>
      </c>
      <c r="AC11" s="1580">
        <f t="shared" si="3"/>
        <v>1.62</v>
      </c>
      <c r="AD11" s="1580">
        <f t="shared" si="3"/>
        <v>1.62</v>
      </c>
      <c r="AE11" s="1580">
        <f t="shared" si="3"/>
        <v>1.62</v>
      </c>
      <c r="AF11" s="1580">
        <f t="shared" si="3"/>
        <v>1.62</v>
      </c>
      <c r="AG11" s="1580">
        <f t="shared" si="3"/>
        <v>1.62</v>
      </c>
      <c r="AH11" s="1580">
        <f t="shared" si="3"/>
        <v>1.62</v>
      </c>
      <c r="AI11" s="1580">
        <f t="shared" si="3"/>
        <v>1.62</v>
      </c>
      <c r="AJ11" s="1580">
        <f t="shared" si="3"/>
        <v>1.62</v>
      </c>
    </row>
    <row r="12" spans="1:39" ht="25.5" hidden="1" thickBot="1">
      <c r="A12" s="3578" t="s">
        <v>1861</v>
      </c>
      <c r="B12" s="1386" t="s">
        <v>936</v>
      </c>
      <c r="C12" s="1029">
        <f>ROUND(C15*D15*E15*F15*G15*H15*I15*J15,4)</f>
        <v>1</v>
      </c>
      <c r="D12" s="1387" t="s">
        <v>937</v>
      </c>
      <c r="E12" s="1388"/>
      <c r="F12" s="1388"/>
      <c r="G12" s="1389"/>
      <c r="H12" s="1389"/>
      <c r="I12" s="1389"/>
      <c r="J12" s="1390"/>
      <c r="K12" s="3233"/>
      <c r="L12" s="1801" t="s">
        <v>2237</v>
      </c>
      <c r="M12" s="1802">
        <f>SUMPRODUCT((区片价!B338:B344=I2)*(区片价!C3:F3=E2)*(区片价!C338:F344))</f>
        <v>0</v>
      </c>
      <c r="N12" s="1803">
        <f>SUMPRODUCT((因素修正幅度!B338:B344=I2)*(因素修正幅度!C3:F3=E2)*(因素修正幅度!C338:F344))</f>
        <v>0</v>
      </c>
      <c r="O12" s="3233"/>
      <c r="P12" s="2069"/>
      <c r="Q12" s="2069"/>
      <c r="R12" s="2652">
        <v>11</v>
      </c>
      <c r="S12" s="2641"/>
      <c r="T12" s="2652">
        <f t="shared" ca="1" si="0"/>
        <v>0</v>
      </c>
      <c r="U12" s="2641"/>
      <c r="V12" s="2652">
        <f t="shared" ca="1" si="1"/>
        <v>0</v>
      </c>
      <c r="W12" s="3564"/>
      <c r="X12" s="2649" t="s">
        <v>2760</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hidden="1">
      <c r="A13" s="3580"/>
      <c r="B13" s="1391" t="s">
        <v>1686</v>
      </c>
      <c r="C13" s="1392" t="s">
        <v>1687</v>
      </c>
      <c r="D13" s="1071" t="s">
        <v>1688</v>
      </c>
      <c r="E13" s="1071" t="s">
        <v>1689</v>
      </c>
      <c r="F13" s="1393" t="s">
        <v>938</v>
      </c>
      <c r="G13" s="1394" t="s">
        <v>1632</v>
      </c>
      <c r="H13" s="1395" t="s">
        <v>1632</v>
      </c>
      <c r="I13" s="1396" t="s">
        <v>1632</v>
      </c>
      <c r="J13" s="1397" t="s">
        <v>1632</v>
      </c>
      <c r="K13" s="2841"/>
      <c r="L13" s="2841"/>
      <c r="M13" s="2841"/>
      <c r="N13" s="2841"/>
      <c r="O13" s="2841"/>
      <c r="P13" s="2069"/>
      <c r="Q13" s="2069"/>
      <c r="R13" s="2652">
        <v>12</v>
      </c>
      <c r="S13" s="2641"/>
      <c r="T13" s="2652">
        <f t="shared" ca="1" si="0"/>
        <v>0</v>
      </c>
      <c r="U13" s="2641"/>
      <c r="V13" s="2652">
        <f t="shared" ca="1" si="1"/>
        <v>0</v>
      </c>
      <c r="W13" s="3564"/>
      <c r="X13" s="2649"/>
      <c r="Y13" s="2648">
        <f>(-0.163*(Y12^2)-0.59*Y12+7617)*(10^(-4))/Y11</f>
        <v>0.47018518518518521</v>
      </c>
      <c r="Z13" s="2648">
        <f t="shared" ref="Z13:AJ13" si="5">(-0.163*(Z12^2)-0.59*Z12+7617)*(10^(-4))/Z11</f>
        <v>0.47018518518518521</v>
      </c>
      <c r="AA13" s="2648">
        <f t="shared" si="5"/>
        <v>0.47018518518518521</v>
      </c>
      <c r="AB13" s="2648">
        <f t="shared" si="5"/>
        <v>0.47018518518518521</v>
      </c>
      <c r="AC13" s="2648">
        <f t="shared" si="5"/>
        <v>0.47018518518518521</v>
      </c>
      <c r="AD13" s="2648">
        <f t="shared" si="5"/>
        <v>0.47018518518518521</v>
      </c>
      <c r="AE13" s="2648">
        <f t="shared" si="5"/>
        <v>0.47018518518518521</v>
      </c>
      <c r="AF13" s="2648">
        <f t="shared" si="5"/>
        <v>0.47018518518518521</v>
      </c>
      <c r="AG13" s="2648">
        <f t="shared" si="5"/>
        <v>0.47018518518518521</v>
      </c>
      <c r="AH13" s="2648">
        <f t="shared" si="5"/>
        <v>0.47018518518518521</v>
      </c>
      <c r="AI13" s="2648">
        <f t="shared" si="5"/>
        <v>0.47018518518518521</v>
      </c>
      <c r="AJ13" s="2648">
        <f t="shared" si="5"/>
        <v>0.47018518518518521</v>
      </c>
    </row>
    <row r="14" spans="1:39" ht="12.75" hidden="1" customHeight="1">
      <c r="A14" s="3580"/>
      <c r="B14" s="1398"/>
      <c r="C14" s="1399"/>
      <c r="D14" s="1400"/>
      <c r="E14" s="1400"/>
      <c r="F14" s="1401"/>
      <c r="G14" s="1402" t="s">
        <v>939</v>
      </c>
      <c r="H14" s="1403"/>
      <c r="I14" s="1404"/>
      <c r="J14" s="1405"/>
      <c r="K14" s="3234"/>
      <c r="L14" s="3234"/>
      <c r="M14" s="3234"/>
      <c r="N14" s="3234"/>
      <c r="O14" s="3234"/>
      <c r="P14" s="2069"/>
      <c r="Q14" s="2069"/>
      <c r="R14" s="2652">
        <v>13</v>
      </c>
      <c r="S14" s="2641"/>
      <c r="T14" s="2652">
        <f t="shared" ca="1" si="0"/>
        <v>0</v>
      </c>
      <c r="U14" s="2641"/>
      <c r="V14" s="2652">
        <f t="shared" ca="1" si="1"/>
        <v>0</v>
      </c>
      <c r="W14" s="2069"/>
      <c r="X14" s="2069"/>
      <c r="Y14" s="2069"/>
      <c r="Z14" s="2069"/>
      <c r="AA14" s="2069"/>
      <c r="AB14" s="2069"/>
      <c r="AC14" s="2070"/>
    </row>
    <row r="15" spans="1:39" ht="13.5" hidden="1" customHeight="1" thickBot="1">
      <c r="A15" s="3581"/>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f t="shared" ca="1" si="0"/>
        <v>0</v>
      </c>
      <c r="U15" s="2641"/>
      <c r="V15" s="2652">
        <f t="shared" ca="1" si="1"/>
        <v>0</v>
      </c>
      <c r="W15" s="2069"/>
      <c r="X15" s="2069"/>
      <c r="Y15" s="2069"/>
      <c r="Z15" s="2069"/>
      <c r="AA15" s="2069"/>
      <c r="AB15" s="2069"/>
      <c r="AC15" s="2070"/>
    </row>
    <row r="16" spans="1:39" ht="24.6" customHeight="1">
      <c r="A16" s="3578" t="s">
        <v>1828</v>
      </c>
      <c r="B16" s="1374" t="s">
        <v>940</v>
      </c>
      <c r="C16" s="1038">
        <f>ROUND(IF(F17="与级别开发程度一致",0,(G17-E17)/C17),0)</f>
        <v>0</v>
      </c>
      <c r="D16" s="3572" t="s">
        <v>944</v>
      </c>
      <c r="E16" s="3573"/>
      <c r="F16" s="3572" t="s">
        <v>941</v>
      </c>
      <c r="G16" s="3573"/>
      <c r="H16" s="1406" t="s">
        <v>3009</v>
      </c>
      <c r="I16" s="1406" t="s">
        <v>3010</v>
      </c>
      <c r="J16" s="1406" t="s">
        <v>3011</v>
      </c>
      <c r="K16" s="1406" t="s">
        <v>3239</v>
      </c>
      <c r="L16" s="1406" t="s">
        <v>3240</v>
      </c>
      <c r="M16" s="1406" t="s">
        <v>3241</v>
      </c>
      <c r="N16" s="1406" t="s">
        <v>3242</v>
      </c>
      <c r="O16" s="2851" t="s">
        <v>3243</v>
      </c>
      <c r="P16" s="2069"/>
      <c r="Q16" s="2072"/>
      <c r="R16" s="2652">
        <v>15</v>
      </c>
      <c r="S16" s="2641"/>
      <c r="T16" s="2652">
        <f t="shared" ca="1" si="0"/>
        <v>0</v>
      </c>
      <c r="U16" s="2641"/>
      <c r="V16" s="2652">
        <f t="shared" ca="1" si="1"/>
        <v>0</v>
      </c>
      <c r="W16" s="2072"/>
      <c r="X16" s="2072"/>
      <c r="Y16" s="2072"/>
      <c r="Z16" s="2072"/>
      <c r="AA16" s="2072"/>
      <c r="AB16" s="2072"/>
      <c r="AC16" s="2073"/>
    </row>
    <row r="17" spans="1:40" ht="24.75" thickBot="1">
      <c r="A17" s="3582"/>
      <c r="B17" s="2852" t="s">
        <v>943</v>
      </c>
      <c r="C17" s="2853">
        <f>SUMPRODUCT((修正!A2:A5=E2)*(修正!B1:M1=G2)*(修正!B2:M5))</f>
        <v>2.5</v>
      </c>
      <c r="D17" s="2854" t="str">
        <f>IF(OR(G2="八级",G2="九级",G2="十级",G2="十一级",G2="十二级"),"五通一平","七通一平")</f>
        <v>七通一平</v>
      </c>
      <c r="E17" s="2844">
        <f>SUMPRODUCT((修正!B1:M1=G2)*(修正!B15:M15))</f>
        <v>300</v>
      </c>
      <c r="F17" s="2845" t="s">
        <v>3238</v>
      </c>
      <c r="G17" s="2844">
        <f>SUM(H17:O17)</f>
        <v>300</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50</v>
      </c>
      <c r="N17" s="1037">
        <f>SUMPRODUCT((七通一平=N16)*(修正!B1:M1=G2)*(修正!B6:M14))</f>
        <v>40</v>
      </c>
      <c r="O17" s="2855">
        <f>SUMPRODUCT((七通一平=O16)*(修正!B1:M1=G2)*(修正!B6:M14))</f>
        <v>15</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7" t="s">
        <v>945</v>
      </c>
      <c r="C18" s="2848">
        <f>SUMIF(修正!C18:C39,E3,修正!E18:E39)</f>
        <v>0.9</v>
      </c>
      <c r="D18" s="2849"/>
      <c r="E18" s="2850"/>
      <c r="F18" s="2833"/>
      <c r="G18" s="2832"/>
      <c r="H18" s="2832"/>
      <c r="I18" s="2832"/>
      <c r="J18" s="2840"/>
      <c r="K18" s="3232"/>
      <c r="L18" s="2832"/>
      <c r="M18" s="2832"/>
      <c r="N18" s="2832"/>
      <c r="O18" s="2832"/>
      <c r="P18" s="3237"/>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946</v>
      </c>
      <c r="C19" s="1039">
        <f>ROUND(IF(H19="按公示增长率计算",SUMPRODUCT((地价!A3:A33=YEAR(G19)&amp;"-"&amp;ROUNDUP(MONTH(G19)/3,0))*(地价!X2:AB2=E2)*(地价!X3:AB33)),IF(H19="地价指数",M20/M19,(1+I19)^O19)),4)</f>
        <v>1.3420000000000001</v>
      </c>
      <c r="D19" s="1413" t="s">
        <v>947</v>
      </c>
      <c r="E19" s="1040">
        <v>41640</v>
      </c>
      <c r="F19" s="1413" t="s">
        <v>948</v>
      </c>
      <c r="G19" s="1041">
        <f>'数据-取费表'!B2</f>
        <v>44202</v>
      </c>
      <c r="H19" s="1414" t="s">
        <v>2954</v>
      </c>
      <c r="I19" s="2502" t="str">
        <f>IF(H19="季度增幅（自定义）",SUMIF(N21:N24,E2,O21:O24),"")</f>
        <v/>
      </c>
      <c r="J19" s="1410"/>
      <c r="K19" s="3232"/>
      <c r="L19" s="2751" t="s">
        <v>2819</v>
      </c>
      <c r="M19" s="2752">
        <f>ROUND(SUMIF(地价!B2:F2,E2,地价!B33:F33),0)</f>
        <v>258</v>
      </c>
      <c r="N19" s="2504" t="s">
        <v>1666</v>
      </c>
      <c r="O19" s="2503">
        <f>ROUNDDOWN(DATEDIF(E19,G19,"M")/3,0)</f>
        <v>28</v>
      </c>
      <c r="P19" s="2073"/>
      <c r="Q19" s="2640"/>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961</v>
      </c>
      <c r="C20" s="2498">
        <f ca="1">ROUND(POWER(1+G20,J20-I20)*(POWER(1+G20,I20)-1)/(POWER(1+G20,J20)-1),4)</f>
        <v>0.90280000000000005</v>
      </c>
      <c r="D20" s="2499" t="s">
        <v>962</v>
      </c>
      <c r="E20" s="2781">
        <f ca="1">存贷款利率!I4/100</f>
        <v>4.3499999999999997E-2</v>
      </c>
      <c r="F20" s="2499" t="s">
        <v>963</v>
      </c>
      <c r="G20" s="2500">
        <f ca="1">SUMIF(M26:P26,E2,M28:P28)</f>
        <v>5.1999999999999998E-2</v>
      </c>
      <c r="H20" s="2499" t="s">
        <v>964</v>
      </c>
      <c r="I20" s="2495">
        <f>SUMIF('数据-取费表'!C6:C15,E2,'数据-取费表'!F6:F15)/COUNTIF('数据-取费表'!C6:C15,E2)</f>
        <v>35.1</v>
      </c>
      <c r="J20" s="2501">
        <f>IF(E2="住宅",70,IF(E2="商业",40,50))</f>
        <v>50</v>
      </c>
      <c r="K20" s="2842"/>
      <c r="L20" s="2753" t="s">
        <v>2820</v>
      </c>
      <c r="M20" s="2835">
        <f>ROUND(SUMPRODUCT((地价!A4:A33=YEAR(G19)&amp;"-"&amp;ROUNDUP(MONTH(G19)/3,0))*(地价!B2:F2=E2)*(地价!B4:F33)),0)</f>
        <v>346</v>
      </c>
      <c r="N20" s="2507" t="s">
        <v>2625</v>
      </c>
      <c r="O20" s="2505" t="s">
        <v>2624</v>
      </c>
      <c r="P20" s="2506" t="s">
        <v>2629</v>
      </c>
      <c r="Q20" s="2640"/>
      <c r="R20" s="2075"/>
      <c r="S20" s="2075"/>
      <c r="T20" s="2075"/>
      <c r="U20" s="2075"/>
      <c r="V20" s="2075"/>
      <c r="W20" s="2075"/>
      <c r="X20" s="2075"/>
      <c r="Y20" s="1411"/>
      <c r="Z20" s="1411"/>
      <c r="AA20" s="1411"/>
      <c r="AB20" s="1411"/>
      <c r="AC20" s="1411"/>
      <c r="AD20" s="1411"/>
    </row>
    <row r="21" spans="1:40" s="1368" customFormat="1" ht="14.25">
      <c r="A21" s="1569" t="s">
        <v>1827</v>
      </c>
      <c r="B21" s="1419" t="s">
        <v>2990</v>
      </c>
      <c r="C21" s="1140">
        <f>IF(B21="容积率修正",IF(G3&lt;=10,D22,J22),C23)</f>
        <v>1.1415</v>
      </c>
      <c r="D21" s="1420"/>
      <c r="E21" s="1420"/>
      <c r="F21" s="1420"/>
      <c r="G21" s="1420"/>
      <c r="H21" s="1420"/>
      <c r="I21" s="1420"/>
      <c r="J21" s="1421"/>
      <c r="K21" s="3232"/>
      <c r="L21" s="1420"/>
      <c r="M21" s="1420"/>
      <c r="N21" s="1417" t="s">
        <v>965</v>
      </c>
      <c r="O21" s="1480"/>
      <c r="P21" s="2494">
        <f>SUMPRODUCT((地价!A3:A33=YEAR(G19)&amp;"-"&amp;ROUNDUP(MONTH(G19)/3,0))*(地价!AD2:AH2=N21)*(地价!AD3:AH33))</f>
        <v>1.0999999999999999E-2</v>
      </c>
      <c r="Q21" s="2640"/>
      <c r="R21" s="2075"/>
      <c r="S21" s="2075"/>
      <c r="T21" s="2075"/>
      <c r="U21" s="2075"/>
      <c r="V21" s="2075"/>
      <c r="W21" s="2075"/>
      <c r="X21" s="2075"/>
      <c r="Y21" s="1350"/>
      <c r="Z21" s="1350"/>
      <c r="AA21" s="1350"/>
      <c r="AB21" s="1350"/>
      <c r="AC21" s="1411"/>
      <c r="AD21" s="1411"/>
    </row>
    <row r="22" spans="1:40" s="1368" customFormat="1" ht="14.25">
      <c r="A22" s="1570" t="s">
        <v>1860</v>
      </c>
      <c r="B22" s="1422" t="s">
        <v>966</v>
      </c>
      <c r="C22" s="1042" t="s">
        <v>1692</v>
      </c>
      <c r="D22" s="1042">
        <f>IF(E22=G22,F22,IF(G3&lt;=10,ROUND(F22+(H22-F22)*(G3-E22)/(G22-E22),4),"——"))</f>
        <v>1.1415</v>
      </c>
      <c r="E22" s="1025">
        <f>ROUNDDOWN(G3,1)</f>
        <v>1.6</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1025">
        <f>ROUNDUP(G3,1)</f>
        <v>1.7000000000000002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042" t="s">
        <v>967</v>
      </c>
      <c r="J22" s="1042" t="str">
        <f>IF(G3&gt;10,D113,"——")</f>
        <v>——</v>
      </c>
      <c r="K22" s="3238"/>
      <c r="L22" s="1420"/>
      <c r="M22" s="1420"/>
      <c r="N22" s="1417" t="s">
        <v>968</v>
      </c>
      <c r="O22" s="1480"/>
      <c r="P22" s="2494">
        <f>SUMPRODUCT((地价!A3:A33=YEAR(G19)&amp;"-"&amp;ROUNDUP(MONTH(G19)/3,0))*(地价!AD2:AH2=N22)*(地价!AD3:AH33))</f>
        <v>1.0999999999999999E-2</v>
      </c>
      <c r="Q22" s="2640"/>
      <c r="R22" s="2075"/>
      <c r="S22" s="2075"/>
      <c r="T22" s="2075"/>
      <c r="U22" s="2075"/>
      <c r="V22" s="2075"/>
      <c r="W22" s="2075"/>
      <c r="X22" s="2075"/>
      <c r="Y22" s="1411"/>
      <c r="Z22" s="1411"/>
      <c r="AA22" s="1411"/>
      <c r="AB22" s="1411"/>
      <c r="AC22" s="1411"/>
      <c r="AD22" s="1411"/>
    </row>
    <row r="23" spans="1:40" ht="15.75" thickBot="1">
      <c r="A23" s="1570" t="s">
        <v>1861</v>
      </c>
      <c r="B23" s="1422" t="s">
        <v>969</v>
      </c>
      <c r="C23" s="1043">
        <f>ROUND(IF(G3&gt;1,IF(I3&lt;7,SUMPRODUCT((B93:B98=I3)*(C92:N92=G2)*(C93:N98)),SUMIF(C92:N92,G2,C100:N100)),IF(I3&lt;7,SUMPRODUCT((B102:B107=I3)*(C92:N92=G2)*(C102:N107)),SUMIF(C92:N92,G2,C109:N109))),4)</f>
        <v>1.8629</v>
      </c>
      <c r="D23" s="1468"/>
      <c r="E23" s="1468"/>
      <c r="F23" s="1469"/>
      <c r="G23" s="1470"/>
      <c r="H23" s="1471"/>
      <c r="I23" s="1472"/>
      <c r="J23" s="1472"/>
      <c r="K23" s="3239"/>
      <c r="L23" s="1348"/>
      <c r="M23" s="1348"/>
      <c r="N23" s="1417" t="s">
        <v>913</v>
      </c>
      <c r="O23" s="1480"/>
      <c r="P23" s="2494">
        <f>SUMPRODUCT((地价!A3:A33=YEAR(G19)&amp;"-"&amp;ROUNDUP(MONTH(G19)/3,0))*(地价!AD2:AH2=N23)*(地价!AD3:AH33))</f>
        <v>1.8499999999999999E-2</v>
      </c>
      <c r="Q23" s="2640"/>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970</v>
      </c>
      <c r="C24" s="1044">
        <f>SUMIF(A44:A87,E2,B44:B87)</f>
        <v>0.97199999999999998</v>
      </c>
      <c r="D24" s="1473"/>
      <c r="E24" s="1474"/>
      <c r="F24" s="1474"/>
      <c r="G24" s="1474"/>
      <c r="H24" s="1474"/>
      <c r="I24" s="1474"/>
      <c r="J24" s="1474"/>
      <c r="K24" s="3239"/>
      <c r="L24" s="1420"/>
      <c r="M24" s="1420"/>
      <c r="N24" s="1417" t="s">
        <v>971</v>
      </c>
      <c r="O24" s="2834"/>
      <c r="P24" s="2494">
        <f>SUMPRODUCT((地价!A3:A33=YEAR(G19)&amp;"-"&amp;ROUNDUP(MONTH(G19)/3,0))*(地价!AD2:AH2=N24)*(地价!AD3:AH33))</f>
        <v>1.1900000000000001E-2</v>
      </c>
      <c r="Q24" s="2640"/>
      <c r="R24" s="2075"/>
      <c r="S24" s="2075"/>
      <c r="T24" s="2075"/>
      <c r="U24" s="2075"/>
      <c r="V24" s="2075"/>
      <c r="W24" s="2075"/>
      <c r="X24" s="2075"/>
      <c r="Y24" s="1411"/>
      <c r="Z24" s="1411"/>
      <c r="AA24" s="1411"/>
      <c r="AB24" s="1411"/>
      <c r="AC24" s="1411"/>
      <c r="AD24" s="1411"/>
    </row>
    <row r="25" spans="1:40" ht="15" thickBot="1">
      <c r="A25" s="1568" t="s">
        <v>1863</v>
      </c>
      <c r="B25" s="1424" t="s">
        <v>972</v>
      </c>
      <c r="C25" s="1425"/>
      <c r="D25" s="1377"/>
      <c r="E25" s="1377"/>
      <c r="F25" s="1426"/>
      <c r="G25" s="1377"/>
      <c r="H25" s="1377"/>
      <c r="I25" s="1377"/>
      <c r="J25" s="1378"/>
      <c r="K25" s="3233"/>
      <c r="L25" s="2075"/>
      <c r="M25" s="2075"/>
      <c r="N25" s="2836" t="s">
        <v>2627</v>
      </c>
      <c r="O25" s="2837"/>
      <c r="P25" s="2301">
        <f>SUMPRODUCT((地价!A3:A33=YEAR(G19)&amp;"-"&amp;ROUNDUP(MONTH(G19)/3,0))*(地价!AD2:AH2=N25)*(地价!AD3:AH33))</f>
        <v>1.6799999999999999E-2</v>
      </c>
      <c r="Q25" s="2640"/>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976</v>
      </c>
      <c r="C26" s="3015">
        <f ca="1">IF(B21="容积率修正",E29+SUM(E33:E39),SUM(V2:V16)+SUM(E33:E39))</f>
        <v>23541</v>
      </c>
      <c r="D26" s="1428"/>
      <c r="E26" s="1403"/>
      <c r="F26" s="1429"/>
      <c r="G26" s="1403"/>
      <c r="H26" s="1403"/>
      <c r="I26" s="1403"/>
      <c r="J26" s="1430"/>
      <c r="K26" s="3233"/>
      <c r="L26" s="1527" t="s">
        <v>888</v>
      </c>
      <c r="M26" s="1375" t="s">
        <v>973</v>
      </c>
      <c r="N26" s="1375" t="s">
        <v>974</v>
      </c>
      <c r="O26" s="1375" t="s">
        <v>892</v>
      </c>
      <c r="P26" s="1415" t="s">
        <v>975</v>
      </c>
      <c r="Q26" s="2640"/>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978</v>
      </c>
      <c r="C27" s="1046">
        <f ca="1">E30+SUM(I33:I39)</f>
        <v>0</v>
      </c>
      <c r="D27" s="1432"/>
      <c r="E27" s="1433"/>
      <c r="F27" s="1434"/>
      <c r="G27" s="1433"/>
      <c r="H27" s="1433"/>
      <c r="I27" s="1433"/>
      <c r="J27" s="1435"/>
      <c r="K27" s="3233"/>
      <c r="L27" s="1407" t="s">
        <v>977</v>
      </c>
      <c r="M27" s="1033">
        <v>0.25</v>
      </c>
      <c r="N27" s="1033">
        <v>0.2</v>
      </c>
      <c r="O27" s="1033">
        <v>0.15</v>
      </c>
      <c r="P27" s="1477">
        <v>0.1</v>
      </c>
      <c r="Q27" s="2075"/>
      <c r="R27" s="2640"/>
      <c r="S27" s="2640"/>
      <c r="T27" s="2640"/>
      <c r="U27" s="2640"/>
      <c r="V27" s="2640"/>
      <c r="W27" s="2075"/>
      <c r="X27" s="2075"/>
      <c r="Y27" s="2075"/>
      <c r="Z27" s="2075"/>
      <c r="AA27" s="2075"/>
      <c r="AB27" s="2075"/>
      <c r="AC27" s="2075"/>
    </row>
    <row r="28" spans="1:40" ht="15" thickBot="1">
      <c r="A28" s="1423"/>
      <c r="B28" s="1436" t="s">
        <v>979</v>
      </c>
      <c r="C28" s="1437" t="s">
        <v>980</v>
      </c>
      <c r="D28" s="1437" t="s">
        <v>981</v>
      </c>
      <c r="E28" s="1438" t="s">
        <v>982</v>
      </c>
      <c r="F28" s="1439"/>
      <c r="G28" s="1389"/>
      <c r="H28" s="1389"/>
      <c r="I28" s="1389"/>
      <c r="J28" s="1390"/>
      <c r="K28" s="3233"/>
      <c r="L28" s="1408" t="s">
        <v>963</v>
      </c>
      <c r="M28" s="1478">
        <f ca="1">ROUND($E$20*(1+M27),3)</f>
        <v>5.3999999999999999E-2</v>
      </c>
      <c r="N28" s="1478">
        <f ca="1">ROUND($E$20*(1+N27),3)</f>
        <v>5.1999999999999998E-2</v>
      </c>
      <c r="O28" s="1478">
        <f ca="1">ROUND($E$20*(1+O27),3)</f>
        <v>0.05</v>
      </c>
      <c r="P28" s="1479">
        <f ca="1">ROUND($E$20*(1+P27),3)</f>
        <v>4.8000000000000001E-2</v>
      </c>
      <c r="Q28" s="2075"/>
      <c r="R28" s="2640"/>
      <c r="S28" s="2640"/>
      <c r="T28" s="2640"/>
      <c r="U28" s="2640"/>
      <c r="V28" s="2640"/>
      <c r="W28" s="2075"/>
      <c r="X28" s="2075"/>
      <c r="Y28" s="2075"/>
      <c r="Z28" s="2075"/>
      <c r="AA28" s="2075"/>
      <c r="AB28" s="2075"/>
      <c r="AC28" s="2075"/>
      <c r="AD28" s="1411"/>
      <c r="AE28" s="1411"/>
      <c r="AF28" s="1411"/>
      <c r="AG28" s="1411"/>
    </row>
    <row r="29" spans="1:40" ht="14.25">
      <c r="A29" s="1440"/>
      <c r="B29" s="1441" t="s">
        <v>983</v>
      </c>
      <c r="C29" s="1045">
        <f ca="1">ROUND(C5*C18*C19*C20*C21*C24,0)</f>
        <v>8917</v>
      </c>
      <c r="D29" s="1442">
        <f>'数据-汇总表'!F19</f>
        <v>26400</v>
      </c>
      <c r="E29" s="1762">
        <f ca="1">ROUND(C29*D29/10000,0)</f>
        <v>23541</v>
      </c>
      <c r="F29" s="1443" t="s">
        <v>1691</v>
      </c>
      <c r="G29" s="1444"/>
      <c r="H29" s="1444"/>
      <c r="I29" s="1444"/>
      <c r="J29" s="1445"/>
      <c r="K29" s="3240"/>
      <c r="L29" s="3240"/>
      <c r="M29" s="3240"/>
      <c r="N29" s="3240"/>
      <c r="O29" s="3240"/>
      <c r="P29" s="2069"/>
      <c r="Q29" s="2075"/>
      <c r="R29" s="2075"/>
      <c r="S29" s="2075"/>
      <c r="T29" s="2075"/>
      <c r="U29" s="2075"/>
      <c r="V29" s="2075"/>
      <c r="W29" s="2640"/>
      <c r="X29" s="2640"/>
      <c r="Y29" s="2640"/>
      <c r="Z29" s="2640"/>
      <c r="AA29" s="2640"/>
      <c r="AB29" s="2075"/>
      <c r="AC29" s="2075"/>
      <c r="AD29" s="2075"/>
      <c r="AE29" s="2075"/>
      <c r="AF29" s="2075"/>
      <c r="AG29" s="2075"/>
      <c r="AH29" s="2075"/>
      <c r="AJ29" s="1350"/>
      <c r="AK29" s="1350"/>
      <c r="AL29" s="1350"/>
      <c r="AM29" s="1349"/>
      <c r="AN29" s="1349"/>
    </row>
    <row r="30" spans="1:40" ht="24.75" thickBot="1">
      <c r="A30" s="1446"/>
      <c r="B30" s="1447" t="s">
        <v>984</v>
      </c>
      <c r="C30" s="1037">
        <f ca="1">ROUND(IF(E2="工业",C29*M39,C29*M38),0)</f>
        <v>2229</v>
      </c>
      <c r="D30" s="1448"/>
      <c r="E30" s="1762">
        <f ca="1">ROUND(C30*D30/10000,0)</f>
        <v>0</v>
      </c>
      <c r="F30" s="1449" t="s">
        <v>985</v>
      </c>
      <c r="G30" s="1450"/>
      <c r="H30" s="1450"/>
      <c r="I30" s="1450"/>
      <c r="J30" s="1451"/>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986</v>
      </c>
      <c r="C31" s="1454" t="s">
        <v>987</v>
      </c>
      <c r="D31" s="1389"/>
      <c r="E31" s="1454"/>
      <c r="F31" s="1454"/>
      <c r="G31" s="1387" t="s">
        <v>985</v>
      </c>
      <c r="H31" s="1389"/>
      <c r="I31" s="1455"/>
      <c r="J31" s="1390"/>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980</v>
      </c>
      <c r="D32" s="1458" t="s">
        <v>981</v>
      </c>
      <c r="E32" s="1458" t="s">
        <v>982</v>
      </c>
      <c r="F32" s="1459" t="s">
        <v>988</v>
      </c>
      <c r="G32" s="1418" t="s">
        <v>980</v>
      </c>
      <c r="H32" s="1418" t="s">
        <v>981</v>
      </c>
      <c r="I32" s="1418" t="s">
        <v>982</v>
      </c>
      <c r="J32" s="1460"/>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74"/>
      <c r="B33" s="1462" t="s">
        <v>989</v>
      </c>
      <c r="C33" s="1045">
        <f ca="1">ROUND(D5*C19*C20*C24*F33,0)</f>
        <v>6075</v>
      </c>
      <c r="D33" s="1475"/>
      <c r="E33" s="1034">
        <f ca="1">ROUND(C33*D33/10000,0)</f>
        <v>0</v>
      </c>
      <c r="F33" s="1034">
        <f>SUMIF(修正!A45:A56,G2,修正!B45:B56)</f>
        <v>0.7</v>
      </c>
      <c r="G33" s="1034">
        <f t="shared" ref="G33" ca="1" si="6">ROUND(IF(E2="工业",C33*$M$39,C33*$M$38),0)</f>
        <v>1519</v>
      </c>
      <c r="H33" s="1034">
        <f>D33</f>
        <v>0</v>
      </c>
      <c r="I33" s="1034">
        <f ca="1">ROUND(G33*H33/10000,0)</f>
        <v>0</v>
      </c>
      <c r="J33" s="3574" t="s">
        <v>2994</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75"/>
      <c r="B34" s="1392" t="s">
        <v>990</v>
      </c>
      <c r="C34" s="1045">
        <f ca="1">ROUND(D5*C19*C20*C24*F34,0)</f>
        <v>3472</v>
      </c>
      <c r="D34" s="1475"/>
      <c r="E34" s="1034">
        <f t="shared" ref="E34:E39" ca="1" si="7">ROUND(C34*D34/10000,0)</f>
        <v>0</v>
      </c>
      <c r="F34" s="1034">
        <f>SUMIF(修正!A45:A56,G2,修正!C45:C56)</f>
        <v>0.4</v>
      </c>
      <c r="G34" s="1034">
        <f ca="1">ROUND(IF(E2="工业",C34*$M$39,C34*$M$38),0)</f>
        <v>868</v>
      </c>
      <c r="H34" s="1034">
        <f t="shared" ref="H34:H39" si="8">D34</f>
        <v>0</v>
      </c>
      <c r="I34" s="1034">
        <f t="shared" ref="I34:I39" ca="1" si="9">ROUND(G34*H34/10000,0)</f>
        <v>0</v>
      </c>
      <c r="J34" s="3575"/>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75"/>
      <c r="B35" s="1392" t="s">
        <v>991</v>
      </c>
      <c r="C35" s="1045">
        <f ca="1">ROUND(D5*C19*C20*C24*F35,0)</f>
        <v>2430</v>
      </c>
      <c r="D35" s="1475"/>
      <c r="E35" s="1034">
        <f t="shared" ca="1" si="7"/>
        <v>0</v>
      </c>
      <c r="F35" s="1034">
        <f>SUMIF(修正!A45:A56,G2,修正!D45:D56)</f>
        <v>0.28000000000000003</v>
      </c>
      <c r="G35" s="1034">
        <f ca="1">ROUND(IF(E2="工业",C35*$M$39,C35*$M$38),0)</f>
        <v>608</v>
      </c>
      <c r="H35" s="1034">
        <f t="shared" si="8"/>
        <v>0</v>
      </c>
      <c r="I35" s="1034">
        <f t="shared" ca="1" si="9"/>
        <v>0</v>
      </c>
      <c r="J35" s="3575"/>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76"/>
      <c r="B36" s="1392" t="s">
        <v>992</v>
      </c>
      <c r="C36" s="1045">
        <f ca="1">ROUND(D5*C19*C20*C24*F36,0)</f>
        <v>2170</v>
      </c>
      <c r="D36" s="1475"/>
      <c r="E36" s="1034">
        <f t="shared" ca="1" si="7"/>
        <v>0</v>
      </c>
      <c r="F36" s="1034">
        <f>SUMIF(修正!A45:A56,G2,修正!E45:E56)</f>
        <v>0.25</v>
      </c>
      <c r="G36" s="1034">
        <f ca="1">ROUND(IF(E2="工业",C36*$M$39,C36*$M$38),0)</f>
        <v>543</v>
      </c>
      <c r="H36" s="1034">
        <f t="shared" si="8"/>
        <v>0</v>
      </c>
      <c r="I36" s="1034">
        <f t="shared" ca="1" si="9"/>
        <v>0</v>
      </c>
      <c r="J36" s="3576"/>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993</v>
      </c>
      <c r="C37" s="1034">
        <f ca="1">ROUND(D5*C19*C20*C24*F37,0)</f>
        <v>2170</v>
      </c>
      <c r="D37" s="1475"/>
      <c r="E37" s="1034">
        <f t="shared" ca="1" si="7"/>
        <v>0</v>
      </c>
      <c r="F37" s="1045">
        <f>SUMIF(修正!A45:A56,G2,修正!F45:F56)</f>
        <v>0.25</v>
      </c>
      <c r="G37" s="1034">
        <f ca="1">ROUND(IF(E2="工业",C37*$M$39,C37*$M$38),0)</f>
        <v>543</v>
      </c>
      <c r="H37" s="1034">
        <f t="shared" si="8"/>
        <v>0</v>
      </c>
      <c r="I37" s="1034">
        <f t="shared" ca="1" si="9"/>
        <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994</v>
      </c>
      <c r="C38" s="1034">
        <f ca="1">ROUND(D5*C19*C41*C24*F38,0)</f>
        <v>0</v>
      </c>
      <c r="D38" s="1475"/>
      <c r="E38" s="1034">
        <f t="shared" ca="1" si="7"/>
        <v>0</v>
      </c>
      <c r="F38" s="1045">
        <f>SUMIF(修正!A45:A56,G2,修正!G45:G56)</f>
        <v>0.25</v>
      </c>
      <c r="G38" s="1034">
        <f ca="1">ROUND(IF(E2="工业",C38*$M$39,C38*$M$38),0)</f>
        <v>0</v>
      </c>
      <c r="H38" s="1034">
        <f t="shared" si="8"/>
        <v>0</v>
      </c>
      <c r="I38" s="1034">
        <f t="shared" ca="1" si="9"/>
        <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995</v>
      </c>
      <c r="C39" s="1037">
        <f ca="1">ROUND(D5*C19*C41*C24*F39,0)</f>
        <v>0</v>
      </c>
      <c r="D39" s="1476"/>
      <c r="E39" s="1037">
        <f t="shared" ca="1" si="7"/>
        <v>0</v>
      </c>
      <c r="F39" s="1047">
        <f>SUMIF(修正!A45:A56,G2,修正!H45:H56)</f>
        <v>0.2</v>
      </c>
      <c r="G39" s="1037">
        <f ca="1">ROUND(IF(E2="工业",C39*$M$39,C39*$M$38),0)</f>
        <v>0</v>
      </c>
      <c r="H39" s="1037">
        <f t="shared" si="8"/>
        <v>0</v>
      </c>
      <c r="I39" s="1037">
        <f t="shared" ca="1" si="9"/>
        <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1" t="s">
        <v>2948</v>
      </c>
      <c r="C41" s="827">
        <f ca="1">ROUND(POWER(1+E41,H41-G41)*(POWER(1+E41,G41)-1)/(POWER(1+E41,H41)-1),4)</f>
        <v>0</v>
      </c>
      <c r="D41" s="371" t="s">
        <v>2946</v>
      </c>
      <c r="E41" s="2830">
        <f ca="1">G20</f>
        <v>5.1999999999999998E-2</v>
      </c>
      <c r="F41" s="371" t="s">
        <v>2947</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996</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997</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998</v>
      </c>
      <c r="B46" s="2262" t="s">
        <v>999</v>
      </c>
      <c r="C46" s="2284" t="s">
        <v>1000</v>
      </c>
      <c r="D46" s="2285" t="s">
        <v>1001</v>
      </c>
      <c r="E46" s="2286" t="s">
        <v>1003</v>
      </c>
      <c r="F46" s="2287" t="s">
        <v>2238</v>
      </c>
      <c r="G46" s="2285" t="s">
        <v>1004</v>
      </c>
      <c r="H46" s="2268" t="s">
        <v>2402</v>
      </c>
      <c r="I46" s="2285" t="s">
        <v>1002</v>
      </c>
      <c r="J46" s="2288" t="s">
        <v>1005</v>
      </c>
      <c r="K46" s="2288" t="s">
        <v>1006</v>
      </c>
      <c r="L46" s="2288" t="s">
        <v>1007</v>
      </c>
      <c r="M46" s="2288" t="s">
        <v>1008</v>
      </c>
      <c r="N46" s="2288" t="s">
        <v>1009</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1010</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1011</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1012</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1013</v>
      </c>
      <c r="B50" s="2783" t="s">
        <v>2904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1014</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1015</v>
      </c>
      <c r="B52" s="2782" t="s">
        <v>2903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1016</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1017</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1018</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1019</v>
      </c>
      <c r="B56" s="2279">
        <f>1+E58</f>
        <v>0.97199999999999998</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998</v>
      </c>
      <c r="B57" s="2262"/>
      <c r="C57" s="2284" t="s">
        <v>1000</v>
      </c>
      <c r="D57" s="2285" t="s">
        <v>1001</v>
      </c>
      <c r="E57" s="2286" t="s">
        <v>1003</v>
      </c>
      <c r="F57" s="2287" t="s">
        <v>2239</v>
      </c>
      <c r="G57" s="2285" t="s">
        <v>1004</v>
      </c>
      <c r="H57" s="2268" t="s">
        <v>2402</v>
      </c>
      <c r="I57" s="2285" t="s">
        <v>1002</v>
      </c>
      <c r="J57" s="2288" t="s">
        <v>1005</v>
      </c>
      <c r="K57" s="2288" t="s">
        <v>1006</v>
      </c>
      <c r="L57" s="2288" t="s">
        <v>1007</v>
      </c>
      <c r="M57" s="2288" t="s">
        <v>1008</v>
      </c>
      <c r="N57" s="2288" t="s">
        <v>1009</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1020</v>
      </c>
      <c r="B58" s="2265" t="str">
        <f>估价对象房地状况!C17</f>
        <v>估价对象位于XX商圈，周边办公楼项目较多，入驻率高，办公集聚程度较好</v>
      </c>
      <c r="C58" s="1036" t="s">
        <v>3246</v>
      </c>
      <c r="D58" s="2271">
        <f t="shared" ref="D58:D66" si="15">SUMIF($J$57:$N$57,C58,J58:N58)</f>
        <v>-1.5599999999999999E-2</v>
      </c>
      <c r="E58" s="2290">
        <f>ROUND(SUM(D58:D66),4)</f>
        <v>-2.8000000000000001E-2</v>
      </c>
      <c r="F58" s="2291">
        <f>IF(E2="办公",SUMIF(L1:L12,G2,N1:N12),"——")</f>
        <v>0.13</v>
      </c>
      <c r="G58" s="2269">
        <v>1.5599999999999999E-2</v>
      </c>
      <c r="H58" s="2314">
        <f>IFERROR(ROUNDDOWN($F$58*I58/2,4),"——")</f>
        <v>1.5599999999999999E-2</v>
      </c>
      <c r="I58" s="2289">
        <v>0.24</v>
      </c>
      <c r="J58" s="2292">
        <f t="shared" ref="J58:J66" si="16">K58+$G58</f>
        <v>3.1199999999999999E-2</v>
      </c>
      <c r="K58" s="2292">
        <f t="shared" ref="K58:K66" si="17">$L58+$G58</f>
        <v>1.5599999999999999E-2</v>
      </c>
      <c r="L58" s="2292">
        <v>0</v>
      </c>
      <c r="M58" s="2292">
        <f t="shared" ref="M58:N66" si="18">L58-$G58</f>
        <v>-1.5599999999999999E-2</v>
      </c>
      <c r="N58" s="2292">
        <f t="shared" si="18"/>
        <v>-3.1199999999999999E-2</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1011</v>
      </c>
      <c r="B59" s="2262" t="str">
        <f>估价对象房地状况!C18</f>
        <v>估价对象周边道路状况、公共交通通达情况、停车便捷程度，综合评价交通便捷度较好</v>
      </c>
      <c r="C59" s="1036" t="s">
        <v>3246</v>
      </c>
      <c r="D59" s="2271">
        <f t="shared" si="15"/>
        <v>-1.95E-2</v>
      </c>
      <c r="E59" s="2293"/>
      <c r="F59" s="2291"/>
      <c r="G59" s="2269">
        <v>1.95E-2</v>
      </c>
      <c r="H59" s="2270">
        <f t="shared" ref="H59:H66" si="19">IFERROR($F$58*I59/2,"——")</f>
        <v>1.95E-2</v>
      </c>
      <c r="I59" s="2289">
        <v>0.3</v>
      </c>
      <c r="J59" s="2292">
        <f t="shared" si="16"/>
        <v>3.9E-2</v>
      </c>
      <c r="K59" s="2292">
        <f t="shared" si="17"/>
        <v>1.95E-2</v>
      </c>
      <c r="L59" s="2292">
        <v>0</v>
      </c>
      <c r="M59" s="2292">
        <f t="shared" si="18"/>
        <v>-1.95E-2</v>
      </c>
      <c r="N59" s="2292">
        <f t="shared" si="18"/>
        <v>-3.9E-2</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1012</v>
      </c>
      <c r="B60" s="2262">
        <f>估价对象房地状况!C19</f>
        <v>0</v>
      </c>
      <c r="C60" s="1036" t="s">
        <v>3216</v>
      </c>
      <c r="D60" s="2271">
        <f t="shared" si="15"/>
        <v>0</v>
      </c>
      <c r="E60" s="2293"/>
      <c r="F60" s="2291"/>
      <c r="G60" s="2269">
        <v>5.2000000000000006E-3</v>
      </c>
      <c r="H60" s="2270">
        <f t="shared" si="19"/>
        <v>5.2000000000000006E-3</v>
      </c>
      <c r="I60" s="2289">
        <v>0.08</v>
      </c>
      <c r="J60" s="2292">
        <f t="shared" si="16"/>
        <v>1.0400000000000001E-2</v>
      </c>
      <c r="K60" s="2292">
        <f t="shared" si="17"/>
        <v>5.2000000000000006E-3</v>
      </c>
      <c r="L60" s="2292">
        <v>0</v>
      </c>
      <c r="M60" s="2292">
        <f t="shared" si="18"/>
        <v>-5.2000000000000006E-3</v>
      </c>
      <c r="N60" s="2292">
        <f t="shared" si="18"/>
        <v>-1.0400000000000001E-2</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1013</v>
      </c>
      <c r="B61" s="2783" t="s">
        <v>2905</v>
      </c>
      <c r="C61" s="1036" t="s">
        <v>3244</v>
      </c>
      <c r="D61" s="2271">
        <f t="shared" si="15"/>
        <v>-5.2000000000000006E-3</v>
      </c>
      <c r="E61" s="2293"/>
      <c r="F61" s="2291"/>
      <c r="G61" s="2269">
        <v>2.6000000000000003E-3</v>
      </c>
      <c r="H61" s="2270">
        <f t="shared" si="19"/>
        <v>2.6000000000000003E-3</v>
      </c>
      <c r="I61" s="2289">
        <v>0.04</v>
      </c>
      <c r="J61" s="2292">
        <f t="shared" si="16"/>
        <v>5.2000000000000006E-3</v>
      </c>
      <c r="K61" s="2292">
        <f t="shared" si="17"/>
        <v>2.6000000000000003E-3</v>
      </c>
      <c r="L61" s="2292">
        <v>0</v>
      </c>
      <c r="M61" s="2292">
        <f t="shared" si="18"/>
        <v>-2.6000000000000003E-3</v>
      </c>
      <c r="N61" s="2292">
        <f t="shared" si="18"/>
        <v>-5.2000000000000006E-3</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1014</v>
      </c>
      <c r="B62" s="2262">
        <f>估价对象房地状况!C24</f>
        <v>0</v>
      </c>
      <c r="C62" s="1036" t="s">
        <v>3246</v>
      </c>
      <c r="D62" s="2271">
        <f t="shared" si="15"/>
        <v>-3.2500000000000003E-3</v>
      </c>
      <c r="E62" s="2293"/>
      <c r="F62" s="2291"/>
      <c r="G62" s="2269">
        <v>3.2500000000000003E-3</v>
      </c>
      <c r="H62" s="2270">
        <f t="shared" si="19"/>
        <v>3.2500000000000003E-3</v>
      </c>
      <c r="I62" s="2289">
        <v>0.05</v>
      </c>
      <c r="J62" s="2292">
        <f t="shared" si="16"/>
        <v>6.5000000000000006E-3</v>
      </c>
      <c r="K62" s="2292">
        <f t="shared" si="17"/>
        <v>3.2500000000000003E-3</v>
      </c>
      <c r="L62" s="2292">
        <v>0</v>
      </c>
      <c r="M62" s="2292">
        <f t="shared" si="18"/>
        <v>-3.2500000000000003E-3</v>
      </c>
      <c r="N62" s="2292">
        <f t="shared" si="18"/>
        <v>-6.5000000000000006E-3</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1015</v>
      </c>
      <c r="B63" s="2782" t="s">
        <v>2903</v>
      </c>
      <c r="C63" s="1036" t="s">
        <v>3216</v>
      </c>
      <c r="D63" s="2271">
        <f t="shared" si="15"/>
        <v>0</v>
      </c>
      <c r="E63" s="2293"/>
      <c r="F63" s="2291"/>
      <c r="G63" s="2269">
        <v>3.2499999999999999E-3</v>
      </c>
      <c r="H63" s="2270">
        <f t="shared" si="19"/>
        <v>3.2500000000000003E-3</v>
      </c>
      <c r="I63" s="2289">
        <v>0.05</v>
      </c>
      <c r="J63" s="2292">
        <f t="shared" si="16"/>
        <v>6.4999999999999997E-3</v>
      </c>
      <c r="K63" s="2292">
        <f t="shared" si="17"/>
        <v>3.2499999999999999E-3</v>
      </c>
      <c r="L63" s="2292">
        <v>0</v>
      </c>
      <c r="M63" s="2292">
        <f t="shared" si="18"/>
        <v>-3.2499999999999999E-3</v>
      </c>
      <c r="N63" s="2292">
        <f t="shared" si="18"/>
        <v>-6.4999999999999997E-3</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1016</v>
      </c>
      <c r="B64" s="2263" t="str">
        <f>估价对象房地状况!C21</f>
        <v>估价对象所在区域公共配套设施齐备情况</v>
      </c>
      <c r="C64" s="1036" t="s">
        <v>3246</v>
      </c>
      <c r="D64" s="2271">
        <f t="shared" si="15"/>
        <v>-3.8999999999999998E-3</v>
      </c>
      <c r="E64" s="2293"/>
      <c r="F64" s="2291"/>
      <c r="G64" s="2269">
        <v>3.8999999999999998E-3</v>
      </c>
      <c r="H64" s="2270">
        <f t="shared" si="19"/>
        <v>3.8999999999999998E-3</v>
      </c>
      <c r="I64" s="2289">
        <v>0.06</v>
      </c>
      <c r="J64" s="2292">
        <f t="shared" si="16"/>
        <v>7.7999999999999996E-3</v>
      </c>
      <c r="K64" s="2292">
        <f t="shared" si="17"/>
        <v>3.8999999999999998E-3</v>
      </c>
      <c r="L64" s="2292">
        <v>0</v>
      </c>
      <c r="M64" s="2292">
        <f t="shared" si="18"/>
        <v>-3.8999999999999998E-3</v>
      </c>
      <c r="N64" s="2292">
        <f t="shared" si="18"/>
        <v>-7.7999999999999996E-3</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1017</v>
      </c>
      <c r="B65" s="2263" t="str">
        <f>估价对象房地状况!C22</f>
        <v>估价对象所在区域基础设施水平</v>
      </c>
      <c r="C65" s="1036" t="s">
        <v>3245</v>
      </c>
      <c r="D65" s="2271">
        <f t="shared" si="15"/>
        <v>1.5599999999999999E-2</v>
      </c>
      <c r="E65" s="2293"/>
      <c r="F65" s="2291"/>
      <c r="G65" s="2269">
        <v>7.7999999999999996E-3</v>
      </c>
      <c r="H65" s="2270">
        <f t="shared" si="19"/>
        <v>7.7999999999999996E-3</v>
      </c>
      <c r="I65" s="2289">
        <v>0.12</v>
      </c>
      <c r="J65" s="2292">
        <f t="shared" si="16"/>
        <v>1.5599999999999999E-2</v>
      </c>
      <c r="K65" s="2292">
        <f t="shared" si="17"/>
        <v>7.7999999999999996E-3</v>
      </c>
      <c r="L65" s="2292">
        <v>0</v>
      </c>
      <c r="M65" s="2292">
        <f t="shared" si="18"/>
        <v>-7.7999999999999996E-3</v>
      </c>
      <c r="N65" s="2292">
        <f t="shared" si="18"/>
        <v>-1.5599999999999999E-2</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1018</v>
      </c>
      <c r="B66" s="2267" t="str">
        <f>估价对象房地状况!C20</f>
        <v>区域自然环境：；人文环境；综合评价环境状况一般</v>
      </c>
      <c r="C66" s="1036" t="s">
        <v>3217</v>
      </c>
      <c r="D66" s="2271">
        <f t="shared" si="15"/>
        <v>3.8999999999999998E-3</v>
      </c>
      <c r="E66" s="2297"/>
      <c r="F66" s="2291"/>
      <c r="G66" s="2269">
        <v>3.8999999999999998E-3</v>
      </c>
      <c r="H66" s="2270">
        <f t="shared" si="19"/>
        <v>3.8999999999999998E-3</v>
      </c>
      <c r="I66" s="2296">
        <v>0.06</v>
      </c>
      <c r="J66" s="2292">
        <f t="shared" si="16"/>
        <v>7.7999999999999996E-3</v>
      </c>
      <c r="K66" s="2292">
        <f t="shared" si="17"/>
        <v>3.8999999999999998E-3</v>
      </c>
      <c r="L66" s="2292">
        <v>0</v>
      </c>
      <c r="M66" s="2292">
        <f t="shared" si="18"/>
        <v>-3.8999999999999998E-3</v>
      </c>
      <c r="N66" s="2292">
        <f t="shared" si="18"/>
        <v>-7.7999999999999996E-3</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1021</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998</v>
      </c>
      <c r="B68" s="2262"/>
      <c r="C68" s="2284" t="s">
        <v>1000</v>
      </c>
      <c r="D68" s="2285" t="s">
        <v>1001</v>
      </c>
      <c r="E68" s="2286" t="s">
        <v>1003</v>
      </c>
      <c r="F68" s="2287" t="s">
        <v>2240</v>
      </c>
      <c r="G68" s="2285" t="s">
        <v>1004</v>
      </c>
      <c r="H68" s="2268" t="s">
        <v>2402</v>
      </c>
      <c r="I68" s="2285" t="s">
        <v>1002</v>
      </c>
      <c r="J68" s="2288" t="s">
        <v>1005</v>
      </c>
      <c r="K68" s="2288" t="s">
        <v>1006</v>
      </c>
      <c r="L68" s="2288" t="s">
        <v>1007</v>
      </c>
      <c r="M68" s="2288" t="s">
        <v>1008</v>
      </c>
      <c r="N68" s="2288" t="s">
        <v>1009</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1022</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1023</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1012</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1024</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1016</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1017</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1015</v>
      </c>
      <c r="B75" s="2782" t="s">
        <v>2903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1018</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1025</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1026</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998</v>
      </c>
      <c r="B79" s="2262"/>
      <c r="C79" s="2284" t="s">
        <v>1000</v>
      </c>
      <c r="D79" s="2285" t="s">
        <v>1001</v>
      </c>
      <c r="E79" s="2286" t="s">
        <v>1003</v>
      </c>
      <c r="F79" s="2287" t="s">
        <v>2241</v>
      </c>
      <c r="G79" s="2285" t="s">
        <v>1004</v>
      </c>
      <c r="H79" s="2268" t="s">
        <v>2402</v>
      </c>
      <c r="I79" s="2285" t="s">
        <v>1002</v>
      </c>
      <c r="J79" s="2288" t="s">
        <v>1005</v>
      </c>
      <c r="K79" s="2288" t="s">
        <v>1006</v>
      </c>
      <c r="L79" s="2288" t="s">
        <v>1007</v>
      </c>
      <c r="M79" s="2288" t="s">
        <v>1008</v>
      </c>
      <c r="N79" s="2288" t="s">
        <v>1009</v>
      </c>
      <c r="AC79" s="1352"/>
      <c r="AD79" s="1351"/>
      <c r="AJ79" s="1350"/>
      <c r="AN79" s="1351"/>
    </row>
    <row r="80" spans="1:40" ht="36">
      <c r="A80" s="1049" t="s">
        <v>1027</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1023</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1012</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1024</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1016</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1017</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1015</v>
      </c>
      <c r="B86" s="2782" t="s">
        <v>2903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1028</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83" t="s">
        <v>1623</v>
      </c>
      <c r="B90" s="3583"/>
      <c r="C90" s="3583"/>
      <c r="D90" s="3583"/>
      <c r="E90" s="3583"/>
      <c r="F90" s="3583"/>
      <c r="G90" s="3583"/>
      <c r="H90" s="3583"/>
      <c r="I90" s="3583"/>
      <c r="J90" s="3583"/>
      <c r="K90" s="2304"/>
      <c r="L90" s="2304"/>
      <c r="M90" s="2304"/>
      <c r="N90" s="2304"/>
    </row>
    <row r="91" spans="1:40">
      <c r="A91" s="3584" t="s">
        <v>1433</v>
      </c>
      <c r="B91" s="3584" t="s">
        <v>1624</v>
      </c>
      <c r="C91" s="1122" t="s">
        <v>1625</v>
      </c>
      <c r="D91" s="1123"/>
      <c r="E91" s="1123"/>
      <c r="F91" s="1123"/>
      <c r="G91" s="1123"/>
      <c r="H91" s="1123"/>
      <c r="I91" s="1123"/>
      <c r="J91" s="1124"/>
      <c r="K91" s="1116"/>
      <c r="L91" s="1116"/>
      <c r="M91" s="1116"/>
      <c r="N91" s="1116"/>
    </row>
    <row r="92" spans="1:40">
      <c r="A92" s="3584"/>
      <c r="B92" s="3584"/>
      <c r="C92" s="2303" t="s">
        <v>897</v>
      </c>
      <c r="D92" s="2303" t="s">
        <v>875</v>
      </c>
      <c r="E92" s="2303" t="s">
        <v>876</v>
      </c>
      <c r="F92" s="2303" t="s">
        <v>900</v>
      </c>
      <c r="G92" s="2303" t="s">
        <v>878</v>
      </c>
      <c r="H92" s="2303" t="s">
        <v>879</v>
      </c>
      <c r="I92" s="2303" t="s">
        <v>880</v>
      </c>
      <c r="J92" s="2303" t="s">
        <v>881</v>
      </c>
      <c r="K92" s="2303" t="s">
        <v>905</v>
      </c>
      <c r="L92" s="2303" t="s">
        <v>883</v>
      </c>
      <c r="M92" s="2303" t="s">
        <v>884</v>
      </c>
      <c r="N92" s="2303" t="s">
        <v>908</v>
      </c>
    </row>
    <row r="93" spans="1:40">
      <c r="A93" s="3567"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8"/>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8"/>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8"/>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8"/>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8"/>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8"/>
      <c r="B99" s="1125" t="s">
        <v>1626</v>
      </c>
      <c r="C99" s="1127">
        <f>$I$3</f>
        <v>1</v>
      </c>
      <c r="D99" s="1127">
        <f t="shared" ref="D99:N99" si="30">$I$3</f>
        <v>1</v>
      </c>
      <c r="E99" s="1127">
        <f t="shared" si="30"/>
        <v>1</v>
      </c>
      <c r="F99" s="1127">
        <f t="shared" si="30"/>
        <v>1</v>
      </c>
      <c r="G99" s="1127">
        <f t="shared" si="30"/>
        <v>1</v>
      </c>
      <c r="H99" s="1127">
        <f t="shared" si="30"/>
        <v>1</v>
      </c>
      <c r="I99" s="1127">
        <f t="shared" si="30"/>
        <v>1</v>
      </c>
      <c r="J99" s="1127">
        <f t="shared" si="30"/>
        <v>1</v>
      </c>
      <c r="K99" s="1127">
        <f t="shared" si="30"/>
        <v>1</v>
      </c>
      <c r="L99" s="1127">
        <f t="shared" si="30"/>
        <v>1</v>
      </c>
      <c r="M99" s="1127">
        <f t="shared" si="30"/>
        <v>1</v>
      </c>
      <c r="N99" s="1127">
        <f t="shared" si="30"/>
        <v>1</v>
      </c>
    </row>
    <row r="100" spans="1:14">
      <c r="A100" s="3569"/>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67" t="s">
        <v>1627</v>
      </c>
      <c r="B101" s="1129" t="s">
        <v>896</v>
      </c>
      <c r="C101" s="1130">
        <f>$G$3</f>
        <v>1.62</v>
      </c>
      <c r="D101" s="1130">
        <f t="shared" ref="D101:N101" si="31">$G$3</f>
        <v>1.62</v>
      </c>
      <c r="E101" s="1130">
        <f t="shared" si="31"/>
        <v>1.62</v>
      </c>
      <c r="F101" s="1130">
        <f t="shared" si="31"/>
        <v>1.62</v>
      </c>
      <c r="G101" s="1130">
        <f t="shared" si="31"/>
        <v>1.62</v>
      </c>
      <c r="H101" s="1130">
        <f t="shared" si="31"/>
        <v>1.62</v>
      </c>
      <c r="I101" s="1130">
        <f t="shared" si="31"/>
        <v>1.62</v>
      </c>
      <c r="J101" s="1130">
        <f t="shared" si="31"/>
        <v>1.62</v>
      </c>
      <c r="K101" s="1130">
        <f t="shared" si="31"/>
        <v>1.62</v>
      </c>
      <c r="L101" s="1130">
        <f t="shared" si="31"/>
        <v>1.62</v>
      </c>
      <c r="M101" s="1130">
        <f t="shared" si="31"/>
        <v>1.62</v>
      </c>
      <c r="N101" s="1130">
        <f t="shared" si="31"/>
        <v>1.62</v>
      </c>
    </row>
    <row r="102" spans="1:14">
      <c r="A102" s="3568"/>
      <c r="B102" s="1125">
        <v>1</v>
      </c>
      <c r="C102" s="1126">
        <f>1.9362/C101</f>
        <v>1.1951851851851851</v>
      </c>
      <c r="D102" s="1126">
        <f>1.9362/D101</f>
        <v>1.1951851851851851</v>
      </c>
      <c r="E102" s="1126">
        <f>1.8629/E101</f>
        <v>1.1499382716049382</v>
      </c>
      <c r="F102" s="1126">
        <f>1.8629/F101</f>
        <v>1.1499382716049382</v>
      </c>
      <c r="G102" s="1126">
        <f>1.8629/G101</f>
        <v>1.1499382716049382</v>
      </c>
      <c r="H102" s="1126">
        <f>1.8629/H101</f>
        <v>1.1499382716049382</v>
      </c>
      <c r="I102" s="1126">
        <f>1.8629/I101</f>
        <v>1.1499382716049382</v>
      </c>
      <c r="J102" s="1126">
        <f>1.942/J101</f>
        <v>1.1987654320987653</v>
      </c>
      <c r="K102" s="1126">
        <f>1.942/K101</f>
        <v>1.1987654320987653</v>
      </c>
      <c r="L102" s="1126">
        <f>1.942/L101</f>
        <v>1.1987654320987653</v>
      </c>
      <c r="M102" s="1126">
        <f>1.942/M101</f>
        <v>1.1987654320987653</v>
      </c>
      <c r="N102" s="1126">
        <f>1.942/N101</f>
        <v>1.1987654320987653</v>
      </c>
    </row>
    <row r="103" spans="1:14">
      <c r="A103" s="3568"/>
      <c r="B103" s="1125">
        <v>2</v>
      </c>
      <c r="C103" s="1126">
        <f>1.4198/C101</f>
        <v>0.87641975308641962</v>
      </c>
      <c r="D103" s="1126">
        <f>1.4198/D101</f>
        <v>0.87641975308641962</v>
      </c>
      <c r="E103" s="1126">
        <f>1.3372/E101</f>
        <v>0.825432098765432</v>
      </c>
      <c r="F103" s="1126">
        <f>1.3372/F101</f>
        <v>0.825432098765432</v>
      </c>
      <c r="G103" s="1126">
        <f>1.3372/G101</f>
        <v>0.825432098765432</v>
      </c>
      <c r="H103" s="1126">
        <f>1.3372/H101</f>
        <v>0.825432098765432</v>
      </c>
      <c r="I103" s="1126">
        <f>1.3372/I101</f>
        <v>0.825432098765432</v>
      </c>
      <c r="J103" s="1126">
        <f>1.2799/J101</f>
        <v>0.79006172839506172</v>
      </c>
      <c r="K103" s="1126">
        <f>1.2799/K101</f>
        <v>0.79006172839506172</v>
      </c>
      <c r="L103" s="1126">
        <f>1.2799/L101</f>
        <v>0.79006172839506172</v>
      </c>
      <c r="M103" s="1126">
        <f>1.2799/M101</f>
        <v>0.79006172839506172</v>
      </c>
      <c r="N103" s="1126">
        <f>1.2799/N101</f>
        <v>0.79006172839506172</v>
      </c>
    </row>
    <row r="104" spans="1:14">
      <c r="A104" s="3568"/>
      <c r="B104" s="1125">
        <v>3</v>
      </c>
      <c r="C104" s="1126">
        <f>1.1594/C101</f>
        <v>0.71567901234567899</v>
      </c>
      <c r="D104" s="1126">
        <f>1.1594/D101</f>
        <v>0.71567901234567899</v>
      </c>
      <c r="E104" s="1126">
        <f>1.0788/E101</f>
        <v>0.66592592592592592</v>
      </c>
      <c r="F104" s="1126">
        <f>1.0788/F101</f>
        <v>0.66592592592592592</v>
      </c>
      <c r="G104" s="1126">
        <f>1.0788/G101</f>
        <v>0.66592592592592592</v>
      </c>
      <c r="H104" s="1126">
        <f>1.0788/H101</f>
        <v>0.66592592592592592</v>
      </c>
      <c r="I104" s="1126">
        <f>1.0788/I101</f>
        <v>0.66592592592592592</v>
      </c>
      <c r="J104" s="1126">
        <f>1.0072/J101</f>
        <v>0.62172839506172839</v>
      </c>
      <c r="K104" s="1126">
        <f>1.0072/K101</f>
        <v>0.62172839506172839</v>
      </c>
      <c r="L104" s="1126">
        <f>1.0072/L101</f>
        <v>0.62172839506172839</v>
      </c>
      <c r="M104" s="1126">
        <f>1.0072/M101</f>
        <v>0.62172839506172839</v>
      </c>
      <c r="N104" s="1126">
        <f>1.0072/N101</f>
        <v>0.62172839506172839</v>
      </c>
    </row>
    <row r="105" spans="1:14">
      <c r="A105" s="3568"/>
      <c r="B105" s="1125">
        <v>4</v>
      </c>
      <c r="C105" s="1126">
        <f>0.9622/C101</f>
        <v>0.5939506172839506</v>
      </c>
      <c r="D105" s="1126">
        <f>0.9622/D101</f>
        <v>0.5939506172839506</v>
      </c>
      <c r="E105" s="1126">
        <f>0.8656/E101</f>
        <v>0.53432098765432101</v>
      </c>
      <c r="F105" s="1126">
        <f>0.8656/F101</f>
        <v>0.53432098765432101</v>
      </c>
      <c r="G105" s="1126">
        <f>0.8656/G101</f>
        <v>0.53432098765432101</v>
      </c>
      <c r="H105" s="1126">
        <f>0.8656/H101</f>
        <v>0.53432098765432101</v>
      </c>
      <c r="I105" s="1126">
        <f>0.8656/I101</f>
        <v>0.53432098765432101</v>
      </c>
      <c r="J105" s="1126">
        <f>0.7525/J101</f>
        <v>0.46450617283950613</v>
      </c>
      <c r="K105" s="1126">
        <f>0.7525/K101</f>
        <v>0.46450617283950613</v>
      </c>
      <c r="L105" s="1126">
        <f>0.7525/L101</f>
        <v>0.46450617283950613</v>
      </c>
      <c r="M105" s="1126">
        <f>0.7525/M101</f>
        <v>0.46450617283950613</v>
      </c>
      <c r="N105" s="1126">
        <f>0.7525/N101</f>
        <v>0.46450617283950613</v>
      </c>
    </row>
    <row r="106" spans="1:14">
      <c r="A106" s="3568"/>
      <c r="B106" s="1125">
        <v>5</v>
      </c>
      <c r="C106" s="1126">
        <f>0.8417/C101</f>
        <v>0.51956790123456786</v>
      </c>
      <c r="D106" s="1126">
        <f>0.8417/D101</f>
        <v>0.51956790123456786</v>
      </c>
      <c r="E106" s="1126">
        <f>0.7371/E101</f>
        <v>0.45499999999999996</v>
      </c>
      <c r="F106" s="1126">
        <f>0.7371/F101</f>
        <v>0.45499999999999996</v>
      </c>
      <c r="G106" s="1126">
        <f>0.7371/G101</f>
        <v>0.45499999999999996</v>
      </c>
      <c r="H106" s="1126">
        <f>0.7371/H101</f>
        <v>0.45499999999999996</v>
      </c>
      <c r="I106" s="1126">
        <f>0.7371/I101</f>
        <v>0.45499999999999996</v>
      </c>
      <c r="J106" s="1126">
        <f>0.5659/J101</f>
        <v>0.34932098765432096</v>
      </c>
      <c r="K106" s="1126">
        <f>0.5659/K101</f>
        <v>0.34932098765432096</v>
      </c>
      <c r="L106" s="1126">
        <f>0.5659/L101</f>
        <v>0.34932098765432096</v>
      </c>
      <c r="M106" s="1126">
        <f>0.5659/M101</f>
        <v>0.34932098765432096</v>
      </c>
      <c r="N106" s="1126">
        <f>0.5659/N101</f>
        <v>0.34932098765432096</v>
      </c>
    </row>
    <row r="107" spans="1:14">
      <c r="A107" s="3568"/>
      <c r="B107" s="1125">
        <v>6</v>
      </c>
      <c r="C107" s="1126">
        <f>0.7608/C101</f>
        <v>0.46962962962962962</v>
      </c>
      <c r="D107" s="1126">
        <f>0.7608/D101</f>
        <v>0.46962962962962962</v>
      </c>
      <c r="E107" s="1126">
        <f>0.6482/E101</f>
        <v>0.40012345679012346</v>
      </c>
      <c r="F107" s="1126">
        <f>0.6482/F101</f>
        <v>0.40012345679012346</v>
      </c>
      <c r="G107" s="1126">
        <f>0.6482/G101</f>
        <v>0.40012345679012346</v>
      </c>
      <c r="H107" s="1126">
        <f>0.6482/H101</f>
        <v>0.40012345679012346</v>
      </c>
      <c r="I107" s="1126">
        <f>0.6482/I101</f>
        <v>0.40012345679012346</v>
      </c>
      <c r="J107" s="1126">
        <f>0.4525/J101</f>
        <v>0.27932098765432095</v>
      </c>
      <c r="K107" s="1126">
        <f>0.4525/K101</f>
        <v>0.27932098765432095</v>
      </c>
      <c r="L107" s="1126">
        <f>0.4525/L101</f>
        <v>0.27932098765432095</v>
      </c>
      <c r="M107" s="1126">
        <f>0.4525/M101</f>
        <v>0.27932098765432095</v>
      </c>
      <c r="N107" s="1126">
        <f>0.4525/N101</f>
        <v>0.27932098765432095</v>
      </c>
    </row>
    <row r="108" spans="1:14">
      <c r="A108" s="3568"/>
      <c r="B108" s="3570" t="s">
        <v>1628</v>
      </c>
      <c r="C108" s="1127">
        <f>C99</f>
        <v>1</v>
      </c>
      <c r="D108" s="1127">
        <f t="shared" ref="D108:N108" si="32">D99</f>
        <v>1</v>
      </c>
      <c r="E108" s="1127">
        <f t="shared" si="32"/>
        <v>1</v>
      </c>
      <c r="F108" s="1127">
        <f t="shared" si="32"/>
        <v>1</v>
      </c>
      <c r="G108" s="1127">
        <f t="shared" si="32"/>
        <v>1</v>
      </c>
      <c r="H108" s="1127">
        <f t="shared" si="32"/>
        <v>1</v>
      </c>
      <c r="I108" s="1127">
        <f t="shared" si="32"/>
        <v>1</v>
      </c>
      <c r="J108" s="1127">
        <f t="shared" si="32"/>
        <v>1</v>
      </c>
      <c r="K108" s="1127">
        <f t="shared" si="32"/>
        <v>1</v>
      </c>
      <c r="L108" s="1127">
        <f t="shared" si="32"/>
        <v>1</v>
      </c>
      <c r="M108" s="1127">
        <f t="shared" si="32"/>
        <v>1</v>
      </c>
      <c r="N108" s="1127">
        <f t="shared" si="32"/>
        <v>1</v>
      </c>
    </row>
    <row r="109" spans="1:14">
      <c r="A109" s="3569"/>
      <c r="B109" s="3571"/>
      <c r="C109" s="1128">
        <f>(-0.163*(C108^2)-0.59*C108+7617)*(10^(-4))/C101</f>
        <v>0.4701387037037037</v>
      </c>
      <c r="D109" s="1128">
        <f>(-0.163*(D108^2)-0.59*D108+7617)*(10^(-4))/D101</f>
        <v>0.4701387037037037</v>
      </c>
      <c r="E109" s="1128">
        <f>(-0.161*(E108^2)-7.509*E108+6533)*(10^(-4))/E101</f>
        <v>0.40279814814814813</v>
      </c>
      <c r="F109" s="1128">
        <f>(-0.161*(F108^2)-7.509*F108+6533)*(10^(-4))/F101</f>
        <v>0.40279814814814813</v>
      </c>
      <c r="G109" s="1128">
        <f>(-0.161*(G108^2)-7.509*G108+6533)*(10^(-4))/G101</f>
        <v>0.40279814814814813</v>
      </c>
      <c r="H109" s="1128">
        <f>(-0.161*(H108^2)-7.509*H108+6533)*(10^(-4))/H101</f>
        <v>0.40279814814814813</v>
      </c>
      <c r="I109" s="1128">
        <f>(-0.161*(I108^2)-7.509*I108+6533)*(10^(-4))/I101</f>
        <v>0.40279814814814813</v>
      </c>
      <c r="J109" s="1128">
        <f>(-0.214*(J108^2)-21.991*J108+4665)*(10^(-4))/J101</f>
        <v>0.28659228395061725</v>
      </c>
      <c r="K109" s="1128">
        <f>(-0.214*(K108^2)-21.991*K108+4665)*(10^(-4))/K101</f>
        <v>0.28659228395061725</v>
      </c>
      <c r="L109" s="1128">
        <f>(-0.214*(L108^2)-21.991*L108+4665)*(10^(-4))/L101</f>
        <v>0.28659228395061725</v>
      </c>
      <c r="M109" s="1128">
        <f>(-0.214*(M108^2)-21.991*M108+4665)*(10^(-4))/M101</f>
        <v>0.28659228395061725</v>
      </c>
      <c r="N109" s="1128">
        <f>(-0.214*(N108^2)-21.991*N108+4665)*(10^(-4))/N101</f>
        <v>0.28659228395061725</v>
      </c>
    </row>
    <row r="110" spans="1:14">
      <c r="A110" s="3577" t="s">
        <v>1629</v>
      </c>
      <c r="B110" s="3577"/>
      <c r="C110" s="3577"/>
      <c r="D110" s="3577"/>
      <c r="E110" s="3577"/>
      <c r="F110" s="3577"/>
      <c r="G110" s="3577"/>
      <c r="H110" s="3577"/>
      <c r="I110" s="3577"/>
      <c r="J110" s="3577"/>
      <c r="K110" s="2302"/>
      <c r="L110" s="2302"/>
      <c r="M110" s="2302"/>
      <c r="N110" s="2302"/>
    </row>
    <row r="112" spans="1:14" ht="12.75" thickBot="1"/>
    <row r="113" spans="1:13" ht="25.5" thickBot="1">
      <c r="A113" s="1002" t="s">
        <v>886</v>
      </c>
      <c r="B113" s="2305">
        <f>G3</f>
        <v>1.62</v>
      </c>
      <c r="C113" s="1003" t="s">
        <v>887</v>
      </c>
      <c r="D113" s="1004">
        <f>SUMPRODUCT((A115:A118=F113)*(B114:M114=H113)*B115:M118)</f>
        <v>0.83560000000000001</v>
      </c>
      <c r="E113" s="1005" t="s">
        <v>888</v>
      </c>
      <c r="F113" s="1006" t="str">
        <f>E2</f>
        <v>办公</v>
      </c>
      <c r="G113" s="1005" t="s">
        <v>889</v>
      </c>
      <c r="H113" s="1006" t="str">
        <f>G2</f>
        <v>七级</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0.91830000000000001</v>
      </c>
      <c r="C115" s="1016">
        <f>B115</f>
        <v>0.91830000000000001</v>
      </c>
      <c r="D115" s="1016">
        <f>ROUND(0.8331-0.0109*B113,4)</f>
        <v>0.81540000000000001</v>
      </c>
      <c r="E115" s="1016">
        <f>D115</f>
        <v>0.81540000000000001</v>
      </c>
      <c r="F115" s="1016">
        <f>E115</f>
        <v>0.81540000000000001</v>
      </c>
      <c r="G115" s="1016">
        <f>F115</f>
        <v>0.81540000000000001</v>
      </c>
      <c r="H115" s="1016">
        <f>G115</f>
        <v>0.81540000000000001</v>
      </c>
      <c r="I115" s="1016">
        <f>ROUND(0.689-0.0155*B113,4)</f>
        <v>0.66390000000000005</v>
      </c>
      <c r="J115" s="1016">
        <f t="shared" ref="J115:M118" si="33">I115</f>
        <v>0.66390000000000005</v>
      </c>
      <c r="K115" s="1016">
        <f t="shared" si="33"/>
        <v>0.66390000000000005</v>
      </c>
      <c r="L115" s="1016">
        <f t="shared" si="33"/>
        <v>0.66390000000000005</v>
      </c>
      <c r="M115" s="1017">
        <f t="shared" si="33"/>
        <v>0.66390000000000005</v>
      </c>
    </row>
    <row r="116" spans="1:13" ht="12.75">
      <c r="A116" s="1015" t="s">
        <v>891</v>
      </c>
      <c r="B116" s="1016">
        <f>ROUND(0.949-0.012*B113,4)</f>
        <v>0.92959999999999998</v>
      </c>
      <c r="C116" s="1016">
        <f>B116</f>
        <v>0.92959999999999998</v>
      </c>
      <c r="D116" s="1016">
        <f>ROUND(0.8567-0.013*B113,4)</f>
        <v>0.83560000000000001</v>
      </c>
      <c r="E116" s="1016">
        <f t="shared" ref="E116:H117" si="34">D116</f>
        <v>0.83560000000000001</v>
      </c>
      <c r="F116" s="1016">
        <f t="shared" si="34"/>
        <v>0.83560000000000001</v>
      </c>
      <c r="G116" s="1016">
        <f t="shared" si="34"/>
        <v>0.83560000000000001</v>
      </c>
      <c r="H116" s="1016">
        <f t="shared" si="34"/>
        <v>0.83560000000000001</v>
      </c>
      <c r="I116" s="1016">
        <f>ROUND(0.7694-0.014*B113,4)</f>
        <v>0.74670000000000003</v>
      </c>
      <c r="J116" s="1016">
        <f t="shared" si="33"/>
        <v>0.74670000000000003</v>
      </c>
      <c r="K116" s="1016">
        <f t="shared" si="33"/>
        <v>0.74670000000000003</v>
      </c>
      <c r="L116" s="1016">
        <f t="shared" si="33"/>
        <v>0.74670000000000003</v>
      </c>
      <c r="M116" s="1017">
        <f t="shared" si="33"/>
        <v>0.74670000000000003</v>
      </c>
    </row>
    <row r="117" spans="1:13" ht="12.75">
      <c r="A117" s="1018" t="s">
        <v>892</v>
      </c>
      <c r="B117" s="1016">
        <f>ROUND(0.8808-0.006*B113,4)</f>
        <v>0.87109999999999999</v>
      </c>
      <c r="C117" s="1016">
        <f>B117</f>
        <v>0.87109999999999999</v>
      </c>
      <c r="D117" s="1016">
        <f>ROUND(0.8748-0.008*B113,4)</f>
        <v>0.86180000000000001</v>
      </c>
      <c r="E117" s="1016">
        <f t="shared" si="34"/>
        <v>0.86180000000000001</v>
      </c>
      <c r="F117" s="1016">
        <f t="shared" si="34"/>
        <v>0.86180000000000001</v>
      </c>
      <c r="G117" s="1016">
        <f t="shared" si="34"/>
        <v>0.86180000000000001</v>
      </c>
      <c r="H117" s="1016">
        <f t="shared" si="34"/>
        <v>0.86180000000000001</v>
      </c>
      <c r="I117" s="1016">
        <f>ROUND(0.7412-0.0095*B113,4)</f>
        <v>0.7258</v>
      </c>
      <c r="J117" s="1016">
        <f t="shared" si="33"/>
        <v>0.7258</v>
      </c>
      <c r="K117" s="1016">
        <f t="shared" si="33"/>
        <v>0.7258</v>
      </c>
      <c r="L117" s="1016">
        <f t="shared" si="33"/>
        <v>0.7258</v>
      </c>
      <c r="M117" s="1017">
        <f t="shared" si="33"/>
        <v>0.7258</v>
      </c>
    </row>
    <row r="118" spans="1:13" ht="13.5" thickBot="1">
      <c r="A118" s="1019" t="s">
        <v>893</v>
      </c>
      <c r="B118" s="1020">
        <f>ROUND(0.7275-0.01*B113,4)</f>
        <v>0.71130000000000004</v>
      </c>
      <c r="C118" s="1020">
        <f>B118</f>
        <v>0.71130000000000004</v>
      </c>
      <c r="D118" s="1020">
        <f>ROUND(0.7043-0.012*B113,4)</f>
        <v>0.68489999999999995</v>
      </c>
      <c r="E118" s="1020">
        <f>D118</f>
        <v>0.68489999999999995</v>
      </c>
      <c r="F118" s="1020">
        <f>E118</f>
        <v>0.68489999999999995</v>
      </c>
      <c r="G118" s="1020">
        <f>ROUND(0.6299-0.0122*B113,4)</f>
        <v>0.61009999999999998</v>
      </c>
      <c r="H118" s="1020">
        <f>G118</f>
        <v>0.61009999999999998</v>
      </c>
      <c r="I118" s="1020">
        <f>ROUND(0.5667-0.0136*B113,4)</f>
        <v>0.54469999999999996</v>
      </c>
      <c r="J118" s="1020">
        <f t="shared" si="33"/>
        <v>0.54469999999999996</v>
      </c>
      <c r="K118" s="1020">
        <f t="shared" si="33"/>
        <v>0.54469999999999996</v>
      </c>
      <c r="L118" s="1020">
        <f t="shared" si="33"/>
        <v>0.54469999999999996</v>
      </c>
      <c r="M118" s="1021">
        <f t="shared" si="33"/>
        <v>0.54469999999999996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50" t="str">
        <f>项目基本情况!B1</f>
        <v>北京市出让国有建设用地使用权抵押价格预评估</v>
      </c>
      <c r="C37" s="3350"/>
      <c r="D37" s="3350"/>
      <c r="E37" s="3350"/>
      <c r="F37" s="3350"/>
      <c r="G37" s="3350"/>
      <c r="H37" s="3350"/>
      <c r="I37" s="3350"/>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9" sqref="C19"/>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459</v>
      </c>
      <c r="B1" s="2525" t="s">
        <v>1667</v>
      </c>
      <c r="C1" s="1985"/>
      <c r="D1" s="1985"/>
      <c r="E1" s="1985"/>
      <c r="F1" s="1985"/>
      <c r="G1" s="1985"/>
      <c r="H1" s="1985"/>
      <c r="I1" s="1985"/>
      <c r="J1" s="1985"/>
      <c r="K1" s="415">
        <f>MATCH(B1,'数据-取费表'!A6:A16,0)+5</f>
        <v>6</v>
      </c>
      <c r="L1" s="289"/>
      <c r="M1" s="289"/>
      <c r="N1" s="289"/>
      <c r="O1" s="289"/>
      <c r="P1" s="289"/>
      <c r="Q1" s="289"/>
      <c r="R1" s="289"/>
      <c r="S1" s="289"/>
      <c r="T1" s="289"/>
      <c r="U1" s="289"/>
      <c r="V1" s="289"/>
      <c r="W1" s="289"/>
      <c r="X1" s="289"/>
      <c r="Y1" s="289"/>
      <c r="Z1" s="289"/>
    </row>
    <row r="2" spans="1:31" s="1923" customFormat="1" ht="18" customHeight="1">
      <c r="A2" s="1982" t="s">
        <v>460</v>
      </c>
      <c r="B2" s="1986">
        <f ca="1">C36</f>
        <v>18759</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1674</v>
      </c>
      <c r="B3" s="1988">
        <f ca="1">ROUND(B2*10000/IF(B1="",'数据-汇总表'!E3,INDIRECT("'数据-取费表'!K"&amp;$K$1)),0)</f>
        <v>7106</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461</v>
      </c>
      <c r="B4" s="420">
        <f ca="1">ROUND(B2*10000/IF(B1="",'数据-汇总表'!D3,INDIRECT("'数据-取费表'!R"&amp;$K$1)),0)</f>
        <v>11477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765</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1832</v>
      </c>
      <c r="B6" s="2545"/>
      <c r="C6" s="2546">
        <f ca="1">SUM(C10:K10)</f>
        <v>47332</v>
      </c>
      <c r="D6" s="2545"/>
      <c r="E6" s="2545"/>
      <c r="F6" s="2545"/>
      <c r="G6" s="2545"/>
      <c r="H6" s="2545"/>
      <c r="I6" s="2545"/>
      <c r="J6" s="2545"/>
      <c r="K6" s="2547"/>
      <c r="L6" s="3195"/>
      <c r="M6" s="3195"/>
      <c r="N6" s="3195"/>
      <c r="O6" s="3195"/>
      <c r="P6" s="3195"/>
      <c r="Q6" s="3195"/>
      <c r="R6" s="3195"/>
      <c r="S6" s="3195"/>
      <c r="T6" s="3195"/>
      <c r="U6" s="3195"/>
      <c r="V6" s="3195"/>
      <c r="W6" s="3195"/>
      <c r="X6" s="3195"/>
      <c r="Y6" s="3195"/>
      <c r="Z6" s="3195"/>
    </row>
    <row r="7" spans="1:31" s="1994" customFormat="1" ht="15">
      <c r="A7" s="2548" t="s">
        <v>463</v>
      </c>
      <c r="B7" s="2549" t="s">
        <v>464</v>
      </c>
      <c r="C7" s="429" t="s">
        <v>1667</v>
      </c>
      <c r="D7" s="429"/>
      <c r="E7" s="429"/>
      <c r="F7" s="429"/>
      <c r="G7" s="429"/>
      <c r="H7" s="429"/>
      <c r="I7" s="429"/>
      <c r="J7" s="429"/>
      <c r="K7" s="430"/>
      <c r="AA7" s="1993"/>
      <c r="AB7" s="1993"/>
      <c r="AC7" s="1993"/>
      <c r="AD7" s="1993"/>
      <c r="AE7" s="1993"/>
    </row>
    <row r="8" spans="1:31" s="1996" customFormat="1" ht="13.5" customHeight="1">
      <c r="A8" s="792" t="s">
        <v>1835</v>
      </c>
      <c r="B8" s="258" t="s">
        <v>465</v>
      </c>
      <c r="C8" s="2550">
        <f ca="1">不动产收益法!B3</f>
        <v>17929</v>
      </c>
      <c r="D8" s="2550"/>
      <c r="E8" s="2550"/>
      <c r="F8" s="2550"/>
      <c r="G8" s="2550"/>
      <c r="H8" s="2550"/>
      <c r="I8" s="2550"/>
      <c r="J8" s="2550"/>
      <c r="K8" s="2551"/>
      <c r="AA8" s="1995"/>
      <c r="AB8" s="1995"/>
      <c r="AC8" s="1995"/>
      <c r="AD8" s="1995"/>
      <c r="AE8" s="1995"/>
    </row>
    <row r="9" spans="1:31" s="1996" customFormat="1" ht="13.5" customHeight="1">
      <c r="A9" s="792" t="s">
        <v>1836</v>
      </c>
      <c r="B9" s="258" t="s">
        <v>466</v>
      </c>
      <c r="C9" s="434">
        <f>SUMIF('数据-汇总表'!$C19:$C33,'剩余法-待开发'!C7,'数据-汇总表'!$E19:$E33)</f>
        <v>26400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1837</v>
      </c>
      <c r="B10" s="2538" t="s">
        <v>467</v>
      </c>
      <c r="C10" s="2740">
        <f ca="1">不动产收益法!B2</f>
        <v>47332</v>
      </c>
      <c r="D10" s="2740"/>
      <c r="E10" s="2740"/>
      <c r="F10" s="2553"/>
      <c r="G10" s="2553"/>
      <c r="H10" s="2553"/>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5"/>
      <c r="M11" s="3195"/>
      <c r="N11" s="3195"/>
      <c r="O11" s="3195"/>
      <c r="P11" s="3195"/>
      <c r="Q11" s="3195"/>
      <c r="R11" s="3195"/>
      <c r="S11" s="3195"/>
      <c r="T11" s="3195"/>
      <c r="U11" s="3195"/>
      <c r="V11" s="3195"/>
      <c r="W11" s="3195"/>
      <c r="X11" s="3195"/>
      <c r="Y11" s="3195"/>
      <c r="Z11" s="3195"/>
    </row>
    <row r="12" spans="1:31" s="1966" customFormat="1" ht="13.5" customHeight="1">
      <c r="A12" s="2556" t="s">
        <v>463</v>
      </c>
      <c r="B12" s="2528" t="s">
        <v>464</v>
      </c>
      <c r="C12" s="2557" t="s">
        <v>468</v>
      </c>
      <c r="D12" s="2524" t="s">
        <v>469</v>
      </c>
      <c r="E12" s="2524" t="s">
        <v>470</v>
      </c>
      <c r="F12" s="2524" t="s">
        <v>471</v>
      </c>
      <c r="G12" s="2528"/>
      <c r="H12" s="2529"/>
      <c r="I12" s="2529"/>
      <c r="J12" s="2529"/>
      <c r="K12" s="2530"/>
      <c r="L12" s="3196"/>
      <c r="M12" s="3196"/>
      <c r="N12" s="3196"/>
      <c r="O12" s="3196"/>
      <c r="P12" s="3196"/>
      <c r="Q12" s="3196"/>
      <c r="R12" s="3196"/>
      <c r="S12" s="3196"/>
      <c r="T12" s="3196"/>
      <c r="U12" s="3196"/>
      <c r="V12" s="3196"/>
      <c r="W12" s="3196"/>
      <c r="X12" s="3196"/>
      <c r="Y12" s="3196"/>
      <c r="Z12" s="3196"/>
    </row>
    <row r="13" spans="1:31" s="1997" customFormat="1" ht="13.5" customHeight="1">
      <c r="A13" s="2558" t="s">
        <v>1838</v>
      </c>
      <c r="B13" s="2559" t="s">
        <v>472</v>
      </c>
      <c r="C13" s="443">
        <f ca="1">IF(B1="",'数据-取费表'!P16,INDIRECT("'数据-取费表'!p"&amp;$K$1)+INDIRECT("'数据-取费表'!t"&amp;$K$1))</f>
        <v>15840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473</v>
      </c>
      <c r="C14" s="53">
        <f ca="1">ROUND(C13*F14,0)</f>
        <v>475</v>
      </c>
      <c r="D14" s="2560"/>
      <c r="E14" s="2561"/>
      <c r="F14" s="2563">
        <f>'数据-取费表'!B33</f>
        <v>0.03</v>
      </c>
      <c r="G14" s="2528" t="s">
        <v>474</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475</v>
      </c>
      <c r="C15" s="53">
        <f ca="1">ROUND(IF(B1="",SUMIF('数据-取费表'!C:C,"住宅",'数据-取费表'!P:P)*F15,IF(INDIRECT("'数据-取费表'!c"&amp;$K$1)="住宅",INDIRECT("'数据-取费表'!P"&amp;$K$1)*F15,0)),0)</f>
        <v>0</v>
      </c>
      <c r="D15" s="2560"/>
      <c r="E15" s="2561"/>
      <c r="F15" s="2563">
        <f>'数据-取费表'!B34</f>
        <v>0.05</v>
      </c>
      <c r="G15" s="2528" t="s">
        <v>476</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477</v>
      </c>
      <c r="C16" s="53">
        <f ca="1">ROUND(D16*E16/10000,0)</f>
        <v>528</v>
      </c>
      <c r="D16" s="2560">
        <f ca="1">IF(B1="",'数据-汇总表'!E3,INDIRECT("'数据-取费表'!K"&amp;$K$1)+INDIRECT("'数据-取费表'!S"&amp;$K$1))</f>
        <v>26400</v>
      </c>
      <c r="E16" s="53">
        <f>'数据-取费表'!B35</f>
        <v>200</v>
      </c>
      <c r="F16" s="2563"/>
      <c r="G16" s="2528"/>
      <c r="H16" s="2529"/>
      <c r="I16" s="2529"/>
      <c r="J16" s="2529"/>
      <c r="K16" s="2530"/>
      <c r="AA16" s="1997"/>
      <c r="AB16" s="1997"/>
      <c r="AC16" s="1997"/>
      <c r="AD16" s="1997"/>
      <c r="AE16" s="1997"/>
    </row>
    <row r="17" spans="1:26" s="1997" customFormat="1" ht="13.5" customHeight="1">
      <c r="A17" s="2558" t="s">
        <v>1842</v>
      </c>
      <c r="B17" s="2559" t="s">
        <v>478</v>
      </c>
      <c r="C17" s="2564">
        <f ca="1">ROUND(C13*F17,0)</f>
        <v>238</v>
      </c>
      <c r="D17" s="468"/>
      <c r="E17" s="2564"/>
      <c r="F17" s="2565">
        <f>'数据-取费表'!B36</f>
        <v>1.4999999999999999E-2</v>
      </c>
      <c r="G17" s="258" t="s">
        <v>479</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480</v>
      </c>
      <c r="C18" s="2568">
        <f ca="1">SUM(C13:C17)</f>
        <v>17081</v>
      </c>
      <c r="D18" s="2569"/>
      <c r="E18" s="461"/>
      <c r="F18" s="461"/>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481</v>
      </c>
      <c r="C19" s="2524">
        <f ca="1">ROUND(D19*E19/10000,0)</f>
        <v>0</v>
      </c>
      <c r="D19" s="2570">
        <f ca="1">D16</f>
        <v>26400</v>
      </c>
      <c r="E19" s="2524">
        <f>'数据-取费表'!B32</f>
        <v>0</v>
      </c>
      <c r="F19" s="461"/>
      <c r="G19" s="2528" t="s">
        <v>482</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483</v>
      </c>
      <c r="C20" s="3332">
        <f ca="1">C21+C22-IF(B1="",'数据-取费表'!B29,IF(G20="已全部缴纳",C21+C22,H20))</f>
        <v>528</v>
      </c>
      <c r="D20" s="2570"/>
      <c r="E20" s="2524"/>
      <c r="F20" s="2571"/>
      <c r="G20" s="2774" t="s">
        <v>3255</v>
      </c>
      <c r="H20" s="2526"/>
      <c r="I20" s="2527" t="s">
        <v>2630</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484</v>
      </c>
      <c r="C21" s="53">
        <f ca="1">ROUND(D21*E21/10000,0)</f>
        <v>0</v>
      </c>
      <c r="D21" s="2560">
        <f ca="1">IF(B1="",'数据-汇总表'!E5,IF(INDIRECT("'数据-取费表'!c"&amp;$K$1)="住宅",INDIRECT("'数据-取费表'!k"&amp;$K$1),0))</f>
        <v>0</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485</v>
      </c>
      <c r="C22" s="53">
        <f ca="1">ROUND(D22*E22/10000,0)</f>
        <v>528</v>
      </c>
      <c r="D22" s="2560">
        <f ca="1">IF(B1="",'数据-汇总表'!E6,IF(INDIRECT("'数据-取费表'!c"&amp;$K$1)="住宅",INDIRECT("'数据-取费表'!s"&amp;$K$1),INDIRECT("'数据-取费表'!k"&amp;$K$1)+INDIRECT("'数据-取费表'!s"&amp;$K$1)))</f>
        <v>26400</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6" t="s">
        <v>2812</v>
      </c>
      <c r="C23" s="2568">
        <f ca="1">ROUND((C18+C19+C20)*F23,0)</f>
        <v>352</v>
      </c>
      <c r="D23" s="461"/>
      <c r="E23" s="461"/>
      <c r="F23" s="2572">
        <f>'数据-取费表'!B37</f>
        <v>0.02</v>
      </c>
      <c r="G23" s="2528" t="s">
        <v>2414</v>
      </c>
      <c r="H23" s="2529"/>
      <c r="I23" s="2529"/>
      <c r="J23" s="2529"/>
      <c r="K23" s="2530"/>
      <c r="L23" s="3197"/>
      <c r="M23" s="3197"/>
      <c r="N23" s="3197"/>
      <c r="O23" s="1998"/>
      <c r="P23" s="1998"/>
      <c r="Q23" s="1998"/>
      <c r="R23" s="1998"/>
      <c r="S23" s="1998"/>
      <c r="T23" s="1998"/>
      <c r="U23" s="1998"/>
      <c r="V23" s="1998"/>
      <c r="W23" s="1998"/>
      <c r="X23" s="1998"/>
      <c r="Y23" s="1998"/>
      <c r="Z23" s="1998"/>
    </row>
    <row r="24" spans="1:26" s="1997" customFormat="1" ht="13.5" customHeight="1">
      <c r="A24" s="2566" t="s">
        <v>1849</v>
      </c>
      <c r="B24" s="2746" t="s">
        <v>2815</v>
      </c>
      <c r="C24" s="2568">
        <f ca="1">ROUND(C6*F24,0)</f>
        <v>947</v>
      </c>
      <c r="D24" s="468"/>
      <c r="E24" s="466"/>
      <c r="F24" s="2572">
        <f>'数据-取费表'!B38</f>
        <v>0.02</v>
      </c>
      <c r="G24" s="2537" t="s">
        <v>492</v>
      </c>
      <c r="H24" s="2531"/>
      <c r="I24" s="2531"/>
      <c r="J24" s="2531"/>
      <c r="K24" s="276"/>
      <c r="L24" s="3197"/>
      <c r="M24" s="3197"/>
      <c r="N24" s="3197"/>
      <c r="O24" s="1998"/>
      <c r="P24" s="1998"/>
      <c r="Q24" s="1998"/>
      <c r="R24" s="1998"/>
      <c r="S24" s="1998"/>
      <c r="T24" s="1998"/>
      <c r="U24" s="1998"/>
      <c r="V24" s="1998"/>
      <c r="W24" s="1998"/>
      <c r="X24" s="1998"/>
      <c r="Y24" s="1998"/>
      <c r="Z24" s="1998"/>
    </row>
    <row r="25" spans="1:26" s="2000" customFormat="1" ht="13.5" customHeight="1">
      <c r="A25" s="2566" t="s">
        <v>1850</v>
      </c>
      <c r="B25" s="2746" t="s">
        <v>2813</v>
      </c>
      <c r="C25" s="460">
        <f>ROUND(F25/(1+'数据-取费表'!C42),4)</f>
        <v>2.9000000000000001E-2</v>
      </c>
      <c r="D25" s="455" t="s">
        <v>2807</v>
      </c>
      <c r="E25" s="462"/>
      <c r="F25" s="2572">
        <f>IF(项目基本情况!B8="出让",0,'数据-取费表'!B48+'数据-取费表'!B49)</f>
        <v>3.0499999999999999E-2</v>
      </c>
      <c r="G25" s="2536" t="s">
        <v>2276</v>
      </c>
      <c r="H25" s="2529"/>
      <c r="I25" s="2529"/>
      <c r="J25" s="2529"/>
      <c r="K25" s="2530"/>
      <c r="L25" s="3198"/>
      <c r="M25" s="3198"/>
      <c r="N25" s="3198"/>
      <c r="O25" s="3198"/>
      <c r="P25" s="3198"/>
      <c r="Q25" s="3198"/>
      <c r="R25" s="3198"/>
      <c r="S25" s="3198"/>
      <c r="T25" s="3198"/>
      <c r="U25" s="3198"/>
      <c r="V25" s="3198"/>
      <c r="W25" s="3198"/>
      <c r="X25" s="3198"/>
      <c r="Y25" s="3198"/>
      <c r="Z25" s="3198"/>
    </row>
    <row r="26" spans="1:26" s="1999" customFormat="1" ht="13.5" customHeight="1">
      <c r="A26" s="2566" t="s">
        <v>1851</v>
      </c>
      <c r="B26" s="2747" t="s">
        <v>2814</v>
      </c>
      <c r="C26" s="2573">
        <f ca="1">C28</f>
        <v>898</v>
      </c>
      <c r="D26" s="460">
        <f ca="1">C27</f>
        <v>0.10009999999999999</v>
      </c>
      <c r="E26" s="462" t="s">
        <v>488</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7"/>
      <c r="M26" s="3197"/>
      <c r="N26" s="3197"/>
      <c r="O26" s="3197"/>
      <c r="P26" s="3197"/>
      <c r="Q26" s="3197"/>
      <c r="R26" s="3197"/>
      <c r="S26" s="3197"/>
      <c r="T26" s="3197"/>
      <c r="U26" s="3197"/>
      <c r="V26" s="3197"/>
      <c r="W26" s="3197"/>
      <c r="X26" s="3197"/>
      <c r="Y26" s="3197"/>
      <c r="Z26" s="3197"/>
    </row>
    <row r="27" spans="1:26" s="2001" customFormat="1" ht="13.5" customHeight="1">
      <c r="A27" s="792" t="s">
        <v>1846</v>
      </c>
      <c r="B27" s="2574" t="s">
        <v>489</v>
      </c>
      <c r="C27" s="2575">
        <f ca="1">ROUND(IF('数据-取费表'!B22&lt;=1,(1+C25)*F26*'数据-取费表'!B24,(1+C25)*(POWER((1+F26),'数据-取费表'!B24)-1)),4)</f>
        <v>0.10009999999999999</v>
      </c>
      <c r="D27" s="465"/>
      <c r="E27" s="466"/>
      <c r="F27" s="467"/>
      <c r="G27" s="2423" t="str">
        <f>IF('数据-取费表'!B22&lt;=1,"（1+取得税费率/(1+5%)）×年利率×建设期","（1+取得税费率）/(1+5%)×((1+年利率)^建设期-1)")</f>
        <v>（1+取得税费率）/(1+5%)×((1+年利率)^建设期-1)</v>
      </c>
      <c r="H27" s="2531"/>
      <c r="I27" s="2531"/>
      <c r="J27" s="2531"/>
      <c r="K27" s="276"/>
      <c r="L27" s="3199"/>
      <c r="M27" s="3199"/>
      <c r="N27" s="3199"/>
      <c r="O27" s="3199"/>
      <c r="P27" s="3199"/>
      <c r="Q27" s="3199"/>
      <c r="R27" s="3199"/>
      <c r="S27" s="3199"/>
      <c r="T27" s="3199"/>
      <c r="U27" s="3199"/>
      <c r="V27" s="3199"/>
      <c r="W27" s="3199"/>
      <c r="X27" s="3199"/>
      <c r="Y27" s="3199"/>
      <c r="Z27" s="3199"/>
    </row>
    <row r="28" spans="1:26" s="2001" customFormat="1" ht="13.5" customHeight="1">
      <c r="A28" s="792" t="s">
        <v>1847</v>
      </c>
      <c r="B28" s="2574" t="s">
        <v>2816</v>
      </c>
      <c r="C28" s="2576">
        <f ca="1">ROUND(IF('数据-取费表'!B22&lt;=1,(C18+C19+C20+C23+C24)*F26*'数据-取费表'!B24/2,(C18+C19+C20+C23+C24)*(POWER((1+F26),'数据-取费表'!B24/2)-1)),0)</f>
        <v>898</v>
      </c>
      <c r="D28" s="465"/>
      <c r="E28" s="466"/>
      <c r="F28" s="467"/>
      <c r="G28" s="2423" t="str">
        <f>IF('数据-取费表'!B22&lt;=1,"（1）-（4）项×年利率×建设期÷2","（1）-（4）项×((1+年利率)^(建设期÷2)-1)")</f>
        <v>（1）-（4）项×((1+年利率)^(建设期÷2)-1)</v>
      </c>
      <c r="H28" s="2531"/>
      <c r="I28" s="2531"/>
      <c r="J28" s="2531"/>
      <c r="K28" s="276"/>
      <c r="L28" s="3199"/>
      <c r="M28" s="3199"/>
      <c r="N28" s="3199"/>
      <c r="O28" s="3199"/>
      <c r="P28" s="3199"/>
      <c r="Q28" s="3199"/>
      <c r="R28" s="3199"/>
      <c r="S28" s="3199"/>
      <c r="T28" s="3199"/>
      <c r="U28" s="3199"/>
      <c r="V28" s="3199"/>
      <c r="W28" s="3199"/>
      <c r="X28" s="3199"/>
      <c r="Y28" s="3199"/>
      <c r="Z28" s="3199"/>
    </row>
    <row r="29" spans="1:26" s="2001" customFormat="1" ht="13.5" customHeight="1">
      <c r="A29" s="2577" t="s">
        <v>1852</v>
      </c>
      <c r="B29" s="2567" t="s">
        <v>490</v>
      </c>
      <c r="C29" s="2568">
        <f ca="1">ROUND(C6*F29/(1+'数据-取费表'!C42),0)</f>
        <v>2524</v>
      </c>
      <c r="D29" s="461"/>
      <c r="E29" s="461"/>
      <c r="F29" s="2748">
        <f>'数据-取费表'!B41</f>
        <v>5.6000000000000001E-2</v>
      </c>
      <c r="G29" s="2537" t="s">
        <v>491</v>
      </c>
      <c r="H29" s="2529"/>
      <c r="I29" s="2529"/>
      <c r="J29" s="2529"/>
      <c r="K29" s="2530"/>
      <c r="L29" s="3199"/>
      <c r="M29" s="3199"/>
      <c r="N29" s="3199"/>
      <c r="O29" s="3199"/>
      <c r="P29" s="3199"/>
      <c r="Q29" s="3199"/>
      <c r="R29" s="3199"/>
      <c r="S29" s="3199"/>
      <c r="T29" s="3199"/>
      <c r="U29" s="3199"/>
      <c r="V29" s="3199"/>
      <c r="W29" s="3199"/>
      <c r="X29" s="3199"/>
      <c r="Y29" s="3199"/>
      <c r="Z29" s="3199"/>
    </row>
    <row r="30" spans="1:26" s="2002" customFormat="1" ht="13.5" customHeight="1">
      <c r="A30" s="1562" t="s">
        <v>1853</v>
      </c>
      <c r="B30" s="2578" t="s">
        <v>493</v>
      </c>
      <c r="C30" s="2573">
        <f ca="1">C31</f>
        <v>22330</v>
      </c>
      <c r="D30" s="470">
        <f ca="1">C32</f>
        <v>0.12909999999999999</v>
      </c>
      <c r="E30" s="462" t="s">
        <v>488</v>
      </c>
      <c r="F30" s="464"/>
      <c r="G30" s="2536" t="s">
        <v>2935</v>
      </c>
      <c r="H30" s="2529"/>
      <c r="I30" s="2529"/>
      <c r="J30" s="2529"/>
      <c r="K30" s="2530"/>
      <c r="L30" s="3200"/>
      <c r="M30" s="3200"/>
      <c r="N30" s="3200"/>
      <c r="O30" s="3200"/>
      <c r="P30" s="3200"/>
      <c r="Q30" s="3200"/>
      <c r="R30" s="3200"/>
      <c r="S30" s="3200"/>
      <c r="T30" s="3200"/>
      <c r="U30" s="3200"/>
      <c r="V30" s="3200"/>
      <c r="W30" s="3200"/>
      <c r="X30" s="3200"/>
      <c r="Y30" s="3200"/>
      <c r="Z30" s="3200"/>
    </row>
    <row r="31" spans="1:26" s="2001" customFormat="1" ht="13.5" customHeight="1">
      <c r="A31" s="792" t="s">
        <v>1846</v>
      </c>
      <c r="B31" s="2574"/>
      <c r="C31" s="443">
        <f ca="1">C18+C19+C20+C23+C24+C26+C29</f>
        <v>22330</v>
      </c>
      <c r="D31" s="465"/>
      <c r="E31" s="466"/>
      <c r="F31" s="467"/>
      <c r="G31" s="258"/>
      <c r="H31" s="2531"/>
      <c r="I31" s="2531"/>
      <c r="J31" s="2531"/>
      <c r="K31" s="276"/>
      <c r="L31" s="3199"/>
      <c r="M31" s="3199"/>
      <c r="N31" s="3199"/>
      <c r="O31" s="3199"/>
      <c r="P31" s="3199"/>
      <c r="Q31" s="3199"/>
      <c r="R31" s="3199"/>
      <c r="S31" s="3199"/>
      <c r="T31" s="3199"/>
      <c r="U31" s="3199"/>
      <c r="V31" s="3199"/>
      <c r="W31" s="3199"/>
      <c r="X31" s="3199"/>
      <c r="Y31" s="3199"/>
      <c r="Z31" s="3199"/>
    </row>
    <row r="32" spans="1:26" s="2001" customFormat="1" ht="13.5" customHeight="1">
      <c r="A32" s="792" t="s">
        <v>1847</v>
      </c>
      <c r="B32" s="2574"/>
      <c r="C32" s="53">
        <f ca="1">ROUND(C25+D26,4)</f>
        <v>0.12909999999999999</v>
      </c>
      <c r="D32" s="465"/>
      <c r="E32" s="466"/>
      <c r="F32" s="467"/>
      <c r="G32" s="258"/>
      <c r="H32" s="2531"/>
      <c r="I32" s="2531"/>
      <c r="J32" s="2531"/>
      <c r="K32" s="276"/>
      <c r="L32" s="3199"/>
      <c r="M32" s="3199"/>
      <c r="N32" s="3199"/>
      <c r="O32" s="3199"/>
      <c r="P32" s="3199"/>
      <c r="Q32" s="3199"/>
      <c r="R32" s="3199"/>
      <c r="S32" s="3199"/>
      <c r="T32" s="3199"/>
      <c r="U32" s="3199"/>
      <c r="V32" s="3199"/>
      <c r="W32" s="3199"/>
      <c r="X32" s="3199"/>
      <c r="Y32" s="3199"/>
      <c r="Z32" s="3199"/>
    </row>
    <row r="33" spans="1:26" s="2003" customFormat="1" ht="13.5" customHeight="1">
      <c r="A33" s="2745" t="s">
        <v>2811</v>
      </c>
      <c r="B33" s="2743" t="s">
        <v>2809</v>
      </c>
      <c r="C33" s="471">
        <f ca="1">C35</f>
        <v>1891</v>
      </c>
      <c r="D33" s="460">
        <f ca="1">C34</f>
        <v>0.10290000000000001</v>
      </c>
      <c r="E33" s="462" t="s">
        <v>488</v>
      </c>
      <c r="F33" s="472">
        <f ca="1">IF(B1="",'数据-取费表'!Q16,INDIRECT("'数据-取费表'!q"&amp;$K$1))</f>
        <v>0.1</v>
      </c>
      <c r="G33" s="2532"/>
      <c r="H33" s="2533"/>
      <c r="I33" s="2533"/>
      <c r="J33" s="2533"/>
      <c r="K33" s="2534"/>
      <c r="L33" s="3201"/>
      <c r="M33" s="3201"/>
      <c r="N33" s="3201"/>
      <c r="O33" s="3201"/>
      <c r="P33" s="3201"/>
      <c r="Q33" s="3201"/>
      <c r="R33" s="3201"/>
      <c r="S33" s="3201"/>
      <c r="T33" s="3201"/>
      <c r="U33" s="3201"/>
      <c r="V33" s="3201"/>
      <c r="W33" s="3201"/>
      <c r="X33" s="3201"/>
      <c r="Y33" s="3201"/>
      <c r="Z33" s="3201"/>
    </row>
    <row r="34" spans="1:26" s="2004" customFormat="1" ht="13.5" customHeight="1">
      <c r="A34" s="368" t="s">
        <v>1846</v>
      </c>
      <c r="B34" s="2579" t="s">
        <v>494</v>
      </c>
      <c r="C34" s="465">
        <f ca="1">ROUND((1+C25)*F33,4)</f>
        <v>0.10290000000000001</v>
      </c>
      <c r="D34" s="465"/>
      <c r="E34" s="466"/>
      <c r="F34" s="473"/>
      <c r="G34" s="258" t="s">
        <v>2277</v>
      </c>
      <c r="H34" s="2531"/>
      <c r="I34" s="2531"/>
      <c r="J34" s="2531"/>
      <c r="K34" s="276"/>
      <c r="L34" s="3202"/>
      <c r="M34" s="3202"/>
      <c r="N34" s="3202"/>
      <c r="O34" s="3202"/>
      <c r="P34" s="3202"/>
      <c r="Q34" s="3202"/>
      <c r="R34" s="3202"/>
      <c r="S34" s="3202"/>
      <c r="T34" s="3202"/>
      <c r="U34" s="3202"/>
      <c r="V34" s="3202"/>
      <c r="W34" s="3202"/>
      <c r="X34" s="3202"/>
      <c r="Y34" s="3202"/>
      <c r="Z34" s="3202"/>
    </row>
    <row r="35" spans="1:26" s="2004" customFormat="1" ht="13.5" customHeight="1" thickBot="1">
      <c r="A35" s="1563" t="s">
        <v>1847</v>
      </c>
      <c r="B35" s="2744" t="s">
        <v>2817</v>
      </c>
      <c r="C35" s="1555">
        <f ca="1">ROUND((C18+C19+C20+C23+C24)*F33,0)</f>
        <v>1891</v>
      </c>
      <c r="D35" s="1556"/>
      <c r="E35" s="2580"/>
      <c r="F35" s="1557"/>
      <c r="G35" s="2538"/>
      <c r="H35" s="2539"/>
      <c r="I35" s="2539"/>
      <c r="J35" s="2539"/>
      <c r="K35" s="2540"/>
      <c r="L35" s="3202"/>
      <c r="M35" s="3202"/>
      <c r="N35" s="3202"/>
      <c r="O35" s="3202"/>
      <c r="P35" s="3202"/>
      <c r="Q35" s="3202"/>
      <c r="R35" s="3202"/>
      <c r="S35" s="3202"/>
      <c r="T35" s="3202"/>
      <c r="U35" s="3202"/>
      <c r="V35" s="3202"/>
      <c r="W35" s="3202"/>
      <c r="X35" s="3202"/>
      <c r="Y35" s="3202"/>
      <c r="Z35" s="3202"/>
    </row>
    <row r="36" spans="1:26" s="1966" customFormat="1" ht="13.5" customHeight="1" thickBot="1">
      <c r="A36" s="281" t="s">
        <v>1834</v>
      </c>
      <c r="B36" s="2542"/>
      <c r="C36" s="2581">
        <f ca="1">ROUND((C6-C30-C33)/(1+D30+D33),0)</f>
        <v>18759</v>
      </c>
      <c r="D36" s="2542"/>
      <c r="E36" s="2542"/>
      <c r="F36" s="2542"/>
      <c r="G36" s="2541" t="s">
        <v>2818</v>
      </c>
      <c r="H36" s="2542"/>
      <c r="I36" s="2542"/>
      <c r="J36" s="2542"/>
      <c r="K36" s="2543"/>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459</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41" s="1923" customFormat="1" ht="18" customHeight="1">
      <c r="A2" s="416" t="s">
        <v>460</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1674</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461</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462</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2631</v>
      </c>
      <c r="B6" s="426"/>
      <c r="C6" s="1550">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7" t="s">
        <v>463</v>
      </c>
      <c r="B7" s="428" t="s">
        <v>464</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1" t="s">
        <v>465</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467</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5"/>
      <c r="M11" s="3195"/>
      <c r="N11" s="3195"/>
      <c r="O11" s="3195"/>
      <c r="P11" s="3195"/>
      <c r="Q11" s="3195"/>
      <c r="R11" s="3195"/>
      <c r="S11" s="3195"/>
      <c r="T11" s="3195"/>
      <c r="U11" s="3195"/>
      <c r="V11" s="3195"/>
      <c r="W11" s="3195"/>
      <c r="X11" s="3195"/>
      <c r="Y11" s="3195"/>
      <c r="Z11" s="3195"/>
    </row>
    <row r="12" spans="1:41" s="1966" customFormat="1" ht="13.5" customHeight="1">
      <c r="A12" s="427" t="s">
        <v>463</v>
      </c>
      <c r="B12" s="437" t="s">
        <v>464</v>
      </c>
      <c r="C12" s="438" t="s">
        <v>468</v>
      </c>
      <c r="D12" s="439" t="s">
        <v>469</v>
      </c>
      <c r="E12" s="439" t="s">
        <v>470</v>
      </c>
      <c r="F12" s="439" t="s">
        <v>471</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7" customFormat="1" ht="13.5" customHeight="1">
      <c r="A13" s="1560" t="s">
        <v>1838</v>
      </c>
      <c r="B13" s="442" t="s">
        <v>472</v>
      </c>
      <c r="C13" s="443">
        <f ca="1">IF(B1="",'数据-取费表'!M16,INDIRECT("'数据-取费表'!M"&amp;$K$1)+INDIRECT("'数据-取费表'!t"&amp;$K$1))</f>
        <v>15840</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2" t="s">
        <v>473</v>
      </c>
      <c r="C14" s="53">
        <f ca="1">ROUND(C13*F14,0)</f>
        <v>475</v>
      </c>
      <c r="D14" s="444"/>
      <c r="E14" s="362"/>
      <c r="F14" s="446">
        <f>'数据-取费表'!B33</f>
        <v>0.03</v>
      </c>
      <c r="G14" s="437" t="s">
        <v>495</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2" t="s">
        <v>475</v>
      </c>
      <c r="C15" s="53">
        <f ca="1">ROUND(IF(B1="",SUMIF('数据-取费表'!C:C,"住宅",'数据-取费表'!M:M)*F15,IF(INDIRECT("'数据-取费表'!c"&amp;$K$1)="住宅",INDIRECT("'数据-取费表'!M"&amp;$K$1)*F15,0)),0)</f>
        <v>0</v>
      </c>
      <c r="D15" s="444"/>
      <c r="E15" s="362"/>
      <c r="F15" s="446">
        <f>'数据-取费表'!B34</f>
        <v>0.05</v>
      </c>
      <c r="G15" s="437" t="s">
        <v>495</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2" t="s">
        <v>477</v>
      </c>
      <c r="C16" s="53">
        <f ca="1">ROUND(D16*E16/10000,0)</f>
        <v>528</v>
      </c>
      <c r="D16" s="444">
        <f ca="1">IF(B1="",'数据-汇总表'!E3,INDIRECT("'数据-取费表'!K"&amp;$K$1)+INDIRECT("'数据-取费表'!S"&amp;$K$1))</f>
        <v>26400</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2" t="s">
        <v>478</v>
      </c>
      <c r="C17" s="447">
        <f ca="1">ROUND(C13*F17,0)</f>
        <v>238</v>
      </c>
      <c r="D17" s="448"/>
      <c r="E17" s="447"/>
      <c r="F17" s="449">
        <f>'数据-取费表'!B36</f>
        <v>1.4999999999999999E-2</v>
      </c>
      <c r="G17" s="437" t="s">
        <v>495</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2" t="s">
        <v>480</v>
      </c>
      <c r="C18" s="453">
        <f ca="1">SUM(C13:C17)</f>
        <v>17081</v>
      </c>
      <c r="D18" s="454"/>
      <c r="E18" s="455"/>
      <c r="F18" s="455"/>
      <c r="G18" s="1280" t="s">
        <v>2415</v>
      </c>
      <c r="H18" s="440"/>
      <c r="I18" s="440"/>
      <c r="J18" s="440"/>
      <c r="K18" s="441"/>
      <c r="L18" s="3198"/>
      <c r="M18" s="3198"/>
      <c r="N18" s="3198"/>
      <c r="O18" s="3198"/>
      <c r="P18" s="3198"/>
      <c r="Q18" s="3198"/>
      <c r="R18" s="3198"/>
      <c r="S18" s="3198"/>
      <c r="T18" s="3198"/>
      <c r="U18" s="3198"/>
      <c r="V18" s="3198"/>
      <c r="W18" s="3198"/>
      <c r="X18" s="3198"/>
      <c r="Y18" s="3198"/>
      <c r="Z18" s="3198"/>
    </row>
    <row r="19" spans="1:26" s="2000" customFormat="1" ht="13.5" customHeight="1">
      <c r="A19" s="1561" t="s">
        <v>1844</v>
      </c>
      <c r="B19" s="452" t="s">
        <v>486</v>
      </c>
      <c r="C19" s="453">
        <f ca="1">ROUND(C18*F19,0)</f>
        <v>342</v>
      </c>
      <c r="D19" s="455"/>
      <c r="E19" s="455"/>
      <c r="F19" s="459">
        <f>'数据-取费表'!B37</f>
        <v>0.02</v>
      </c>
      <c r="G19" s="437" t="s">
        <v>496</v>
      </c>
      <c r="H19" s="440"/>
      <c r="I19" s="440"/>
      <c r="J19" s="440"/>
      <c r="K19" s="441"/>
      <c r="L19" s="3200"/>
      <c r="M19" s="3200"/>
      <c r="N19" s="3200"/>
      <c r="O19" s="3198"/>
      <c r="P19" s="3198"/>
      <c r="Q19" s="3198"/>
      <c r="R19" s="3198"/>
      <c r="S19" s="3198"/>
      <c r="T19" s="3198"/>
      <c r="U19" s="3198"/>
      <c r="V19" s="3198"/>
      <c r="W19" s="3198"/>
      <c r="X19" s="3198"/>
      <c r="Y19" s="3198"/>
      <c r="Z19" s="3198"/>
    </row>
    <row r="20" spans="1:26" s="2000" customFormat="1" ht="13.5" customHeight="1">
      <c r="A20" s="1561" t="s">
        <v>1845</v>
      </c>
      <c r="B20" s="452" t="s">
        <v>497</v>
      </c>
      <c r="C20" s="2741">
        <f>F20</f>
        <v>0.02</v>
      </c>
      <c r="D20" s="462" t="s">
        <v>498</v>
      </c>
      <c r="E20" s="462"/>
      <c r="F20" s="479">
        <f>'数据-取费表'!B38</f>
        <v>0.02</v>
      </c>
      <c r="G20" s="1280" t="s">
        <v>499</v>
      </c>
      <c r="H20" s="440"/>
      <c r="I20" s="440"/>
      <c r="J20" s="440"/>
      <c r="K20" s="441"/>
      <c r="L20" s="3200"/>
      <c r="M20" s="3200"/>
      <c r="N20" s="3200"/>
      <c r="O20" s="3198"/>
      <c r="P20" s="3198"/>
      <c r="Q20" s="3198"/>
      <c r="R20" s="3198"/>
      <c r="S20" s="3198"/>
      <c r="T20" s="3198"/>
      <c r="U20" s="3198"/>
      <c r="V20" s="3198"/>
      <c r="W20" s="3198"/>
      <c r="X20" s="3198"/>
      <c r="Y20" s="3198"/>
      <c r="Z20" s="3198"/>
    </row>
    <row r="21" spans="1:26" s="2002" customFormat="1" ht="13.5" customHeight="1">
      <c r="A21" s="1561" t="s">
        <v>1848</v>
      </c>
      <c r="B21" s="454" t="s">
        <v>487</v>
      </c>
      <c r="C21" s="463">
        <f ca="1">C22</f>
        <v>828</v>
      </c>
      <c r="D21" s="460">
        <f ca="1">C23</f>
        <v>1E-3</v>
      </c>
      <c r="E21" s="462" t="s">
        <v>500</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6" t="s">
        <v>2436</v>
      </c>
      <c r="M21" s="3207"/>
      <c r="N21" s="3207"/>
      <c r="O21" s="3207"/>
      <c r="P21" s="3207"/>
      <c r="Q21" s="3200"/>
      <c r="R21" s="3200"/>
      <c r="S21" s="3200"/>
      <c r="T21" s="3200"/>
      <c r="U21" s="3200"/>
      <c r="V21" s="3200"/>
      <c r="W21" s="3200"/>
      <c r="X21" s="3200"/>
      <c r="Y21" s="3200"/>
      <c r="Z21" s="3200"/>
    </row>
    <row r="22" spans="1:26" s="2001" customFormat="1" ht="13.5" customHeight="1">
      <c r="A22" s="1560" t="s">
        <v>1838</v>
      </c>
      <c r="B22" s="1281" t="s">
        <v>2418</v>
      </c>
      <c r="C22" s="480">
        <f ca="1">ROUND(IF('数据-取费表'!B22&lt;=1,(C18+C19)*F21*'数据-取费表'!B20/2,(C18+C19)*(POWER((1+F21),'数据-取费表'!B20/2)-1)),0)</f>
        <v>828</v>
      </c>
      <c r="D22" s="465"/>
      <c r="E22" s="466"/>
      <c r="F22" s="467"/>
      <c r="G22" s="2419"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1" customFormat="1" ht="13.5" customHeight="1">
      <c r="A23" s="1560" t="s">
        <v>1839</v>
      </c>
      <c r="B23" s="1281" t="s">
        <v>501</v>
      </c>
      <c r="C23" s="481">
        <f ca="1">ROUND(IF('数据-取费表'!B22&lt;=1,F20*F21*'数据-取费表'!B20/2,F20*(POWER((1+F21),'数据-取费表'!B20/2)-1)),4)</f>
        <v>1E-3</v>
      </c>
      <c r="D23" s="465"/>
      <c r="E23" s="466"/>
      <c r="F23" s="467"/>
      <c r="G23" s="2419"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1" customFormat="1" ht="13.5" customHeight="1">
      <c r="A24" s="1561" t="s">
        <v>1849</v>
      </c>
      <c r="B24" s="2743" t="s">
        <v>2810</v>
      </c>
      <c r="C24" s="471">
        <f ca="1">C25</f>
        <v>1742</v>
      </c>
      <c r="D24" s="482">
        <f ca="1">C26</f>
        <v>2E-3</v>
      </c>
      <c r="E24" s="462" t="s">
        <v>500</v>
      </c>
      <c r="F24" s="472">
        <f ca="1">IF(B1="",'数据-取费表'!Q16,INDIRECT("'数据-取费表'!q"&amp;$K$1))</f>
        <v>0.1</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1" customFormat="1" ht="13.5" customHeight="1">
      <c r="A25" s="1560" t="s">
        <v>1838</v>
      </c>
      <c r="B25" s="1281" t="s">
        <v>2419</v>
      </c>
      <c r="C25" s="483">
        <f ca="1">ROUND((C18+C19)*F24,0)</f>
        <v>1742</v>
      </c>
      <c r="D25" s="465"/>
      <c r="E25" s="466"/>
      <c r="F25" s="473"/>
      <c r="G25" s="1279" t="s">
        <v>2416</v>
      </c>
      <c r="H25" s="450"/>
      <c r="I25" s="450"/>
      <c r="J25" s="450"/>
      <c r="K25" s="451"/>
      <c r="L25" s="3199"/>
      <c r="M25" s="3199"/>
      <c r="N25" s="3199"/>
      <c r="O25" s="3199"/>
      <c r="P25" s="3199"/>
      <c r="Q25" s="3199"/>
      <c r="R25" s="3199"/>
      <c r="S25" s="3199"/>
      <c r="T25" s="3199"/>
      <c r="U25" s="3199"/>
      <c r="V25" s="3199"/>
      <c r="W25" s="3199"/>
      <c r="X25" s="3199"/>
      <c r="Y25" s="3199"/>
      <c r="Z25" s="3199"/>
    </row>
    <row r="26" spans="1:26" s="2001" customFormat="1" ht="13.5" customHeight="1">
      <c r="A26" s="1560" t="s">
        <v>1839</v>
      </c>
      <c r="B26" s="1281" t="s">
        <v>502</v>
      </c>
      <c r="C26" s="484">
        <f ca="1">ROUND(F20*F24,4)</f>
        <v>2E-3</v>
      </c>
      <c r="D26" s="465"/>
      <c r="E26" s="474"/>
      <c r="F26" s="473"/>
      <c r="G26" s="1279" t="s">
        <v>503</v>
      </c>
      <c r="H26" s="450"/>
      <c r="I26" s="450"/>
      <c r="J26" s="450"/>
      <c r="K26" s="451"/>
      <c r="L26" s="3199"/>
      <c r="M26" s="3199"/>
      <c r="N26" s="3199"/>
      <c r="O26" s="3199"/>
      <c r="P26" s="3199"/>
      <c r="Q26" s="3199"/>
      <c r="R26" s="3199"/>
      <c r="S26" s="3199"/>
      <c r="T26" s="3199"/>
      <c r="U26" s="3199"/>
      <c r="V26" s="3199"/>
      <c r="W26" s="3199"/>
      <c r="X26" s="3199"/>
      <c r="Y26" s="3199"/>
      <c r="Z26" s="3199"/>
    </row>
    <row r="27" spans="1:26" s="2001" customFormat="1" ht="13.5" customHeight="1">
      <c r="A27" s="1564" t="s">
        <v>1857</v>
      </c>
      <c r="B27" s="452" t="s">
        <v>504</v>
      </c>
      <c r="C27" s="2742">
        <f>ROUND(F27/(1+'数据-取费表'!C42),4)</f>
        <v>5.33E-2</v>
      </c>
      <c r="D27" s="455" t="s">
        <v>2808</v>
      </c>
      <c r="E27" s="455"/>
      <c r="F27" s="459">
        <f>'数据-取费表'!B41</f>
        <v>5.6000000000000001E-2</v>
      </c>
      <c r="G27" s="1873" t="s">
        <v>2278</v>
      </c>
      <c r="H27" s="440"/>
      <c r="I27" s="440"/>
      <c r="J27" s="440"/>
      <c r="K27" s="441"/>
      <c r="L27" s="3199"/>
      <c r="M27" s="3199"/>
      <c r="N27" s="3199"/>
      <c r="O27" s="3199"/>
      <c r="P27" s="3199"/>
      <c r="Q27" s="3199"/>
      <c r="R27" s="3199"/>
      <c r="S27" s="3199"/>
      <c r="T27" s="3199"/>
      <c r="U27" s="3199"/>
      <c r="V27" s="3199"/>
      <c r="W27" s="3199"/>
      <c r="X27" s="3199"/>
      <c r="Y27" s="3199"/>
      <c r="Z27" s="3199"/>
    </row>
    <row r="28" spans="1:26" s="2002" customFormat="1" ht="13.5" customHeight="1">
      <c r="A28" s="1564" t="s">
        <v>1858</v>
      </c>
      <c r="B28" s="469" t="s">
        <v>505</v>
      </c>
      <c r="C28" s="463">
        <f ca="1">ROUND((C18+C19+C21+C24)/(1-C20-D21-D24-C27),0)</f>
        <v>21644</v>
      </c>
      <c r="D28" s="470"/>
      <c r="E28" s="462"/>
      <c r="F28" s="464"/>
      <c r="G28" s="1280" t="s">
        <v>2417</v>
      </c>
      <c r="H28" s="440"/>
      <c r="I28" s="440"/>
      <c r="J28" s="440"/>
      <c r="K28" s="441"/>
      <c r="L28" s="3200"/>
      <c r="M28" s="3200"/>
      <c r="N28" s="3200"/>
      <c r="O28" s="3200"/>
      <c r="P28" s="3200"/>
      <c r="Q28" s="3200"/>
      <c r="R28" s="3200"/>
      <c r="S28" s="3200"/>
      <c r="T28" s="3200"/>
      <c r="U28" s="3200"/>
      <c r="V28" s="3200"/>
      <c r="W28" s="3200"/>
      <c r="X28" s="3200"/>
      <c r="Y28" s="3200"/>
      <c r="Z28" s="3200"/>
    </row>
    <row r="29" spans="1:26" s="2002" customFormat="1" ht="13.5" customHeight="1">
      <c r="A29" s="1564" t="s">
        <v>1859</v>
      </c>
      <c r="B29" s="469" t="s">
        <v>506</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2" customFormat="1" ht="13.5" customHeight="1">
      <c r="A30" s="436">
        <v>2</v>
      </c>
      <c r="B30" s="469" t="s">
        <v>507</v>
      </c>
      <c r="C30" s="490">
        <f ca="1">ROUND(C28*C29,0)</f>
        <v>0</v>
      </c>
      <c r="D30" s="486"/>
      <c r="E30" s="491"/>
      <c r="F30" s="492"/>
      <c r="G30" s="1282" t="s">
        <v>508</v>
      </c>
      <c r="H30" s="489"/>
      <c r="I30" s="489"/>
      <c r="J30" s="440"/>
      <c r="K30" s="441"/>
      <c r="L30" s="3200"/>
      <c r="M30" s="3200"/>
      <c r="N30" s="3200"/>
      <c r="O30" s="3200"/>
      <c r="P30" s="3200"/>
      <c r="Q30" s="3200"/>
      <c r="R30" s="3200"/>
      <c r="S30" s="3200"/>
      <c r="T30" s="3200"/>
      <c r="U30" s="3200"/>
      <c r="V30" s="3200"/>
      <c r="W30" s="3200"/>
      <c r="X30" s="3200"/>
      <c r="Y30" s="3200"/>
      <c r="Z30" s="3200"/>
    </row>
    <row r="31" spans="1:26" s="2007" customFormat="1" ht="13.5" customHeight="1">
      <c r="A31" s="2334" t="s">
        <v>1855</v>
      </c>
      <c r="B31" s="1283"/>
      <c r="C31" s="493">
        <f>ROUND(C6*F31/(1+'数据-取费表'!C42),0)</f>
        <v>0</v>
      </c>
      <c r="D31" s="1284"/>
      <c r="E31" s="1284"/>
      <c r="F31" s="494">
        <f>'数据-取费表'!B41</f>
        <v>5.6000000000000001E-2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5"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509</v>
      </c>
      <c r="B1" s="496"/>
      <c r="C1" s="497" t="s">
        <v>590</v>
      </c>
      <c r="D1" s="498" t="s">
        <v>511</v>
      </c>
      <c r="E1" s="728"/>
      <c r="F1" s="729"/>
      <c r="G1" s="728"/>
      <c r="H1" s="728"/>
      <c r="I1" s="728"/>
      <c r="J1" s="728"/>
      <c r="K1" s="73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460</v>
      </c>
      <c r="B2" s="501" t="e">
        <f>F63</f>
        <v>#DIV/0!</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0" t="s">
        <v>1675</v>
      </c>
      <c r="B3" s="503" t="e">
        <f>ROUND(B2*10000/'数据-汇总表'!E3,0)</f>
        <v>#DIV/0!</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513</v>
      </c>
      <c r="B4" s="420" t="e">
        <f>IF(B43="单位面积地价",C45,ROUND(B2*10000/'数据-汇总表'!D3,0))</f>
        <v>#DIV/0!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462</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5" t="s">
        <v>514</v>
      </c>
      <c r="B6" s="506"/>
      <c r="C6" s="3532" t="s">
        <v>515</v>
      </c>
      <c r="D6" s="3533"/>
      <c r="E6" s="3587" t="s">
        <v>516</v>
      </c>
      <c r="F6" s="3588"/>
      <c r="G6" s="3532" t="s">
        <v>517</v>
      </c>
      <c r="H6" s="3533"/>
      <c r="I6" s="3532" t="s">
        <v>518</v>
      </c>
      <c r="J6" s="3533"/>
      <c r="K6" s="507" t="s">
        <v>519</v>
      </c>
      <c r="L6" s="2014"/>
      <c r="M6" s="2015"/>
      <c r="N6" s="2015"/>
      <c r="O6" s="2015"/>
      <c r="P6" s="3534" t="s">
        <v>520</v>
      </c>
      <c r="Q6" s="3535"/>
      <c r="R6" s="3540" t="s">
        <v>516</v>
      </c>
      <c r="S6" s="3541"/>
      <c r="T6" s="3540" t="s">
        <v>517</v>
      </c>
      <c r="U6" s="3541"/>
      <c r="V6" s="3527" t="s">
        <v>518</v>
      </c>
      <c r="W6" s="3527"/>
      <c r="X6" s="1500"/>
      <c r="Y6" s="3540" t="s">
        <v>520</v>
      </c>
      <c r="Z6" s="3541"/>
      <c r="AA6" s="3529" t="s">
        <v>516</v>
      </c>
      <c r="AB6" s="3530" t="s">
        <v>517</v>
      </c>
      <c r="AC6" s="3529" t="s">
        <v>518</v>
      </c>
    </row>
    <row r="7" spans="1:29" ht="15">
      <c r="A7" s="508"/>
      <c r="B7" s="509"/>
      <c r="C7" s="3548" t="s">
        <v>2896</v>
      </c>
      <c r="D7" s="3549"/>
      <c r="E7" s="3589" t="s">
        <v>2897</v>
      </c>
      <c r="F7" s="3590"/>
      <c r="G7" s="3548" t="s">
        <v>2898</v>
      </c>
      <c r="H7" s="3549"/>
      <c r="I7" s="3548" t="s">
        <v>2899</v>
      </c>
      <c r="J7" s="3549"/>
      <c r="K7" s="507"/>
      <c r="L7" s="2014"/>
      <c r="M7" s="2015"/>
      <c r="N7" s="2015"/>
      <c r="O7" s="2015"/>
      <c r="P7" s="3536"/>
      <c r="Q7" s="3537"/>
      <c r="R7" s="3542"/>
      <c r="S7" s="3543"/>
      <c r="T7" s="3542"/>
      <c r="U7" s="3543"/>
      <c r="V7" s="3527"/>
      <c r="W7" s="3527"/>
      <c r="X7" s="1500"/>
      <c r="Y7" s="3542"/>
      <c r="Z7" s="3543"/>
      <c r="AA7" s="3530"/>
      <c r="AB7" s="3530"/>
      <c r="AC7" s="3530"/>
    </row>
    <row r="8" spans="1:29" ht="15.75" thickBot="1">
      <c r="A8" s="510"/>
      <c r="B8" s="511"/>
      <c r="C8" s="3546" t="s">
        <v>2900</v>
      </c>
      <c r="D8" s="3547"/>
      <c r="E8" s="3585" t="s">
        <v>2900</v>
      </c>
      <c r="F8" s="3586"/>
      <c r="G8" s="3546" t="s">
        <v>2900</v>
      </c>
      <c r="H8" s="3547"/>
      <c r="I8" s="3546" t="s">
        <v>2900</v>
      </c>
      <c r="J8" s="3547"/>
      <c r="K8" s="507" t="s">
        <v>521</v>
      </c>
      <c r="L8" s="2014"/>
      <c r="M8" s="2015"/>
      <c r="N8" s="2015"/>
      <c r="O8" s="2015"/>
      <c r="P8" s="3538"/>
      <c r="Q8" s="3539"/>
      <c r="R8" s="3542"/>
      <c r="S8" s="3543"/>
      <c r="T8" s="3544"/>
      <c r="U8" s="3545"/>
      <c r="V8" s="3527"/>
      <c r="W8" s="3527"/>
      <c r="X8" s="1500"/>
      <c r="Y8" s="3544"/>
      <c r="Z8" s="3545"/>
      <c r="AA8" s="3531"/>
      <c r="AB8" s="3531"/>
      <c r="AC8" s="3531"/>
    </row>
    <row r="9" spans="1:29" s="1202" customFormat="1" ht="15.75" thickBot="1">
      <c r="A9" s="2627"/>
      <c r="B9" s="2634" t="s">
        <v>522</v>
      </c>
      <c r="C9" s="512">
        <f>'数据-取费表'!B2</f>
        <v>44202</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557" t="s">
        <v>523</v>
      </c>
      <c r="Q9" s="3559"/>
      <c r="R9" s="1501" t="s">
        <v>8</v>
      </c>
      <c r="S9" s="1502">
        <f t="shared" ref="S9:S17" si="0">F9</f>
        <v>0</v>
      </c>
      <c r="T9" s="1501" t="s">
        <v>8</v>
      </c>
      <c r="U9" s="1502">
        <f t="shared" ref="U9:U17" si="1">H9</f>
        <v>0</v>
      </c>
      <c r="V9" s="1501" t="s">
        <v>8</v>
      </c>
      <c r="W9" s="1502">
        <f t="shared" ref="W9:W17" si="2">J9</f>
        <v>0</v>
      </c>
      <c r="X9" s="1503"/>
      <c r="Y9" s="3557" t="s">
        <v>523</v>
      </c>
      <c r="Z9" s="3558"/>
      <c r="AA9" s="1504" t="e">
        <f>D9/F9</f>
        <v>#DIV/0!</v>
      </c>
      <c r="AB9" s="1504" t="e">
        <f>D9/H9</f>
        <v>#DIV/0!</v>
      </c>
      <c r="AC9" s="1504" t="e">
        <f>D9/J9</f>
        <v>#DIV/0!</v>
      </c>
    </row>
    <row r="10" spans="1:29" s="1202" customFormat="1" ht="15.75" thickBot="1">
      <c r="A10" s="2628"/>
      <c r="B10" s="2635" t="s">
        <v>524</v>
      </c>
      <c r="C10" s="518" t="s">
        <v>525</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557" t="s">
        <v>526</v>
      </c>
      <c r="Q10" s="3558"/>
      <c r="R10" s="1501" t="s">
        <v>8</v>
      </c>
      <c r="S10" s="1502">
        <f t="shared" si="0"/>
        <v>0</v>
      </c>
      <c r="T10" s="1501" t="s">
        <v>8</v>
      </c>
      <c r="U10" s="1502">
        <f t="shared" si="1"/>
        <v>0</v>
      </c>
      <c r="V10" s="1501" t="s">
        <v>8</v>
      </c>
      <c r="W10" s="1502">
        <f t="shared" si="2"/>
        <v>0</v>
      </c>
      <c r="X10" s="1503"/>
      <c r="Y10" s="3557" t="s">
        <v>526</v>
      </c>
      <c r="Z10" s="3558"/>
      <c r="AA10" s="1504" t="e">
        <f t="shared" ref="AA10:AA42" si="3">D10/F10</f>
        <v>#DIV/0!</v>
      </c>
      <c r="AB10" s="1504" t="e">
        <f t="shared" ref="AB10:AB42" si="4">D10/H10</f>
        <v>#DIV/0!</v>
      </c>
      <c r="AC10" s="1504" t="e">
        <f t="shared" ref="AC10:AC42" si="5">D10/J10</f>
        <v>#DIV/0!</v>
      </c>
    </row>
    <row r="11" spans="1:29" s="1202" customFormat="1" ht="15">
      <c r="A11" s="2629"/>
      <c r="B11" s="2636" t="s">
        <v>2735</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526" t="s">
        <v>528</v>
      </c>
      <c r="Q11" s="1133" t="str">
        <f t="shared" ref="Q11:Q17" si="6">B11</f>
        <v>用途</v>
      </c>
      <c r="R11" s="1501" t="s">
        <v>8</v>
      </c>
      <c r="S11" s="1502">
        <f t="shared" si="0"/>
        <v>100</v>
      </c>
      <c r="T11" s="1501" t="s">
        <v>8</v>
      </c>
      <c r="U11" s="1502">
        <f t="shared" si="1"/>
        <v>100</v>
      </c>
      <c r="V11" s="1501" t="s">
        <v>8</v>
      </c>
      <c r="W11" s="1502">
        <f t="shared" si="2"/>
        <v>100</v>
      </c>
      <c r="X11" s="1503"/>
      <c r="Y11" s="3472" t="s">
        <v>529</v>
      </c>
      <c r="Z11" s="1132" t="str">
        <f t="shared" ref="Z11:Z17" si="7">Q11</f>
        <v>用途</v>
      </c>
      <c r="AA11" s="1504">
        <f t="shared" si="3"/>
        <v>1</v>
      </c>
      <c r="AB11" s="1504">
        <f t="shared" si="4"/>
        <v>1</v>
      </c>
      <c r="AC11" s="1504">
        <f t="shared" si="5"/>
        <v>1</v>
      </c>
    </row>
    <row r="12" spans="1:29" s="1291" customFormat="1" ht="27">
      <c r="A12" s="2630"/>
      <c r="B12" s="2635" t="s">
        <v>2736</v>
      </c>
      <c r="C12" s="521"/>
      <c r="D12" s="252">
        <v>100</v>
      </c>
      <c r="E12" s="521"/>
      <c r="F12" s="252">
        <f>ROUND(100/'数据-取费表'!G16,0)</f>
        <v>111</v>
      </c>
      <c r="G12" s="521"/>
      <c r="H12" s="252">
        <f>ROUND(100/'数据-取费表'!G16,0)</f>
        <v>111</v>
      </c>
      <c r="I12" s="521"/>
      <c r="J12" s="252">
        <f>ROUND(100/'数据-取费表'!G16,0)</f>
        <v>111</v>
      </c>
      <c r="K12" s="524"/>
      <c r="L12" s="2019"/>
      <c r="M12" s="2058"/>
      <c r="N12" s="2058"/>
      <c r="O12" s="2020"/>
      <c r="P12" s="3526"/>
      <c r="Q12" s="1133" t="str">
        <f t="shared" si="6"/>
        <v>土地使用年限（年）</v>
      </c>
      <c r="R12" s="1501" t="s">
        <v>8</v>
      </c>
      <c r="S12" s="1502">
        <f t="shared" si="0"/>
        <v>111</v>
      </c>
      <c r="T12" s="1501" t="s">
        <v>8</v>
      </c>
      <c r="U12" s="1502">
        <f t="shared" si="1"/>
        <v>111</v>
      </c>
      <c r="V12" s="1501" t="s">
        <v>8</v>
      </c>
      <c r="W12" s="1502">
        <f t="shared" si="2"/>
        <v>111</v>
      </c>
      <c r="X12" s="1503"/>
      <c r="Y12" s="3472"/>
      <c r="Z12" s="1132" t="str">
        <f t="shared" si="7"/>
        <v>土地使用年限（年）</v>
      </c>
      <c r="AA12" s="1504">
        <f t="shared" si="3"/>
        <v>0.90090090090090091</v>
      </c>
      <c r="AB12" s="1504">
        <f t="shared" si="4"/>
        <v>0.90090090090090091</v>
      </c>
      <c r="AC12" s="1504">
        <f t="shared" si="5"/>
        <v>0.90090090090090091</v>
      </c>
    </row>
    <row r="13" spans="1:29" ht="15">
      <c r="A13" s="2631"/>
      <c r="B13" s="2635" t="s">
        <v>2737</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526"/>
      <c r="Q13" s="1133" t="str">
        <f t="shared" si="6"/>
        <v>容积率</v>
      </c>
      <c r="R13" s="1501" t="s">
        <v>8</v>
      </c>
      <c r="S13" s="1502" t="e">
        <f t="shared" si="0"/>
        <v>#N/A</v>
      </c>
      <c r="T13" s="1501" t="s">
        <v>8</v>
      </c>
      <c r="U13" s="1502" t="e">
        <f t="shared" si="1"/>
        <v>#N/A</v>
      </c>
      <c r="V13" s="1501" t="s">
        <v>8</v>
      </c>
      <c r="W13" s="1502" t="e">
        <f t="shared" si="2"/>
        <v>#N/A</v>
      </c>
      <c r="X13" s="1503"/>
      <c r="Y13" s="3472"/>
      <c r="Z13" s="1132" t="str">
        <f t="shared" si="7"/>
        <v>容积率</v>
      </c>
      <c r="AA13" s="1504" t="e">
        <f t="shared" si="3"/>
        <v>#N/A</v>
      </c>
      <c r="AB13" s="1504" t="e">
        <f t="shared" si="4"/>
        <v>#N/A</v>
      </c>
      <c r="AC13" s="1504" t="e">
        <f t="shared" si="5"/>
        <v>#N/A</v>
      </c>
    </row>
    <row r="14" spans="1:29" s="1202"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526"/>
      <c r="Q14" s="1133">
        <f t="shared" si="6"/>
        <v>111</v>
      </c>
      <c r="R14" s="1501" t="s">
        <v>8</v>
      </c>
      <c r="S14" s="1502">
        <f t="shared" si="0"/>
        <v>100</v>
      </c>
      <c r="T14" s="1501" t="s">
        <v>8</v>
      </c>
      <c r="U14" s="1502">
        <f t="shared" si="1"/>
        <v>100</v>
      </c>
      <c r="V14" s="1501" t="s">
        <v>8</v>
      </c>
      <c r="W14" s="1502">
        <f t="shared" si="2"/>
        <v>100</v>
      </c>
      <c r="X14" s="1503"/>
      <c r="Y14" s="3472"/>
      <c r="Z14" s="1132">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526"/>
      <c r="Q15" s="1133">
        <f t="shared" si="6"/>
        <v>111</v>
      </c>
      <c r="R15" s="1501" t="s">
        <v>8</v>
      </c>
      <c r="S15" s="1502">
        <f t="shared" si="0"/>
        <v>100</v>
      </c>
      <c r="T15" s="1501" t="s">
        <v>8</v>
      </c>
      <c r="U15" s="1502">
        <f t="shared" si="1"/>
        <v>100</v>
      </c>
      <c r="V15" s="1501" t="s">
        <v>8</v>
      </c>
      <c r="W15" s="1502">
        <f t="shared" si="2"/>
        <v>100</v>
      </c>
      <c r="X15" s="1503"/>
      <c r="Y15" s="3472"/>
      <c r="Z15" s="1132">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526"/>
      <c r="Q16" s="1133">
        <f t="shared" si="6"/>
        <v>111</v>
      </c>
      <c r="R16" s="1501" t="s">
        <v>8</v>
      </c>
      <c r="S16" s="1502">
        <f t="shared" si="0"/>
        <v>100</v>
      </c>
      <c r="T16" s="1501" t="s">
        <v>8</v>
      </c>
      <c r="U16" s="1502">
        <f t="shared" si="1"/>
        <v>100</v>
      </c>
      <c r="V16" s="1501" t="s">
        <v>8</v>
      </c>
      <c r="W16" s="1502">
        <f t="shared" si="2"/>
        <v>100</v>
      </c>
      <c r="X16" s="1503"/>
      <c r="Y16" s="3472"/>
      <c r="Z16" s="1132">
        <f t="shared" si="7"/>
        <v>111</v>
      </c>
      <c r="AA16" s="1504">
        <f t="shared" si="3"/>
        <v>1</v>
      </c>
      <c r="AB16" s="1504">
        <f t="shared" si="4"/>
        <v>1</v>
      </c>
      <c r="AC16" s="1504">
        <f t="shared" si="5"/>
        <v>1</v>
      </c>
    </row>
    <row r="17" spans="1:29" ht="57">
      <c r="A17" s="2625" t="s">
        <v>2733</v>
      </c>
      <c r="B17" s="164" t="s">
        <v>591</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60" t="s">
        <v>533</v>
      </c>
      <c r="Q17" s="1505" t="str">
        <f t="shared" si="6"/>
        <v>产业集聚程度</v>
      </c>
      <c r="R17" s="1506" t="s">
        <v>8</v>
      </c>
      <c r="S17" s="1507">
        <f t="shared" si="0"/>
        <v>100</v>
      </c>
      <c r="T17" s="1506" t="s">
        <v>8</v>
      </c>
      <c r="U17" s="1507">
        <f t="shared" si="1"/>
        <v>100</v>
      </c>
      <c r="V17" s="1506" t="s">
        <v>8</v>
      </c>
      <c r="W17" s="1507">
        <f t="shared" si="2"/>
        <v>100</v>
      </c>
      <c r="X17" s="1500"/>
      <c r="Y17" s="3560" t="s">
        <v>533</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3"/>
      <c r="M18" s="2015"/>
      <c r="N18" s="2015"/>
      <c r="O18" s="2022"/>
      <c r="P18" s="3561"/>
      <c r="Q18" s="1505"/>
      <c r="R18" s="1506"/>
      <c r="S18" s="1507"/>
      <c r="T18" s="1506"/>
      <c r="U18" s="1507"/>
      <c r="V18" s="1506"/>
      <c r="W18" s="1507"/>
      <c r="X18" s="1500"/>
      <c r="Y18" s="3561"/>
      <c r="Z18" s="1508"/>
      <c r="AA18" s="1509">
        <v>1</v>
      </c>
      <c r="AB18" s="1509">
        <v>1</v>
      </c>
      <c r="AC18" s="1509">
        <v>1</v>
      </c>
    </row>
    <row r="19" spans="1:29" ht="85.5">
      <c r="A19" s="525"/>
      <c r="B19" s="859" t="s">
        <v>536</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61"/>
      <c r="Q19" s="1505" t="str">
        <f>B19</f>
        <v>交通便捷度</v>
      </c>
      <c r="R19" s="1506" t="s">
        <v>8</v>
      </c>
      <c r="S19" s="1507">
        <f>F19</f>
        <v>100</v>
      </c>
      <c r="T19" s="1506" t="s">
        <v>8</v>
      </c>
      <c r="U19" s="1507">
        <f>H19</f>
        <v>100</v>
      </c>
      <c r="V19" s="1506" t="s">
        <v>8</v>
      </c>
      <c r="W19" s="1507">
        <f>J19</f>
        <v>100</v>
      </c>
      <c r="X19" s="1500"/>
      <c r="Y19" s="3561"/>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3"/>
      <c r="M20" s="2015"/>
      <c r="N20" s="2015"/>
      <c r="O20" s="2022"/>
      <c r="P20" s="3561"/>
      <c r="Q20" s="1505"/>
      <c r="R20" s="1506"/>
      <c r="S20" s="1507"/>
      <c r="T20" s="1506"/>
      <c r="U20" s="1507"/>
      <c r="V20" s="1506"/>
      <c r="W20" s="1507"/>
      <c r="X20" s="1500"/>
      <c r="Y20" s="3561"/>
      <c r="Z20" s="1508"/>
      <c r="AA20" s="1509">
        <v>1</v>
      </c>
      <c r="AB20" s="1509">
        <v>1</v>
      </c>
      <c r="AC20" s="1509">
        <v>1</v>
      </c>
    </row>
    <row r="21" spans="1:29" ht="27">
      <c r="A21" s="508"/>
      <c r="B21" s="859" t="s">
        <v>537</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61"/>
      <c r="Q21" s="1505" t="str">
        <f t="shared" ref="Q21:Q35" si="8">B21</f>
        <v>区域土地利用方向</v>
      </c>
      <c r="R21" s="1506" t="s">
        <v>8</v>
      </c>
      <c r="S21" s="1507">
        <f>F21</f>
        <v>100</v>
      </c>
      <c r="T21" s="1506" t="s">
        <v>8</v>
      </c>
      <c r="U21" s="1507">
        <f>H21</f>
        <v>100</v>
      </c>
      <c r="V21" s="1506" t="s">
        <v>8</v>
      </c>
      <c r="W21" s="1507">
        <f>J21</f>
        <v>100</v>
      </c>
      <c r="X21" s="1500"/>
      <c r="Y21" s="3561"/>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3"/>
      <c r="M22" s="2015"/>
      <c r="N22" s="2015"/>
      <c r="O22" s="2022"/>
      <c r="P22" s="3561"/>
      <c r="Q22" s="1505"/>
      <c r="R22" s="1506"/>
      <c r="S22" s="1507"/>
      <c r="T22" s="1506"/>
      <c r="U22" s="1507"/>
      <c r="V22" s="1506"/>
      <c r="W22" s="1507"/>
      <c r="X22" s="1500"/>
      <c r="Y22" s="3561"/>
      <c r="Z22" s="1508"/>
      <c r="AA22" s="1509"/>
      <c r="AB22" s="1509"/>
      <c r="AC22" s="1509"/>
    </row>
    <row r="23" spans="1:29" ht="71.25">
      <c r="A23" s="508"/>
      <c r="B23" s="910" t="s">
        <v>592</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61"/>
      <c r="Q23" s="1505" t="str">
        <f t="shared" si="8"/>
        <v>环境状况</v>
      </c>
      <c r="R23" s="1506" t="s">
        <v>8</v>
      </c>
      <c r="S23" s="1507">
        <f>F23</f>
        <v>100</v>
      </c>
      <c r="T23" s="1506" t="s">
        <v>8</v>
      </c>
      <c r="U23" s="1507">
        <f>H23</f>
        <v>100</v>
      </c>
      <c r="V23" s="1506" t="s">
        <v>8</v>
      </c>
      <c r="W23" s="1507">
        <f>J23</f>
        <v>100</v>
      </c>
      <c r="X23" s="1500"/>
      <c r="Y23" s="3561"/>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3"/>
      <c r="M24" s="2015"/>
      <c r="N24" s="2015"/>
      <c r="O24" s="2022"/>
      <c r="P24" s="3561"/>
      <c r="Q24" s="1505"/>
      <c r="R24" s="1506"/>
      <c r="S24" s="1507"/>
      <c r="T24" s="1506"/>
      <c r="U24" s="1507"/>
      <c r="V24" s="1506"/>
      <c r="W24" s="1507"/>
      <c r="X24" s="1500"/>
      <c r="Y24" s="3561"/>
      <c r="Z24" s="1508"/>
      <c r="AA24" s="1509">
        <v>1</v>
      </c>
      <c r="AB24" s="1509">
        <v>1</v>
      </c>
      <c r="AC24" s="1509">
        <v>1</v>
      </c>
    </row>
    <row r="25" spans="1:29" s="1202" customFormat="1" ht="42.75">
      <c r="A25" s="570"/>
      <c r="B25" s="2436"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61"/>
      <c r="Q25" s="1133" t="str">
        <f t="shared" si="8"/>
        <v>公共配套设施</v>
      </c>
      <c r="R25" s="1501" t="s">
        <v>8</v>
      </c>
      <c r="S25" s="1502">
        <f>F25</f>
        <v>100</v>
      </c>
      <c r="T25" s="1501" t="s">
        <v>8</v>
      </c>
      <c r="U25" s="1502">
        <f>H25</f>
        <v>100</v>
      </c>
      <c r="V25" s="1501" t="s">
        <v>8</v>
      </c>
      <c r="W25" s="1502">
        <f>J25</f>
        <v>100</v>
      </c>
      <c r="X25" s="1503"/>
      <c r="Y25" s="3561"/>
      <c r="Z25" s="1132" t="str">
        <f>Q25</f>
        <v>公共配套设施</v>
      </c>
      <c r="AA25" s="1509">
        <f>D25/F25</f>
        <v>1</v>
      </c>
      <c r="AB25" s="1509">
        <f>D25/H25</f>
        <v>1</v>
      </c>
      <c r="AC25" s="1509">
        <f>D25/J25</f>
        <v>1</v>
      </c>
    </row>
    <row r="26" spans="1:29" s="1202" customFormat="1" ht="15">
      <c r="A26" s="570"/>
      <c r="B26" s="588"/>
      <c r="C26" s="2435"/>
      <c r="D26" s="548"/>
      <c r="E26" s="547"/>
      <c r="F26" s="548"/>
      <c r="G26" s="547"/>
      <c r="H26" s="548"/>
      <c r="I26" s="569"/>
      <c r="J26" s="548"/>
      <c r="K26" s="524"/>
      <c r="L26" s="2016"/>
      <c r="M26" s="2017"/>
      <c r="N26" s="2017"/>
      <c r="O26" s="2018"/>
      <c r="P26" s="3561"/>
      <c r="Q26" s="1133"/>
      <c r="R26" s="1501"/>
      <c r="S26" s="1502"/>
      <c r="T26" s="1501"/>
      <c r="U26" s="1502"/>
      <c r="V26" s="1501"/>
      <c r="W26" s="1502"/>
      <c r="X26" s="1503"/>
      <c r="Y26" s="3561"/>
      <c r="Z26" s="1132"/>
      <c r="AA26" s="1504">
        <v>1</v>
      </c>
      <c r="AB26" s="1504">
        <v>1</v>
      </c>
      <c r="AC26" s="1504">
        <v>1</v>
      </c>
    </row>
    <row r="27" spans="1:29" s="1202" customFormat="1" ht="28.5">
      <c r="A27" s="570"/>
      <c r="B27" s="2436"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61"/>
      <c r="Q27" s="2427" t="str">
        <f t="shared" ref="Q27" si="9">B27</f>
        <v>基础设施水平</v>
      </c>
      <c r="R27" s="1501" t="s">
        <v>8</v>
      </c>
      <c r="S27" s="1502">
        <f>F27</f>
        <v>100</v>
      </c>
      <c r="T27" s="1501" t="s">
        <v>8</v>
      </c>
      <c r="U27" s="1502">
        <f>H27</f>
        <v>100</v>
      </c>
      <c r="V27" s="1501" t="s">
        <v>8</v>
      </c>
      <c r="W27" s="1502">
        <f>J27</f>
        <v>100</v>
      </c>
      <c r="X27" s="1503"/>
      <c r="Y27" s="3561"/>
      <c r="Z27" s="2426" t="str">
        <f>Q27</f>
        <v>基础设施水平</v>
      </c>
      <c r="AA27" s="1509">
        <f>D27/F27</f>
        <v>1</v>
      </c>
      <c r="AB27" s="1509">
        <f>D27/H27</f>
        <v>1</v>
      </c>
      <c r="AC27" s="1509">
        <f>D27/J27</f>
        <v>1</v>
      </c>
    </row>
    <row r="28" spans="1:29" s="1202" customFormat="1" ht="15">
      <c r="A28" s="570"/>
      <c r="B28" s="588"/>
      <c r="C28" s="2435"/>
      <c r="D28" s="548"/>
      <c r="E28" s="572"/>
      <c r="F28" s="548"/>
      <c r="G28" s="572"/>
      <c r="H28" s="548"/>
      <c r="I28" s="572"/>
      <c r="J28" s="548"/>
      <c r="K28" s="524"/>
      <c r="L28" s="2016"/>
      <c r="M28" s="2017"/>
      <c r="N28" s="2017"/>
      <c r="O28" s="2018"/>
      <c r="P28" s="3561"/>
      <c r="Q28" s="2427"/>
      <c r="R28" s="1501"/>
      <c r="S28" s="1502"/>
      <c r="T28" s="1501"/>
      <c r="U28" s="1502"/>
      <c r="V28" s="1501"/>
      <c r="W28" s="1502"/>
      <c r="X28" s="1503"/>
      <c r="Y28" s="3561"/>
      <c r="Z28" s="2426"/>
      <c r="AA28" s="1504">
        <v>1</v>
      </c>
      <c r="AB28" s="1504">
        <v>1</v>
      </c>
      <c r="AC28" s="1504">
        <v>1</v>
      </c>
    </row>
    <row r="29" spans="1:29" ht="15">
      <c r="A29" s="525"/>
      <c r="B29" s="588" t="s">
        <v>540</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6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61"/>
      <c r="Z29" s="1508" t="str">
        <f t="shared" ref="Z29:Z42" si="13">Q29</f>
        <v>临街状况</v>
      </c>
      <c r="AA29" s="1509">
        <f t="shared" si="3"/>
        <v>1</v>
      </c>
      <c r="AB29" s="1509">
        <f t="shared" si="4"/>
        <v>1</v>
      </c>
      <c r="AC29" s="1509">
        <f t="shared" si="5"/>
        <v>1</v>
      </c>
    </row>
    <row r="30" spans="1:29" ht="27">
      <c r="A30" s="525"/>
      <c r="B30" s="910" t="s">
        <v>541</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61"/>
      <c r="Q30" s="1505" t="str">
        <f t="shared" si="8"/>
        <v>毗邻道路的类型与等级</v>
      </c>
      <c r="R30" s="1506" t="s">
        <v>8</v>
      </c>
      <c r="S30" s="1507">
        <f t="shared" si="10"/>
        <v>100</v>
      </c>
      <c r="T30" s="1506" t="s">
        <v>8</v>
      </c>
      <c r="U30" s="1507">
        <f t="shared" si="11"/>
        <v>100</v>
      </c>
      <c r="V30" s="1506" t="s">
        <v>8</v>
      </c>
      <c r="W30" s="1507">
        <f t="shared" si="12"/>
        <v>100</v>
      </c>
      <c r="X30" s="1500"/>
      <c r="Y30" s="3561"/>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3"/>
      <c r="M31" s="2015"/>
      <c r="N31" s="2015"/>
      <c r="O31" s="2022"/>
      <c r="P31" s="3561"/>
      <c r="Q31" s="1505"/>
      <c r="R31" s="1506"/>
      <c r="S31" s="1507"/>
      <c r="T31" s="1506"/>
      <c r="U31" s="1507"/>
      <c r="V31" s="1506"/>
      <c r="W31" s="1507"/>
      <c r="X31" s="1500"/>
      <c r="Y31" s="3561"/>
      <c r="Z31" s="1508"/>
      <c r="AA31" s="1509">
        <v>1</v>
      </c>
      <c r="AB31" s="1509">
        <v>1</v>
      </c>
      <c r="AC31" s="1509">
        <v>1</v>
      </c>
    </row>
    <row r="32" spans="1:29" ht="15">
      <c r="A32" s="525"/>
      <c r="B32" s="520" t="s">
        <v>542</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561"/>
      <c r="Q32" s="1505" t="str">
        <f t="shared" si="8"/>
        <v>土地级别</v>
      </c>
      <c r="R32" s="1506" t="s">
        <v>8</v>
      </c>
      <c r="S32" s="1507">
        <f t="shared" si="10"/>
        <v>100</v>
      </c>
      <c r="T32" s="1506" t="s">
        <v>8</v>
      </c>
      <c r="U32" s="1507">
        <f t="shared" si="11"/>
        <v>100</v>
      </c>
      <c r="V32" s="1506" t="s">
        <v>8</v>
      </c>
      <c r="W32" s="1507">
        <f t="shared" si="12"/>
        <v>100</v>
      </c>
      <c r="X32" s="1500"/>
      <c r="Y32" s="3561"/>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561"/>
      <c r="Q33" s="1505">
        <f t="shared" si="8"/>
        <v>111</v>
      </c>
      <c r="R33" s="1506" t="s">
        <v>8</v>
      </c>
      <c r="S33" s="1507">
        <f t="shared" si="10"/>
        <v>100</v>
      </c>
      <c r="T33" s="1506" t="s">
        <v>8</v>
      </c>
      <c r="U33" s="1507">
        <f t="shared" si="11"/>
        <v>100</v>
      </c>
      <c r="V33" s="1506" t="s">
        <v>8</v>
      </c>
      <c r="W33" s="1507">
        <f t="shared" si="12"/>
        <v>100</v>
      </c>
      <c r="X33" s="1500"/>
      <c r="Y33" s="3561"/>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62" t="s">
        <v>543</v>
      </c>
      <c r="Q34" s="1505">
        <f t="shared" si="8"/>
        <v>111</v>
      </c>
      <c r="R34" s="1506" t="s">
        <v>8</v>
      </c>
      <c r="S34" s="1507">
        <f t="shared" si="10"/>
        <v>100</v>
      </c>
      <c r="T34" s="1506" t="s">
        <v>8</v>
      </c>
      <c r="U34" s="1507">
        <f t="shared" si="11"/>
        <v>100</v>
      </c>
      <c r="V34" s="1506" t="s">
        <v>8</v>
      </c>
      <c r="W34" s="1507">
        <f t="shared" si="12"/>
        <v>100</v>
      </c>
      <c r="X34" s="1500"/>
      <c r="Y34" s="3563" t="s">
        <v>543</v>
      </c>
      <c r="Z34" s="1508">
        <f t="shared" si="13"/>
        <v>111</v>
      </c>
      <c r="AA34" s="1509">
        <f t="shared" si="3"/>
        <v>1</v>
      </c>
      <c r="AB34" s="1509">
        <f t="shared" si="4"/>
        <v>1</v>
      </c>
      <c r="AC34" s="1509">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63"/>
      <c r="Q35" s="1505">
        <f t="shared" si="8"/>
        <v>111</v>
      </c>
      <c r="R35" s="1510" t="s">
        <v>8</v>
      </c>
      <c r="S35" s="1511">
        <f t="shared" si="10"/>
        <v>100</v>
      </c>
      <c r="T35" s="1510" t="s">
        <v>8</v>
      </c>
      <c r="U35" s="1511">
        <f t="shared" si="11"/>
        <v>100</v>
      </c>
      <c r="V35" s="1510" t="s">
        <v>8</v>
      </c>
      <c r="W35" s="1511">
        <f t="shared" si="12"/>
        <v>100</v>
      </c>
      <c r="X35" s="1512"/>
      <c r="Y35" s="3563"/>
      <c r="Z35" s="1513">
        <f t="shared" si="13"/>
        <v>111</v>
      </c>
      <c r="AA35" s="1509">
        <f t="shared" si="3"/>
        <v>1</v>
      </c>
      <c r="AB35" s="1509">
        <f t="shared" si="4"/>
        <v>1</v>
      </c>
      <c r="AC35" s="1509">
        <f t="shared" si="5"/>
        <v>1</v>
      </c>
    </row>
    <row r="36" spans="1:29" ht="15">
      <c r="A36" s="2623" t="s">
        <v>2734</v>
      </c>
      <c r="B36" s="588" t="s">
        <v>545</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563"/>
      <c r="Q36" s="1505" t="str">
        <f>B36</f>
        <v>宗地面积</v>
      </c>
      <c r="R36" s="1506" t="s">
        <v>8</v>
      </c>
      <c r="S36" s="1507" t="e">
        <f t="shared" si="10"/>
        <v>#N/A</v>
      </c>
      <c r="T36" s="1506" t="s">
        <v>8</v>
      </c>
      <c r="U36" s="1507" t="e">
        <f t="shared" si="11"/>
        <v>#N/A</v>
      </c>
      <c r="V36" s="1506" t="s">
        <v>8</v>
      </c>
      <c r="W36" s="1507" t="e">
        <f t="shared" si="12"/>
        <v>#N/A</v>
      </c>
      <c r="X36" s="1500"/>
      <c r="Y36" s="3563"/>
      <c r="Z36" s="1508" t="str">
        <f t="shared" si="13"/>
        <v>宗地面积</v>
      </c>
      <c r="AA36" s="1509" t="e">
        <f t="shared" si="3"/>
        <v>#N/A</v>
      </c>
      <c r="AB36" s="1509" t="e">
        <f t="shared" si="4"/>
        <v>#N/A</v>
      </c>
      <c r="AC36" s="1509" t="e">
        <f t="shared" si="5"/>
        <v>#N/A</v>
      </c>
    </row>
    <row r="37" spans="1:29" ht="15">
      <c r="A37" s="587"/>
      <c r="B37" s="520" t="s">
        <v>546</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63"/>
      <c r="Q37" s="1505" t="str">
        <f t="shared" ref="Q37:Q42" si="14">B37</f>
        <v>宗地形状</v>
      </c>
      <c r="R37" s="1506" t="s">
        <v>8</v>
      </c>
      <c r="S37" s="1507">
        <f t="shared" si="10"/>
        <v>100</v>
      </c>
      <c r="T37" s="1506" t="s">
        <v>8</v>
      </c>
      <c r="U37" s="1507">
        <f t="shared" si="11"/>
        <v>100</v>
      </c>
      <c r="V37" s="1506" t="s">
        <v>8</v>
      </c>
      <c r="W37" s="1507">
        <f t="shared" si="12"/>
        <v>100</v>
      </c>
      <c r="X37" s="1500"/>
      <c r="Y37" s="3563"/>
      <c r="Z37" s="1508" t="str">
        <f t="shared" si="13"/>
        <v>宗地形状</v>
      </c>
      <c r="AA37" s="1509">
        <f t="shared" si="3"/>
        <v>1</v>
      </c>
      <c r="AB37" s="1509">
        <f t="shared" si="4"/>
        <v>1</v>
      </c>
      <c r="AC37" s="1509">
        <f t="shared" si="5"/>
        <v>1</v>
      </c>
    </row>
    <row r="38" spans="1:29" s="1202" customFormat="1" ht="15">
      <c r="A38" s="593"/>
      <c r="B38" s="1808"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63"/>
      <c r="Q38" s="1505" t="str">
        <f t="shared" si="14"/>
        <v>宗地开发程度</v>
      </c>
      <c r="R38" s="1501" t="s">
        <v>8</v>
      </c>
      <c r="S38" s="1502">
        <f t="shared" si="10"/>
        <v>100</v>
      </c>
      <c r="T38" s="1501" t="s">
        <v>8</v>
      </c>
      <c r="U38" s="1502">
        <f t="shared" si="11"/>
        <v>100</v>
      </c>
      <c r="V38" s="1501" t="s">
        <v>8</v>
      </c>
      <c r="W38" s="1502">
        <f t="shared" si="12"/>
        <v>100</v>
      </c>
      <c r="X38" s="1503"/>
      <c r="Y38" s="3563"/>
      <c r="Z38" s="1132" t="str">
        <f t="shared" si="13"/>
        <v>宗地开发程度</v>
      </c>
      <c r="AA38" s="1504">
        <f t="shared" si="3"/>
        <v>1</v>
      </c>
      <c r="AB38" s="1504">
        <f t="shared" si="4"/>
        <v>1</v>
      </c>
      <c r="AC38" s="1504">
        <f t="shared" si="5"/>
        <v>1</v>
      </c>
    </row>
    <row r="39" spans="1:29" ht="15">
      <c r="A39" s="587"/>
      <c r="B39" s="520" t="s">
        <v>548</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63" t="s">
        <v>594</v>
      </c>
      <c r="Q39" s="1505" t="str">
        <f t="shared" si="14"/>
        <v>工程地质条件</v>
      </c>
      <c r="R39" s="1506" t="s">
        <v>8</v>
      </c>
      <c r="S39" s="1507">
        <f t="shared" si="10"/>
        <v>100</v>
      </c>
      <c r="T39" s="1506" t="s">
        <v>8</v>
      </c>
      <c r="U39" s="1507">
        <f t="shared" si="11"/>
        <v>100</v>
      </c>
      <c r="V39" s="1506" t="s">
        <v>8</v>
      </c>
      <c r="W39" s="1507">
        <f t="shared" si="12"/>
        <v>100</v>
      </c>
      <c r="X39" s="1500"/>
      <c r="Y39" s="3563" t="s">
        <v>594</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63"/>
      <c r="Q40" s="1505">
        <f t="shared" si="14"/>
        <v>111</v>
      </c>
      <c r="R40" s="1506" t="s">
        <v>8</v>
      </c>
      <c r="S40" s="1507">
        <f t="shared" si="10"/>
        <v>100</v>
      </c>
      <c r="T40" s="1506" t="s">
        <v>8</v>
      </c>
      <c r="U40" s="1507">
        <f t="shared" si="11"/>
        <v>100</v>
      </c>
      <c r="V40" s="1506" t="s">
        <v>8</v>
      </c>
      <c r="W40" s="1507">
        <f t="shared" si="12"/>
        <v>100</v>
      </c>
      <c r="X40" s="1500"/>
      <c r="Y40" s="3563"/>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63"/>
      <c r="Q41" s="1505">
        <f t="shared" si="14"/>
        <v>111</v>
      </c>
      <c r="R41" s="1506" t="s">
        <v>8</v>
      </c>
      <c r="S41" s="1507">
        <f t="shared" si="10"/>
        <v>100</v>
      </c>
      <c r="T41" s="1506" t="s">
        <v>8</v>
      </c>
      <c r="U41" s="1507">
        <f t="shared" si="11"/>
        <v>100</v>
      </c>
      <c r="V41" s="1506" t="s">
        <v>8</v>
      </c>
      <c r="W41" s="1507">
        <f t="shared" si="12"/>
        <v>100</v>
      </c>
      <c r="X41" s="1500"/>
      <c r="Y41" s="3563"/>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63"/>
      <c r="Q42" s="1505">
        <f t="shared" si="14"/>
        <v>111</v>
      </c>
      <c r="R42" s="1510" t="s">
        <v>8</v>
      </c>
      <c r="S42" s="1511">
        <f t="shared" si="10"/>
        <v>100</v>
      </c>
      <c r="T42" s="1510" t="s">
        <v>8</v>
      </c>
      <c r="U42" s="1511">
        <f t="shared" si="11"/>
        <v>100</v>
      </c>
      <c r="V42" s="1510" t="s">
        <v>8</v>
      </c>
      <c r="W42" s="1511">
        <f t="shared" si="12"/>
        <v>100</v>
      </c>
      <c r="X42" s="1512"/>
      <c r="Y42" s="3563"/>
      <c r="Z42" s="1513">
        <f t="shared" si="13"/>
        <v>111</v>
      </c>
      <c r="AA42" s="1509">
        <f t="shared" si="3"/>
        <v>1</v>
      </c>
      <c r="AB42" s="1509">
        <f t="shared" si="4"/>
        <v>1</v>
      </c>
      <c r="AC42" s="1509">
        <f t="shared" si="5"/>
        <v>1</v>
      </c>
    </row>
    <row r="43" spans="1:29" ht="15">
      <c r="A43" s="600" t="s">
        <v>549</v>
      </c>
      <c r="B43" s="601" t="s">
        <v>2901</v>
      </c>
      <c r="C43" s="602" t="s">
        <v>1</v>
      </c>
      <c r="D43" s="603"/>
      <c r="E43" s="604"/>
      <c r="F43" s="605"/>
      <c r="G43" s="606"/>
      <c r="H43" s="607"/>
      <c r="I43" s="604"/>
      <c r="J43" s="607"/>
      <c r="K43" s="1293"/>
      <c r="L43" s="2025"/>
      <c r="M43" s="2015"/>
      <c r="N43" s="2015"/>
      <c r="O43" s="2026"/>
      <c r="P43" s="3526" t="str">
        <f>A43</f>
        <v>成交单价</v>
      </c>
      <c r="Q43" s="3526"/>
      <c r="R43" s="3527">
        <f>E43</f>
        <v>0</v>
      </c>
      <c r="S43" s="3527"/>
      <c r="T43" s="3527">
        <f>G43</f>
        <v>0</v>
      </c>
      <c r="U43" s="3527"/>
      <c r="V43" s="3527">
        <f>I43</f>
        <v>0</v>
      </c>
      <c r="W43" s="3527"/>
      <c r="X43" s="1495"/>
      <c r="Y43" s="1514"/>
      <c r="Z43" s="1495"/>
      <c r="AA43" s="1495"/>
      <c r="AB43" s="1495"/>
      <c r="AC43" s="1495"/>
    </row>
    <row r="44" spans="1:29" ht="15.75" thickBot="1">
      <c r="A44" s="608" t="s">
        <v>2672</v>
      </c>
      <c r="B44" s="609"/>
      <c r="C44" s="610" t="e">
        <f>R45</f>
        <v>#DIV/0!</v>
      </c>
      <c r="D44" s="3012" t="s">
        <v>2970</v>
      </c>
      <c r="E44" s="610" t="e">
        <f>R44</f>
        <v>#DIV/0!</v>
      </c>
      <c r="F44" s="3013"/>
      <c r="G44" s="611" t="e">
        <f>T44</f>
        <v>#DIV/0!</v>
      </c>
      <c r="H44" s="3013"/>
      <c r="I44" s="610" t="e">
        <f>V44</f>
        <v>#DIV/0!</v>
      </c>
      <c r="J44" s="3013"/>
      <c r="K44" s="3014">
        <f>F44+H44+J44</f>
        <v>0</v>
      </c>
      <c r="L44" s="2025"/>
      <c r="M44" s="2015"/>
      <c r="N44" s="2015"/>
      <c r="O44" s="2026"/>
      <c r="P44" s="3526" t="str">
        <f>A44</f>
        <v>比较价格（元/平方米）</v>
      </c>
      <c r="Q44" s="3526"/>
      <c r="R44" s="3528" t="e">
        <f>ROUND(PRODUCT(R43,AA9:AA42),0)</f>
        <v>#DIV/0!</v>
      </c>
      <c r="S44" s="3528"/>
      <c r="T44" s="3528" t="e">
        <f>ROUND(PRODUCT(T43,AB9:AB42),0)</f>
        <v>#DIV/0!</v>
      </c>
      <c r="U44" s="3528"/>
      <c r="V44" s="3528" t="e">
        <f>ROUND(PRODUCT(V43,AC9:AC42),0)</f>
        <v>#DIV/0!</v>
      </c>
      <c r="W44" s="3528"/>
      <c r="X44" s="1495"/>
      <c r="Y44" s="1495"/>
      <c r="Z44" s="1495"/>
      <c r="AA44" s="1495"/>
      <c r="AB44" s="1495"/>
      <c r="AC44" s="1495"/>
    </row>
    <row r="45" spans="1:29" ht="15.75" thickBot="1">
      <c r="A45" s="612" t="s">
        <v>2902</v>
      </c>
      <c r="B45" s="613"/>
      <c r="C45" s="614" t="e">
        <f>R45</f>
        <v>#DIV/0!</v>
      </c>
      <c r="D45" s="614"/>
      <c r="E45" s="614"/>
      <c r="F45" s="614"/>
      <c r="G45" s="614"/>
      <c r="H45" s="614"/>
      <c r="I45" s="614"/>
      <c r="J45" s="614"/>
      <c r="K45" s="1294"/>
      <c r="L45" s="2025"/>
      <c r="M45" s="2015"/>
      <c r="N45" s="2015"/>
      <c r="O45" s="2026"/>
      <c r="P45" s="3523" t="str">
        <f>A45</f>
        <v>估价对象XX用房的比较价格（楼面单价，元/平方米）</v>
      </c>
      <c r="Q45" s="3524"/>
      <c r="R45" s="3596" t="e">
        <f>ROUND(IF(D44="简单平均",AVERAGE(R44:W44),R44*F44+T44*H44+V44*J44),0)</f>
        <v>#DIV/0!</v>
      </c>
      <c r="S45" s="3596"/>
      <c r="T45" s="3596"/>
      <c r="U45" s="3596"/>
      <c r="V45" s="3596"/>
      <c r="W45" s="3596"/>
      <c r="X45" s="1495"/>
      <c r="Y45" s="1495"/>
      <c r="Z45" s="1495"/>
      <c r="AA45" s="1495"/>
      <c r="AB45" s="1495"/>
      <c r="AC45" s="1495"/>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5" t="s">
        <v>550</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5" t="s">
        <v>551</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5" t="s">
        <v>552</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553</v>
      </c>
      <c r="B52" s="621" t="s">
        <v>554</v>
      </c>
      <c r="C52" s="1496" t="s">
        <v>1714</v>
      </c>
      <c r="D52" s="2106" t="s">
        <v>2280</v>
      </c>
      <c r="E52" s="622" t="s">
        <v>555</v>
      </c>
      <c r="F52" s="1864" t="s">
        <v>556</v>
      </c>
      <c r="G52" s="3591" t="s">
        <v>2271</v>
      </c>
      <c r="H52" s="3592"/>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557</v>
      </c>
      <c r="B53" s="625" t="e">
        <f>C45</f>
        <v>#DIV/0!</v>
      </c>
      <c r="C53" s="626">
        <v>1</v>
      </c>
      <c r="D53" s="2107">
        <v>1</v>
      </c>
      <c r="E53" s="626">
        <f>'数据-汇总表'!E8+'数据-汇总表'!E9</f>
        <v>26400</v>
      </c>
      <c r="F53" s="1863" t="e">
        <f t="shared" ref="F53:F62" si="15">ROUND(B53*E53/10000,0)</f>
        <v>#DIV/0!</v>
      </c>
      <c r="G53" s="3593"/>
      <c r="H53" s="3594"/>
      <c r="I53" s="1866">
        <v>1</v>
      </c>
      <c r="J53" s="1493">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558</v>
      </c>
      <c r="B54" s="629" t="e">
        <f>ROUND($C$45*C54*D54,0)</f>
        <v>#DIV/0!</v>
      </c>
      <c r="C54" s="371">
        <f t="shared" ref="C54:C62" si="16">IF($C$52="北京市系数",I54,J54)</f>
        <v>0</v>
      </c>
      <c r="D54" s="2108">
        <v>0.25</v>
      </c>
      <c r="E54" s="630"/>
      <c r="F54" s="1863" t="e">
        <f t="shared" si="15"/>
        <v>#DIV/0!</v>
      </c>
      <c r="G54" s="3595" t="s">
        <v>2272</v>
      </c>
      <c r="H54" s="1867">
        <f>项目基本情况!B43</f>
        <v>0</v>
      </c>
      <c r="I54" s="1866">
        <f>SUMIF(修正!$A$45:$A$56,H54,修正!B45:B56)</f>
        <v>0</v>
      </c>
      <c r="J54" s="1494"/>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559</v>
      </c>
      <c r="B55" s="629" t="e">
        <f t="shared" ref="B55:B62" si="17">ROUND($C$45*C55*D55,0)</f>
        <v>#DIV/0!</v>
      </c>
      <c r="C55" s="371">
        <f t="shared" si="16"/>
        <v>0</v>
      </c>
      <c r="D55" s="2108">
        <v>0.25</v>
      </c>
      <c r="E55" s="630"/>
      <c r="F55" s="1863" t="e">
        <f t="shared" si="15"/>
        <v>#DIV/0!</v>
      </c>
      <c r="G55" s="3595"/>
      <c r="H55" s="1868">
        <f>项目基本情况!B43</f>
        <v>0</v>
      </c>
      <c r="I55" s="1866">
        <f>SUMIF(修正!$A$45:$A$56,H55,修正!C45:C56)</f>
        <v>0</v>
      </c>
      <c r="J55" s="1494"/>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560</v>
      </c>
      <c r="B56" s="629" t="e">
        <f t="shared" si="17"/>
        <v>#DIV/0!</v>
      </c>
      <c r="C56" s="371">
        <f t="shared" si="16"/>
        <v>0</v>
      </c>
      <c r="D56" s="2108">
        <v>0.25</v>
      </c>
      <c r="E56" s="630"/>
      <c r="F56" s="1863" t="e">
        <f t="shared" si="15"/>
        <v>#DIV/0!</v>
      </c>
      <c r="G56" s="3595"/>
      <c r="H56" s="1868">
        <f>项目基本情况!B43</f>
        <v>0</v>
      </c>
      <c r="I56" s="1866">
        <f>SUMIF(修正!$A$45:$A$56,H56,修正!D45:D56)</f>
        <v>0</v>
      </c>
      <c r="J56" s="1494"/>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561</v>
      </c>
      <c r="B57" s="629" t="e">
        <f t="shared" si="17"/>
        <v>#DIV/0!</v>
      </c>
      <c r="C57" s="371">
        <f t="shared" si="16"/>
        <v>0</v>
      </c>
      <c r="D57" s="2108">
        <v>0.25</v>
      </c>
      <c r="E57" s="630"/>
      <c r="F57" s="1863" t="e">
        <f t="shared" si="15"/>
        <v>#DIV/0!</v>
      </c>
      <c r="G57" s="3595"/>
      <c r="H57" s="1868">
        <f>项目基本情况!B43</f>
        <v>0</v>
      </c>
      <c r="I57" s="1866">
        <f>SUMIF(修正!$A$45:$A$56,H57,修正!E45:E56)</f>
        <v>0</v>
      </c>
      <c r="J57" s="1494"/>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29" t="e">
        <f t="shared" si="17"/>
        <v>#DIV/0!</v>
      </c>
      <c r="C58" s="371">
        <f t="shared" si="16"/>
        <v>0.25</v>
      </c>
      <c r="D58" s="2108">
        <v>0.25</v>
      </c>
      <c r="E58" s="632">
        <f>'数据-汇总表'!E11</f>
        <v>0</v>
      </c>
      <c r="F58" s="1863" t="e">
        <f t="shared" si="15"/>
        <v>#DIV/0!</v>
      </c>
      <c r="G58" s="1869" t="s">
        <v>2273</v>
      </c>
      <c r="H58" s="1868" t="str">
        <f>项目基本情况!C43</f>
        <v>七级</v>
      </c>
      <c r="I58" s="1866">
        <f>SUMIF(修正!$A$45:$A$56,H58,修正!F45:F56)</f>
        <v>0.25</v>
      </c>
      <c r="J58" s="1494"/>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562</v>
      </c>
      <c r="B59" s="629" t="e">
        <f t="shared" si="17"/>
        <v>#DIV/0!</v>
      </c>
      <c r="C59" s="371">
        <f t="shared" si="16"/>
        <v>0.25</v>
      </c>
      <c r="D59" s="2108">
        <v>0.25</v>
      </c>
      <c r="E59" s="632">
        <f>'数据-汇总表'!E12</f>
        <v>0</v>
      </c>
      <c r="F59" s="1863" t="e">
        <f t="shared" si="15"/>
        <v>#DIV/0!</v>
      </c>
      <c r="G59" s="1859" t="s">
        <v>1667</v>
      </c>
      <c r="H59" s="1867" t="str">
        <f>IF(G59="商业",项目基本情况!B43,IF(G59="办公",项目基本情况!C43,IF(G59="住宅",项目基本情况!D43,项目基本情况!E43)))</f>
        <v>七级</v>
      </c>
      <c r="I59" s="1866">
        <f>SUMIF(修正!$A$45:$A$56,H59,修正!G45:G56)</f>
        <v>0.25</v>
      </c>
      <c r="J59" s="1494"/>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563</v>
      </c>
      <c r="B60" s="629" t="e">
        <f t="shared" si="17"/>
        <v>#DIV/0!</v>
      </c>
      <c r="C60" s="371">
        <f t="shared" si="16"/>
        <v>0</v>
      </c>
      <c r="D60" s="2108">
        <v>0.25</v>
      </c>
      <c r="E60" s="632">
        <f>'数据-汇总表'!E13</f>
        <v>0</v>
      </c>
      <c r="F60" s="1863" t="e">
        <f t="shared" si="15"/>
        <v>#DIV/0!</v>
      </c>
      <c r="G60" s="1859" t="s">
        <v>913</v>
      </c>
      <c r="H60" s="1867">
        <f>IF(G60="商业",项目基本情况!B43,IF(G60="办公",项目基本情况!C43,IF(G60="住宅",项目基本情况!D43,项目基本情况!E43)))</f>
        <v>0</v>
      </c>
      <c r="I60" s="1866">
        <f>SUMIF(修正!$A$45:$A$56,H60,修正!H45:H56)</f>
        <v>0</v>
      </c>
      <c r="J60" s="1494"/>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564</v>
      </c>
      <c r="B61" s="629" t="e">
        <f t="shared" si="17"/>
        <v>#DIV/0!</v>
      </c>
      <c r="C61" s="371">
        <f t="shared" si="16"/>
        <v>0</v>
      </c>
      <c r="D61" s="2108">
        <v>0.25</v>
      </c>
      <c r="E61" s="632">
        <f>'数据-汇总表'!E14</f>
        <v>0</v>
      </c>
      <c r="F61" s="1863" t="e">
        <f t="shared" si="15"/>
        <v>#DIV/0!</v>
      </c>
      <c r="G61" s="1869" t="s">
        <v>2272</v>
      </c>
      <c r="H61" s="1868">
        <f>项目基本情况!B43</f>
        <v>0</v>
      </c>
      <c r="I61" s="1866">
        <f>SUMIF(修正!$A$45:$A$56,H61,修正!H45:H56)</f>
        <v>0</v>
      </c>
      <c r="J61" s="1494"/>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565</v>
      </c>
      <c r="B62" s="629" t="e">
        <f t="shared" si="17"/>
        <v>#DIV/0!</v>
      </c>
      <c r="C62" s="371">
        <f t="shared" si="16"/>
        <v>0.2</v>
      </c>
      <c r="D62" s="2108">
        <v>0.25</v>
      </c>
      <c r="E62" s="632">
        <f>'数据-汇总表'!E15</f>
        <v>0</v>
      </c>
      <c r="F62" s="1863" t="e">
        <f t="shared" si="15"/>
        <v>#DIV/0!</v>
      </c>
      <c r="G62" s="1870" t="s">
        <v>2273</v>
      </c>
      <c r="H62" s="1871" t="str">
        <f>项目基本情况!C43</f>
        <v>七级</v>
      </c>
      <c r="I62" s="1866">
        <f>SUMIF(修正!$A$45:$A$56,H62,修正!H45:H56)</f>
        <v>0.2</v>
      </c>
      <c r="J62" s="1494"/>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566</v>
      </c>
      <c r="B63" s="634" t="s">
        <v>17</v>
      </c>
      <c r="C63" s="634" t="s">
        <v>18</v>
      </c>
      <c r="D63" s="634" t="s">
        <v>2281</v>
      </c>
      <c r="E63" s="634">
        <f>IF(B43="楼面地价",SUM(E53:E62),'数据-汇总表'!D3)</f>
        <v>16344.23</v>
      </c>
      <c r="F63" s="635" t="e">
        <f>IF(B43="楼面地价",SUM(F53:F62),ROUND(C45*E63/10000,0))</f>
        <v>#DIV/0!</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2021-1-1</v>
      </c>
      <c r="D65" s="2515">
        <f>EDATE(C65,-3)</f>
        <v>44105</v>
      </c>
      <c r="E65" s="2515">
        <f t="shared" ref="E65:N65" si="18">EDATE(D65,-3)</f>
        <v>44013</v>
      </c>
      <c r="F65" s="2515">
        <f t="shared" si="18"/>
        <v>43922</v>
      </c>
      <c r="G65" s="2515">
        <f t="shared" si="18"/>
        <v>43831</v>
      </c>
      <c r="H65" s="2515">
        <f t="shared" si="18"/>
        <v>43739</v>
      </c>
      <c r="I65" s="2515">
        <f t="shared" si="18"/>
        <v>43647</v>
      </c>
      <c r="J65" s="2515">
        <f t="shared" si="18"/>
        <v>43556</v>
      </c>
      <c r="K65" s="2515">
        <f t="shared" si="18"/>
        <v>43466</v>
      </c>
      <c r="L65" s="2515">
        <f t="shared" si="18"/>
        <v>43374</v>
      </c>
      <c r="M65" s="2515">
        <f t="shared" si="18"/>
        <v>43282</v>
      </c>
      <c r="N65" s="2515">
        <f t="shared" si="18"/>
        <v>43191</v>
      </c>
      <c r="O65" s="2026"/>
      <c r="P65" s="2026"/>
      <c r="Q65" s="2026"/>
      <c r="R65" s="2026"/>
      <c r="S65" s="2026"/>
      <c r="T65" s="2026"/>
      <c r="U65" s="2026"/>
      <c r="V65" s="2026"/>
      <c r="W65" s="2026"/>
      <c r="X65" s="2026"/>
      <c r="Y65" s="2026"/>
      <c r="Z65" s="2026"/>
      <c r="AA65" s="2026"/>
      <c r="AB65" s="2026"/>
      <c r="AC65" s="2026"/>
    </row>
    <row r="66" spans="1:29" ht="21.75" thickBot="1">
      <c r="A66" s="1517" t="s">
        <v>567</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7"/>
      <c r="C67" s="2512" t="str">
        <f>YEAR(C65)&amp;"-"&amp;ROUNDUP(MONTH(C65)/3,0)</f>
        <v>2021-1</v>
      </c>
      <c r="D67" s="2517" t="str">
        <f t="shared" ref="D67:N67" si="19">YEAR(D65)&amp;"-"&amp;ROUNDUP(MONTH(D65)/3,0)</f>
        <v>2020-4</v>
      </c>
      <c r="E67" s="2517" t="str">
        <f t="shared" si="19"/>
        <v>2020-3</v>
      </c>
      <c r="F67" s="2517" t="str">
        <f t="shared" si="19"/>
        <v>2020-2</v>
      </c>
      <c r="G67" s="2517" t="str">
        <f t="shared" si="19"/>
        <v>2020-1</v>
      </c>
      <c r="H67" s="2517" t="str">
        <f t="shared" si="19"/>
        <v>2019-4</v>
      </c>
      <c r="I67" s="2517" t="str">
        <f t="shared" si="19"/>
        <v>2019-3</v>
      </c>
      <c r="J67" s="2517" t="str">
        <f t="shared" si="19"/>
        <v>2019-2</v>
      </c>
      <c r="K67" s="2517" t="str">
        <f t="shared" si="19"/>
        <v>2019-1</v>
      </c>
      <c r="L67" s="2517" t="str">
        <f t="shared" si="19"/>
        <v>2018-4</v>
      </c>
      <c r="M67" s="2517" t="str">
        <f t="shared" si="19"/>
        <v>2018-3</v>
      </c>
      <c r="N67" s="2517" t="str">
        <f t="shared" si="19"/>
        <v>2018-2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2628</v>
      </c>
      <c r="B68" s="472" t="str">
        <f>"北京市平均增长率"&amp;TEXT(基准地价!P24,"0.00%")</f>
        <v>北京市平均增长率1.19%</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568</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524</v>
      </c>
      <c r="B70" s="639"/>
      <c r="C70" s="651" t="s">
        <v>569</v>
      </c>
      <c r="D70" s="652"/>
      <c r="E70" s="652"/>
      <c r="F70" s="652"/>
      <c r="G70" s="652"/>
      <c r="H70" s="652"/>
      <c r="I70" s="652"/>
      <c r="J70" s="652"/>
      <c r="K70" s="652"/>
      <c r="L70" s="653"/>
      <c r="M70" s="654"/>
      <c r="N70" s="3226"/>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6"/>
      <c r="O71" s="2042"/>
      <c r="P71" s="2038"/>
      <c r="Q71" s="2038"/>
      <c r="R71" s="1904"/>
      <c r="S71" s="1904"/>
      <c r="T71" s="1904"/>
      <c r="U71" s="1904"/>
      <c r="V71" s="1904"/>
      <c r="W71" s="1904"/>
      <c r="X71" s="1904"/>
      <c r="Y71" s="1904"/>
      <c r="Z71" s="1904"/>
      <c r="AA71" s="1904"/>
      <c r="AB71" s="1904"/>
      <c r="AC71" s="1904"/>
    </row>
    <row r="72" spans="1:29">
      <c r="A72" s="655" t="s">
        <v>570</v>
      </c>
      <c r="B72" s="656" t="s">
        <v>527</v>
      </c>
      <c r="C72" s="591"/>
      <c r="D72" s="591"/>
      <c r="E72" s="591"/>
      <c r="F72" s="591"/>
      <c r="G72" s="591"/>
      <c r="H72" s="591"/>
      <c r="I72" s="591"/>
      <c r="J72" s="591"/>
      <c r="K72" s="657"/>
      <c r="L72" s="658"/>
      <c r="M72" s="659"/>
      <c r="N72" s="3227"/>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8"/>
      <c r="O73" s="2046"/>
      <c r="P73" s="2045"/>
      <c r="Q73" s="2038"/>
      <c r="R73" s="2026"/>
      <c r="S73" s="2026"/>
      <c r="T73" s="2026"/>
      <c r="U73" s="2026"/>
      <c r="V73" s="2026"/>
      <c r="W73" s="2026"/>
      <c r="X73" s="2026"/>
      <c r="Y73" s="2026"/>
      <c r="Z73" s="2026"/>
      <c r="AA73" s="2026"/>
      <c r="AB73" s="2026"/>
      <c r="AC73" s="2026"/>
    </row>
    <row r="74" spans="1:29" ht="27.75" thickTop="1">
      <c r="A74" s="660"/>
      <c r="B74" s="664" t="s">
        <v>530</v>
      </c>
      <c r="C74" s="665"/>
      <c r="D74" s="665"/>
      <c r="E74" s="665"/>
      <c r="F74" s="665"/>
      <c r="G74" s="665"/>
      <c r="H74" s="665"/>
      <c r="I74" s="665"/>
      <c r="J74" s="665"/>
      <c r="K74" s="666"/>
      <c r="L74" s="667"/>
      <c r="M74" s="668"/>
      <c r="N74" s="3227"/>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8"/>
      <c r="O75" s="2046"/>
      <c r="P75" s="2045"/>
      <c r="Q75" s="2038"/>
      <c r="R75" s="2026"/>
      <c r="S75" s="2026"/>
      <c r="T75" s="2026"/>
      <c r="U75" s="2026"/>
      <c r="V75" s="2026"/>
      <c r="W75" s="2026"/>
      <c r="X75" s="2026"/>
      <c r="Y75" s="2026"/>
      <c r="Z75" s="2026"/>
      <c r="AA75" s="2026"/>
      <c r="AB75" s="2026"/>
      <c r="AC75" s="2026"/>
    </row>
    <row r="76" spans="1:29" ht="15.75" thickTop="1">
      <c r="A76" s="660"/>
      <c r="B76" s="672" t="s">
        <v>531</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7"/>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29"/>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8"/>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29"/>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29"/>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29"/>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29"/>
      <c r="O84" s="2047"/>
      <c r="P84" s="2048"/>
      <c r="Q84" s="2049"/>
      <c r="R84" s="2050"/>
      <c r="S84" s="2050"/>
      <c r="T84" s="2050"/>
      <c r="U84" s="2050"/>
      <c r="V84" s="2050"/>
      <c r="W84" s="2050"/>
      <c r="X84" s="2050"/>
      <c r="Y84" s="2050"/>
      <c r="Z84" s="2050"/>
      <c r="AA84" s="2050"/>
      <c r="AB84" s="2050"/>
      <c r="AC84" s="2050"/>
    </row>
    <row r="85" spans="1:29">
      <c r="A85" s="655" t="s">
        <v>532</v>
      </c>
      <c r="B85" s="656" t="s">
        <v>595</v>
      </c>
      <c r="C85" s="694" t="s">
        <v>572</v>
      </c>
      <c r="D85" s="694" t="s">
        <v>573</v>
      </c>
      <c r="E85" s="694" t="s">
        <v>574</v>
      </c>
      <c r="F85" s="694" t="s">
        <v>575</v>
      </c>
      <c r="G85" s="694" t="s">
        <v>576</v>
      </c>
      <c r="H85" s="695"/>
      <c r="I85" s="695"/>
      <c r="J85" s="695"/>
      <c r="K85" s="696"/>
      <c r="L85" s="697"/>
      <c r="M85" s="698"/>
      <c r="N85" s="3227"/>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6"/>
      <c r="P86" s="2045"/>
      <c r="Q86" s="2038"/>
      <c r="R86" s="2026"/>
      <c r="S86" s="2026"/>
      <c r="T86" s="2026"/>
      <c r="U86" s="2026"/>
      <c r="V86" s="2026"/>
      <c r="W86" s="2026"/>
      <c r="X86" s="2026"/>
      <c r="Y86" s="2026"/>
      <c r="Z86" s="2026"/>
      <c r="AA86" s="2026"/>
      <c r="AB86" s="2026"/>
      <c r="AC86" s="2026"/>
    </row>
    <row r="87" spans="1:29" ht="15.75" thickTop="1">
      <c r="A87" s="660"/>
      <c r="B87" s="664" t="s">
        <v>579</v>
      </c>
      <c r="C87" s="699" t="s">
        <v>572</v>
      </c>
      <c r="D87" s="699" t="s">
        <v>573</v>
      </c>
      <c r="E87" s="699" t="s">
        <v>574</v>
      </c>
      <c r="F87" s="699" t="s">
        <v>575</v>
      </c>
      <c r="G87" s="699" t="s">
        <v>576</v>
      </c>
      <c r="H87" s="665"/>
      <c r="I87" s="665"/>
      <c r="J87" s="665"/>
      <c r="K87" s="666"/>
      <c r="L87" s="667"/>
      <c r="M87" s="668"/>
      <c r="N87" s="3227"/>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580</v>
      </c>
      <c r="C89" s="699" t="s">
        <v>572</v>
      </c>
      <c r="D89" s="699" t="s">
        <v>573</v>
      </c>
      <c r="E89" s="699" t="s">
        <v>574</v>
      </c>
      <c r="F89" s="699" t="s">
        <v>575</v>
      </c>
      <c r="G89" s="699" t="s">
        <v>576</v>
      </c>
      <c r="H89" s="699"/>
      <c r="I89" s="699"/>
      <c r="J89" s="699"/>
      <c r="K89" s="699"/>
      <c r="L89" s="701"/>
      <c r="M89" s="702"/>
      <c r="N89" s="3226"/>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581</v>
      </c>
      <c r="C91" s="694" t="s">
        <v>572</v>
      </c>
      <c r="D91" s="694" t="s">
        <v>573</v>
      </c>
      <c r="E91" s="694" t="s">
        <v>574</v>
      </c>
      <c r="F91" s="694" t="s">
        <v>575</v>
      </c>
      <c r="G91" s="694" t="s">
        <v>576</v>
      </c>
      <c r="H91" s="699"/>
      <c r="I91" s="699"/>
      <c r="J91" s="699"/>
      <c r="K91" s="699"/>
      <c r="L91" s="699"/>
      <c r="M91" s="702"/>
      <c r="N91" s="3226"/>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2529</v>
      </c>
      <c r="C93" s="694" t="s">
        <v>572</v>
      </c>
      <c r="D93" s="694" t="s">
        <v>573</v>
      </c>
      <c r="E93" s="694" t="s">
        <v>574</v>
      </c>
      <c r="F93" s="694" t="s">
        <v>575</v>
      </c>
      <c r="G93" s="694" t="s">
        <v>576</v>
      </c>
      <c r="H93" s="704"/>
      <c r="I93" s="704"/>
      <c r="J93" s="704"/>
      <c r="K93" s="704"/>
      <c r="L93" s="705"/>
      <c r="M93" s="706"/>
      <c r="N93" s="3229"/>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2531</v>
      </c>
      <c r="C95" s="2441" t="s">
        <v>2532</v>
      </c>
      <c r="D95" s="2441" t="s">
        <v>2533</v>
      </c>
      <c r="E95" s="2441" t="s">
        <v>2534</v>
      </c>
      <c r="F95" s="2441" t="s">
        <v>2535</v>
      </c>
      <c r="G95" s="2441" t="s">
        <v>2536</v>
      </c>
      <c r="H95" s="704"/>
      <c r="I95" s="704"/>
      <c r="J95" s="704"/>
      <c r="K95" s="704"/>
      <c r="L95" s="704"/>
      <c r="M95" s="706"/>
      <c r="N95" s="3229"/>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29"/>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582</v>
      </c>
      <c r="D97" s="665" t="s">
        <v>583</v>
      </c>
      <c r="E97" s="665" t="s">
        <v>584</v>
      </c>
      <c r="F97" s="665" t="s">
        <v>585</v>
      </c>
      <c r="G97" s="665"/>
      <c r="H97" s="665"/>
      <c r="I97" s="665"/>
      <c r="J97" s="665"/>
      <c r="K97" s="666"/>
      <c r="L97" s="667"/>
      <c r="M97" s="668"/>
      <c r="N97" s="3227"/>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0"/>
      <c r="B99" s="664" t="s">
        <v>541</v>
      </c>
      <c r="C99" s="679"/>
      <c r="D99" s="679"/>
      <c r="E99" s="679"/>
      <c r="F99" s="679"/>
      <c r="G99" s="679"/>
      <c r="H99" s="709"/>
      <c r="I99" s="709"/>
      <c r="J99" s="709"/>
      <c r="K99" s="710"/>
      <c r="L99" s="711"/>
      <c r="M99" s="712"/>
      <c r="N99" s="3227"/>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542</v>
      </c>
      <c r="C101" s="709"/>
      <c r="D101" s="709"/>
      <c r="E101" s="709"/>
      <c r="F101" s="709"/>
      <c r="G101" s="709"/>
      <c r="H101" s="709"/>
      <c r="I101" s="709"/>
      <c r="J101" s="709"/>
      <c r="K101" s="710"/>
      <c r="L101" s="711"/>
      <c r="M101" s="712"/>
      <c r="N101" s="3227"/>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7"/>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8"/>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7"/>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8"/>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29"/>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8"/>
      <c r="O108" s="2046"/>
      <c r="P108" s="2048"/>
      <c r="Q108" s="2049"/>
      <c r="R108" s="2050"/>
      <c r="S108" s="2050"/>
      <c r="T108" s="2050"/>
      <c r="U108" s="2050"/>
      <c r="V108" s="2050"/>
      <c r="W108" s="2050"/>
      <c r="X108" s="2050"/>
      <c r="Y108" s="2050"/>
      <c r="Z108" s="2050"/>
      <c r="AA108" s="2050"/>
      <c r="AB108" s="2050"/>
      <c r="AC108" s="2050"/>
    </row>
    <row r="109" spans="1:29">
      <c r="A109" s="655" t="s">
        <v>544</v>
      </c>
      <c r="B109" s="656" t="s">
        <v>586</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7"/>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8"/>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587</v>
      </c>
      <c r="C112" s="709"/>
      <c r="D112" s="709"/>
      <c r="E112" s="709"/>
      <c r="F112" s="709"/>
      <c r="G112" s="709"/>
      <c r="H112" s="709"/>
      <c r="I112" s="709"/>
      <c r="J112" s="709"/>
      <c r="K112" s="710"/>
      <c r="L112" s="711"/>
      <c r="M112" s="712"/>
      <c r="N112" s="3227"/>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2409</v>
      </c>
      <c r="C114" s="1326"/>
      <c r="D114" s="1326"/>
      <c r="E114" s="1326"/>
      <c r="F114" s="1326"/>
      <c r="G114" s="1326"/>
      <c r="H114" s="709"/>
      <c r="I114" s="709"/>
      <c r="J114" s="709"/>
      <c r="K114" s="710"/>
      <c r="L114" s="711"/>
      <c r="M114" s="712"/>
      <c r="N114" s="3229"/>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589</v>
      </c>
      <c r="C116" s="679"/>
      <c r="D116" s="679"/>
      <c r="E116" s="709"/>
      <c r="F116" s="709"/>
      <c r="G116" s="709"/>
      <c r="H116" s="709"/>
      <c r="I116" s="709"/>
      <c r="J116" s="709"/>
      <c r="K116" s="710"/>
      <c r="L116" s="711"/>
      <c r="M116" s="712"/>
      <c r="N116" s="3227"/>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7"/>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8"/>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7"/>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8"/>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29"/>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5" zoomScaleNormal="60" zoomScaleSheetLayoutView="85" workbookViewId="0">
      <selection activeCell="G45" sqref="G45"/>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1667</v>
      </c>
      <c r="D1" s="2796" t="s">
        <v>3016</v>
      </c>
      <c r="E1" s="2241" t="s">
        <v>2358</v>
      </c>
      <c r="F1" s="2242">
        <f ca="1">J53</f>
        <v>33.1</v>
      </c>
      <c r="G1" s="3257">
        <f>MATCH(C1,'数据-取费表'!A6:A16,0)+5</f>
        <v>6</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1716</v>
      </c>
      <c r="B2" s="764">
        <f ca="1">C40+J29+L46</f>
        <v>47332</v>
      </c>
      <c r="C2" s="3262"/>
      <c r="D2" s="3263"/>
      <c r="E2" s="3264"/>
      <c r="F2" s="3264"/>
      <c r="G2" s="3258"/>
      <c r="H2" s="1939"/>
      <c r="I2" s="1939"/>
      <c r="J2" s="1939"/>
      <c r="K2" s="1940"/>
      <c r="L2" s="1939"/>
      <c r="M2" s="1939"/>
    </row>
    <row r="3" spans="1:33" ht="18" customHeight="1" thickBot="1">
      <c r="A3" s="821" t="s">
        <v>1717</v>
      </c>
      <c r="B3" s="822">
        <f ca="1">IF(ISERROR(B2*10000/F43),0,ROUND(B2*10000/F43,0))</f>
        <v>17929</v>
      </c>
      <c r="C3" s="3262"/>
      <c r="D3" s="3263"/>
      <c r="E3" s="3264"/>
      <c r="F3" s="3264"/>
      <c r="G3" s="3258"/>
      <c r="H3" s="765" t="s">
        <v>688</v>
      </c>
      <c r="I3" s="1315"/>
      <c r="J3" s="1315"/>
      <c r="K3" s="1524"/>
      <c r="L3" s="1315"/>
      <c r="M3" s="1315"/>
    </row>
    <row r="4" spans="1:33" ht="18" customHeight="1">
      <c r="A4" s="766" t="s">
        <v>1718</v>
      </c>
      <c r="B4" s="767" t="s">
        <v>1719</v>
      </c>
      <c r="C4" s="767" t="s">
        <v>1720</v>
      </c>
      <c r="D4" s="767" t="s">
        <v>626</v>
      </c>
      <c r="E4" s="768" t="s">
        <v>1721</v>
      </c>
      <c r="F4" s="769"/>
      <c r="G4" s="1944"/>
      <c r="H4" s="766" t="s">
        <v>1722</v>
      </c>
      <c r="I4" s="767" t="s">
        <v>1723</v>
      </c>
      <c r="J4" s="767" t="s">
        <v>1724</v>
      </c>
      <c r="K4" s="767" t="s">
        <v>1725</v>
      </c>
      <c r="L4" s="768" t="s">
        <v>1726</v>
      </c>
      <c r="M4" s="769"/>
    </row>
    <row r="5" spans="1:33" ht="18" customHeight="1">
      <c r="A5" s="770">
        <v>1</v>
      </c>
      <c r="B5" s="771" t="s">
        <v>2439</v>
      </c>
      <c r="C5" s="55">
        <f ca="1">C6+C10+C12</f>
        <v>3384</v>
      </c>
      <c r="D5" s="2348" t="s">
        <v>2442</v>
      </c>
      <c r="E5" s="2342"/>
      <c r="F5" s="2343"/>
      <c r="G5" s="1944"/>
      <c r="H5" s="770">
        <v>1</v>
      </c>
      <c r="I5" s="771" t="s">
        <v>2439</v>
      </c>
      <c r="J5" s="55">
        <f ca="1">J6+J10+J12</f>
        <v>0</v>
      </c>
      <c r="K5" s="2348" t="s">
        <v>2442</v>
      </c>
      <c r="L5" s="2342"/>
      <c r="M5" s="2343"/>
    </row>
    <row r="6" spans="1:33" ht="18" customHeight="1">
      <c r="A6" s="1744" t="s">
        <v>1814</v>
      </c>
      <c r="B6" s="3599" t="s">
        <v>2444</v>
      </c>
      <c r="C6" s="772">
        <f ca="1">ROUND(F6*F8*F7*(1-F9)/10000,0)</f>
        <v>2838</v>
      </c>
      <c r="D6" s="2349" t="s">
        <v>2443</v>
      </c>
      <c r="E6" s="773" t="s">
        <v>1728</v>
      </c>
      <c r="F6" s="774">
        <f ca="1">INDIRECT("'数据-取费表'!u"&amp;$G$1)</f>
        <v>28378999.999999996</v>
      </c>
      <c r="G6" s="1944"/>
      <c r="H6" s="2356" t="s">
        <v>2449</v>
      </c>
      <c r="I6" s="3599" t="s">
        <v>2444</v>
      </c>
      <c r="J6" s="772">
        <f ca="1">ROUND(M6*M8*M7*(1-M9)/10000,0)</f>
        <v>0</v>
      </c>
      <c r="K6" s="338" t="s">
        <v>1727</v>
      </c>
      <c r="L6" s="773" t="s">
        <v>1728</v>
      </c>
      <c r="M6" s="774">
        <f ca="1">INDIRECT("'数据-取费表'!z"&amp;$G$1)</f>
        <v>0</v>
      </c>
    </row>
    <row r="7" spans="1:33" ht="18" customHeight="1">
      <c r="A7" s="2352"/>
      <c r="B7" s="3600"/>
      <c r="C7" s="777"/>
      <c r="D7" s="778"/>
      <c r="E7" s="773" t="s">
        <v>1729</v>
      </c>
      <c r="F7" s="774">
        <f ca="1">IF(INDIRECT("'数据-取费表'!ah"&amp;$G$1)="",INDIRECT("'数据-取费表'!k"&amp;$G$1),INDIRECT("'数据-取费表'!ah"&amp;$G$1))</f>
        <v>1</v>
      </c>
      <c r="G7" s="1944"/>
      <c r="H7" s="2341"/>
      <c r="I7" s="3600"/>
      <c r="J7" s="777"/>
      <c r="K7" s="778"/>
      <c r="L7" s="773" t="s">
        <v>1729</v>
      </c>
      <c r="M7" s="774">
        <f ca="1">F7</f>
        <v>1</v>
      </c>
    </row>
    <row r="8" spans="1:33" ht="18" customHeight="1">
      <c r="A8" s="2345"/>
      <c r="B8" s="3601"/>
      <c r="C8" s="777"/>
      <c r="D8" s="778"/>
      <c r="E8" s="773" t="s">
        <v>1730</v>
      </c>
      <c r="F8" s="774">
        <f ca="1">INDIRECT("'数据-取费表'!ai"&amp;$G$1)</f>
        <v>1</v>
      </c>
      <c r="G8" s="1944"/>
      <c r="H8" s="2341"/>
      <c r="I8" s="3601"/>
      <c r="J8" s="777"/>
      <c r="K8" s="778"/>
      <c r="L8" s="773" t="s">
        <v>1730</v>
      </c>
      <c r="M8" s="774">
        <f ca="1">INDIRECT("'数据-取费表'!ai"&amp;$G$1)</f>
        <v>1</v>
      </c>
    </row>
    <row r="9" spans="1:33" ht="18" customHeight="1">
      <c r="A9" s="775"/>
      <c r="B9" s="3602"/>
      <c r="C9" s="777"/>
      <c r="D9" s="778"/>
      <c r="E9" s="773" t="s">
        <v>1731</v>
      </c>
      <c r="F9" s="783">
        <f ca="1">INDIRECT("'数据-取费表'!w"&amp;$G$1)</f>
        <v>0</v>
      </c>
      <c r="G9" s="1944"/>
      <c r="H9" s="2357"/>
      <c r="I9" s="3601"/>
      <c r="J9" s="777"/>
      <c r="K9" s="778"/>
      <c r="L9" s="784" t="s">
        <v>1731</v>
      </c>
      <c r="M9" s="785">
        <f ca="1">INDIRECT("'数据-取费表'!ab"&amp;$G$1)</f>
        <v>0</v>
      </c>
    </row>
    <row r="10" spans="1:33" ht="18" customHeight="1">
      <c r="A10" s="1744" t="s">
        <v>2447</v>
      </c>
      <c r="B10" s="2346" t="s">
        <v>2440</v>
      </c>
      <c r="C10" s="788">
        <f ca="1">ROUND(IF(F10="押一",C6/12*F11,IF(F10="押二",C6/12*2*F11,IF(F10="押三",C6/12*3*F11,C11*F11))),0)</f>
        <v>0</v>
      </c>
      <c r="D10" s="2353" t="s">
        <v>2937</v>
      </c>
      <c r="E10" s="2350" t="s">
        <v>2445</v>
      </c>
      <c r="F10" s="2464" t="s">
        <v>3258</v>
      </c>
      <c r="G10" s="1944"/>
      <c r="H10" s="2413" t="s">
        <v>2450</v>
      </c>
      <c r="I10" s="2418" t="s">
        <v>2440</v>
      </c>
      <c r="J10" s="772">
        <f ca="1">ROUND(IF(M10="押一",J6/12*M11,IF(M10="押二",J6/12*2*M11,IF(M10="押三",J6/12*3*M11,J11*M11))),0)</f>
        <v>0</v>
      </c>
      <c r="K10" s="2353" t="s">
        <v>2937</v>
      </c>
      <c r="L10" s="2350" t="s">
        <v>2445</v>
      </c>
      <c r="M10" s="2464"/>
    </row>
    <row r="11" spans="1:33" ht="18" customHeight="1">
      <c r="A11" s="779"/>
      <c r="B11" s="2347" t="s">
        <v>2554</v>
      </c>
      <c r="C11" s="2351"/>
      <c r="D11" s="778"/>
      <c r="E11" s="2350" t="s">
        <v>2446</v>
      </c>
      <c r="F11" s="785">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f>酒店收入计算养老院!L11</f>
        <v>546</v>
      </c>
      <c r="D12" s="2392"/>
      <c r="E12" s="2393"/>
      <c r="F12" s="2394"/>
      <c r="G12" s="1944"/>
      <c r="H12" s="2403" t="s">
        <v>2451</v>
      </c>
      <c r="I12" s="2416" t="s">
        <v>2441</v>
      </c>
      <c r="J12" s="2417"/>
      <c r="K12" s="2392"/>
      <c r="L12" s="2393"/>
      <c r="M12" s="2406"/>
    </row>
    <row r="13" spans="1:33" ht="18" customHeight="1" thickTop="1">
      <c r="A13" s="1743">
        <v>2</v>
      </c>
      <c r="B13" s="1741" t="s">
        <v>1732</v>
      </c>
      <c r="C13" s="781">
        <f ca="1">ROUND(C29*F13,0)</f>
        <v>21644</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3" t="s">
        <v>638</v>
      </c>
      <c r="C14" s="793">
        <f ca="1">INDIRECT("'数据-取费表'!m"&amp;$G$1)+INDIRECT("'数据-取费表'!t"&amp;$G$1)</f>
        <v>15840</v>
      </c>
      <c r="D14" s="1892" t="s">
        <v>1735</v>
      </c>
      <c r="E14" s="1893"/>
      <c r="F14" s="794"/>
      <c r="G14" s="1944"/>
      <c r="H14" s="1576" t="s">
        <v>1820</v>
      </c>
      <c r="I14" s="2110" t="s">
        <v>2804</v>
      </c>
      <c r="J14" s="53">
        <f ca="1">C29</f>
        <v>21644</v>
      </c>
      <c r="K14" s="26"/>
      <c r="L14" s="790"/>
      <c r="M14" s="791"/>
    </row>
    <row r="15" spans="1:33" s="1946" customFormat="1" ht="18" customHeight="1" thickBot="1">
      <c r="A15" s="1575" t="s">
        <v>1875</v>
      </c>
      <c r="B15" s="773" t="s">
        <v>640</v>
      </c>
      <c r="C15" s="53">
        <f ca="1">ROUND(C14*F15,0)</f>
        <v>475</v>
      </c>
      <c r="D15" s="795" t="s">
        <v>1736</v>
      </c>
      <c r="E15" s="795" t="s">
        <v>1737</v>
      </c>
      <c r="F15" s="796">
        <f>'数据-取费表'!B33</f>
        <v>0.03</v>
      </c>
      <c r="G15" s="3259"/>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3" t="s">
        <v>643</v>
      </c>
      <c r="C16" s="53">
        <f ca="1">ROUND(INDIRECT("'数据-取费表'!m"&amp;$G$1)*F16,0)</f>
        <v>0</v>
      </c>
      <c r="D16" s="773" t="s">
        <v>1736</v>
      </c>
      <c r="E16" s="773" t="s">
        <v>1737</v>
      </c>
      <c r="F16" s="798">
        <f ca="1">IF(INDIRECT("'数据-取费表'!c"&amp;$G$1)="住宅",'数据-取费表'!B34,0)</f>
        <v>0</v>
      </c>
      <c r="G16" s="1944"/>
      <c r="H16" s="1743" t="s">
        <v>1738</v>
      </c>
      <c r="I16" s="1741" t="s">
        <v>1739</v>
      </c>
      <c r="J16" s="781">
        <f ca="1">ROUND(J17+J22+J23+J24,0)</f>
        <v>2036</v>
      </c>
      <c r="K16" s="1735" t="s">
        <v>1740</v>
      </c>
      <c r="L16" s="2338"/>
      <c r="M16" s="2343"/>
    </row>
    <row r="17" spans="1:33" s="1946" customFormat="1" ht="18" customHeight="1">
      <c r="A17" s="1575" t="s">
        <v>1877</v>
      </c>
      <c r="B17" s="773" t="s">
        <v>646</v>
      </c>
      <c r="C17" s="53">
        <f ca="1">ROUND(F17*(F43+INDIRECT("'数据-取费表'!S"&amp;$G$1))/10000,0)</f>
        <v>528</v>
      </c>
      <c r="D17" s="773" t="s">
        <v>1741</v>
      </c>
      <c r="E17" s="773" t="s">
        <v>1742</v>
      </c>
      <c r="F17" s="56">
        <f>'数据-取费表'!B35</f>
        <v>200</v>
      </c>
      <c r="G17" s="3259"/>
      <c r="H17" s="1576" t="s">
        <v>1820</v>
      </c>
      <c r="I17" s="773" t="s">
        <v>649</v>
      </c>
      <c r="J17" s="3017">
        <f ca="1">ROUND(IF(AND(项目基本情况!B11="自然人",项目基本情况!B10="北京市"),J6*M17/(1+'数据-取费表'!C42),J18+J19+J20),0)</f>
        <v>1820</v>
      </c>
      <c r="K17" s="2337" t="s">
        <v>1743</v>
      </c>
      <c r="L17" s="233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652</v>
      </c>
      <c r="C18" s="53">
        <f ca="1">ROUND(C14*F18,0)</f>
        <v>238</v>
      </c>
      <c r="D18" s="773" t="s">
        <v>1736</v>
      </c>
      <c r="E18" s="773" t="s">
        <v>1737</v>
      </c>
      <c r="F18" s="798">
        <f>'数据-取费表'!B36</f>
        <v>1.4999999999999999E-2</v>
      </c>
      <c r="G18" s="3259"/>
      <c r="H18" s="1575" t="s">
        <v>1874</v>
      </c>
      <c r="I18" s="773" t="s">
        <v>1745</v>
      </c>
      <c r="J18" s="53">
        <f ca="1">ROUND(J6*M18/(1+'数据-取费表'!C42),1)</f>
        <v>0</v>
      </c>
      <c r="K18" s="2336" t="s">
        <v>1746</v>
      </c>
      <c r="L18" s="773" t="s">
        <v>1737</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3" t="s">
        <v>655</v>
      </c>
      <c r="C19" s="53">
        <f ca="1">SUM(C14:C18)</f>
        <v>17081</v>
      </c>
      <c r="D19" s="258" t="s">
        <v>1747</v>
      </c>
      <c r="E19" s="1895"/>
      <c r="F19" s="56"/>
      <c r="G19" s="1944"/>
      <c r="H19" s="1575" t="s">
        <v>1875</v>
      </c>
      <c r="I19" s="773" t="s">
        <v>1748</v>
      </c>
      <c r="J19" s="53">
        <f ca="1">IF(K19="按租金收入计税",ROUND(J6*M19/(1+'数据-取费表'!C42),1),ROUND(C29*F33*0.7,1))</f>
        <v>1818.1</v>
      </c>
      <c r="K19" s="799" t="s">
        <v>658</v>
      </c>
      <c r="L19" s="773" t="s">
        <v>1737</v>
      </c>
      <c r="M19" s="798">
        <f>IF(K19="按租金收入计税",'数据-取费表'!B51,'数据-取费表'!B50)</f>
        <v>1.2E-2</v>
      </c>
    </row>
    <row r="20" spans="1:33" s="1946" customFormat="1" ht="18" customHeight="1">
      <c r="A20" s="1576" t="s">
        <v>1879</v>
      </c>
      <c r="B20" s="773" t="s">
        <v>659</v>
      </c>
      <c r="C20" s="53">
        <f ca="1">ROUND(C19*F20,0)</f>
        <v>342</v>
      </c>
      <c r="D20" s="800" t="s">
        <v>1749</v>
      </c>
      <c r="E20" s="773" t="s">
        <v>1737</v>
      </c>
      <c r="F20" s="798">
        <f>'数据-取费表'!B37</f>
        <v>0.02</v>
      </c>
      <c r="G20" s="3259"/>
      <c r="H20" s="1578" t="s">
        <v>1870</v>
      </c>
      <c r="I20" s="338" t="s">
        <v>1750</v>
      </c>
      <c r="J20" s="54">
        <f ca="1">ROUND(M20*M21/10000,0)</f>
        <v>2</v>
      </c>
      <c r="K20" s="802" t="s">
        <v>1751</v>
      </c>
      <c r="L20" s="773" t="s">
        <v>1752</v>
      </c>
      <c r="M20" s="631">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1753</v>
      </c>
      <c r="C21" s="53" t="s">
        <v>1754</v>
      </c>
      <c r="D21" s="800" t="s">
        <v>2285</v>
      </c>
      <c r="E21" s="773" t="s">
        <v>1755</v>
      </c>
      <c r="F21" s="798">
        <f>'数据-取费表'!B38</f>
        <v>0.02</v>
      </c>
      <c r="G21" s="3259"/>
      <c r="H21" s="2358"/>
      <c r="I21" s="782"/>
      <c r="J21" s="69"/>
      <c r="K21" s="804"/>
      <c r="L21" s="773" t="s">
        <v>1756</v>
      </c>
      <c r="M21" s="774">
        <f ca="1">INDIRECT("'数据-取费表'!r"&amp;$G$1)</f>
        <v>16344.23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1757</v>
      </c>
      <c r="C22" s="53"/>
      <c r="D22" s="2423" t="str">
        <f>IF(F23&lt;=1,"单利计息。","复利计息。")&amp;"建造成本、管理费用、销售费用产生的利息。"</f>
        <v>复利计息。建造成本、管理费用、销售费用产生的利息。</v>
      </c>
      <c r="E22" s="1895"/>
      <c r="F22" s="56"/>
      <c r="G22" s="1944"/>
      <c r="H22" s="1576" t="s">
        <v>1879</v>
      </c>
      <c r="I22" s="773" t="s">
        <v>1758</v>
      </c>
      <c r="J22" s="53">
        <f ca="1">ROUND(J14*M22,0)</f>
        <v>216</v>
      </c>
      <c r="K22" s="2336" t="s">
        <v>1759</v>
      </c>
      <c r="L22" s="773" t="s">
        <v>1737</v>
      </c>
      <c r="M22" s="805">
        <f ca="1">INDIRECT("'数据-取费表'!Ak"&amp;$G$1)</f>
        <v>0.01</v>
      </c>
    </row>
    <row r="23" spans="1:33" s="1946" customFormat="1" ht="18" customHeight="1">
      <c r="A23" s="1575" t="s">
        <v>1821</v>
      </c>
      <c r="B23" s="773" t="s">
        <v>2516</v>
      </c>
      <c r="C23" s="53">
        <f ca="1">ROUND(IF('数据-取费表'!B22&lt;=1,(C19+C20)*F24*F23/2,(C19+C20)*(POWER((1+F24),F23/2)-1)),0)</f>
        <v>828</v>
      </c>
      <c r="D23" s="2422" t="str">
        <f>IF(F23&lt;=1,"(建造成本+管理费用)×利率×(建设周期÷2)","(建造成本+管理费用)×((1+利率)^(建设周期÷2)-1)")</f>
        <v>(建造成本+管理费用)×((1+利率)^(建设周期÷2)-1)</v>
      </c>
      <c r="E23" s="773" t="s">
        <v>1760</v>
      </c>
      <c r="F23" s="631">
        <f>'数据-取费表'!B20</f>
        <v>2</v>
      </c>
      <c r="G23" s="3259"/>
      <c r="H23" s="1576" t="s">
        <v>1880</v>
      </c>
      <c r="I23" s="773" t="s">
        <v>672</v>
      </c>
      <c r="J23" s="53">
        <f ca="1">ROUND(J13*M23,0)</f>
        <v>0</v>
      </c>
      <c r="K23" s="2336" t="s">
        <v>1761</v>
      </c>
      <c r="L23" s="773" t="s">
        <v>1737</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1762</v>
      </c>
      <c r="C24" s="53">
        <f ca="1">ROUND(IF('数据-取费表'!B22&lt;=1,F21*F24*F23/2,F21*(POWER((1+F24),F23/2)-1)),4)</f>
        <v>1E-3</v>
      </c>
      <c r="D24" s="2422" t="str">
        <f>IF(F23&lt;=1,"销售费用×利率×(建设周期÷2)","销售费用×((1+利率)^(建设周期÷2)-1)")</f>
        <v>销售费用×((1+利率)^(建设周期÷2)-1)</v>
      </c>
      <c r="E24" s="773" t="s">
        <v>1763</v>
      </c>
      <c r="F24" s="807">
        <f ca="1">'数据-取费表'!B40</f>
        <v>4.7500000000000001E-2</v>
      </c>
      <c r="G24" s="3259"/>
      <c r="H24" s="2403" t="s">
        <v>1881</v>
      </c>
      <c r="I24" s="2398" t="s">
        <v>659</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677</v>
      </c>
      <c r="C25" s="53"/>
      <c r="D25" s="258" t="s">
        <v>1765</v>
      </c>
      <c r="E25" s="1895"/>
      <c r="F25" s="56"/>
      <c r="G25" s="1944"/>
      <c r="H25" s="1743" t="s">
        <v>1766</v>
      </c>
      <c r="I25" s="2721" t="s">
        <v>2800</v>
      </c>
      <c r="J25" s="781">
        <f ca="1">J5-J16</f>
        <v>-2036</v>
      </c>
      <c r="K25" s="2400" t="s">
        <v>1767</v>
      </c>
      <c r="L25" s="2401"/>
      <c r="M25" s="2402"/>
    </row>
    <row r="26" spans="1:33" ht="18" customHeight="1">
      <c r="A26" s="1575" t="s">
        <v>1821</v>
      </c>
      <c r="B26" s="773" t="s">
        <v>2421</v>
      </c>
      <c r="C26" s="53">
        <f ca="1">ROUND((C19+C20)*F26,0)</f>
        <v>1742</v>
      </c>
      <c r="D26" s="800" t="s">
        <v>1768</v>
      </c>
      <c r="E26" s="784" t="s">
        <v>1769</v>
      </c>
      <c r="F26" s="783">
        <f ca="1">INDIRECT("'数据-取费表'!q"&amp;$G$1)</f>
        <v>0.1</v>
      </c>
      <c r="G26" s="1944"/>
      <c r="H26" s="2354" t="s">
        <v>1770</v>
      </c>
      <c r="I26" s="2111" t="s">
        <v>2805</v>
      </c>
      <c r="J26" s="772">
        <f ca="1">IF(J5&lt;&gt;0,ROUND(J25*(1-((1+M28)/(1+M26))^M27)/(M26-M28),0),0)</f>
        <v>0</v>
      </c>
      <c r="K26" s="802" t="s">
        <v>1771</v>
      </c>
      <c r="L26" s="773" t="s">
        <v>2403</v>
      </c>
      <c r="M26" s="783">
        <f ca="1">INDIRECT("'数据-取费表'!I"&amp;$G$1)</f>
        <v>5.5E-2</v>
      </c>
    </row>
    <row r="27" spans="1:33" ht="18" customHeight="1">
      <c r="A27" s="1575" t="s">
        <v>1822</v>
      </c>
      <c r="B27" s="773" t="s">
        <v>679</v>
      </c>
      <c r="C27" s="53">
        <f ca="1">ROUND(F21*F26,4)</f>
        <v>2E-3</v>
      </c>
      <c r="D27" s="800" t="s">
        <v>1772</v>
      </c>
      <c r="E27" s="795"/>
      <c r="F27" s="796"/>
      <c r="G27" s="1944"/>
      <c r="H27" s="2355"/>
      <c r="I27" s="776"/>
      <c r="J27" s="777"/>
      <c r="K27" s="809" t="s">
        <v>1773</v>
      </c>
      <c r="L27" s="773" t="s">
        <v>1774</v>
      </c>
      <c r="M27" s="810">
        <f ca="1">INDIRECT("'数据-取费表'!ag"&amp;$G$1)</f>
        <v>0</v>
      </c>
    </row>
    <row r="28" spans="1:33" s="1946" customFormat="1" ht="18" customHeight="1">
      <c r="A28" s="1577" t="s">
        <v>1831</v>
      </c>
      <c r="B28" s="773" t="s">
        <v>680</v>
      </c>
      <c r="C28" s="53">
        <f>ROUND(F28/(1+'数据-取费表'!C42),4)</f>
        <v>5.33E-2</v>
      </c>
      <c r="D28" s="800" t="s">
        <v>2286</v>
      </c>
      <c r="E28" s="773" t="s">
        <v>1775</v>
      </c>
      <c r="F28" s="798">
        <f>'数据-取费表'!B41</f>
        <v>5.6000000000000001E-2</v>
      </c>
      <c r="G28" s="3259"/>
      <c r="H28" s="1743"/>
      <c r="I28" s="780"/>
      <c r="J28" s="781"/>
      <c r="K28" s="804"/>
      <c r="L28" s="773" t="s">
        <v>1776</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21644</v>
      </c>
      <c r="D29" s="2397"/>
      <c r="E29" s="2398"/>
      <c r="F29" s="2399"/>
      <c r="G29" s="3259"/>
      <c r="H29" s="811" t="s">
        <v>1777</v>
      </c>
      <c r="I29" s="812" t="s">
        <v>1778</v>
      </c>
      <c r="J29" s="813">
        <f ca="1">ROUND(J26/(1+F40)^F41,0)</f>
        <v>0</v>
      </c>
      <c r="K29" s="814" t="s">
        <v>1779</v>
      </c>
      <c r="L29" s="815"/>
      <c r="M29" s="816">
        <f ca="1">INDIRECT("'数据-取费表'!k"&amp;$G$1)</f>
        <v>26400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1">
        <f ca="1">ROUND(C31+C36+C37+C38,0)</f>
        <v>761</v>
      </c>
      <c r="D30" s="1735" t="s">
        <v>1781</v>
      </c>
      <c r="E30" s="2338"/>
      <c r="F30" s="2343"/>
      <c r="G30" s="1944"/>
      <c r="H30" s="1947"/>
      <c r="I30" s="1948"/>
      <c r="J30" s="1949"/>
      <c r="K30" s="1950"/>
      <c r="L30" s="1951"/>
      <c r="M30" s="1952"/>
    </row>
    <row r="31" spans="1:33" ht="18" customHeight="1">
      <c r="A31" s="1576" t="s">
        <v>1820</v>
      </c>
      <c r="B31" s="773" t="s">
        <v>649</v>
      </c>
      <c r="C31" s="3017">
        <f ca="1">ROUND(IF(AND(项目基本情况!B11="自然人",项目基本情况!B10="北京市"),C6*F31/(1+'数据-取费表'!C42),C32+C33+C34),0)</f>
        <v>478</v>
      </c>
      <c r="D31" s="1892" t="s">
        <v>1782</v>
      </c>
      <c r="E31" s="1890" t="s">
        <v>1783</v>
      </c>
      <c r="F31" s="3016" t="str">
        <f>IF(项目基本情况!B11="企业","——",IF('数据-取费表'!B10="住宅",IF(F6*F7*F8/12/(1+'数据-取费表'!F30)&gt;100000,4%,2.5%),IF(F6*F7*F8/12/(1+'数据-取费表'!F30)&gt;100000,12%,7%)))</f>
        <v>——</v>
      </c>
      <c r="G31" s="1944"/>
      <c r="H31" s="3256" t="s">
        <v>2996</v>
      </c>
      <c r="I31" s="1948"/>
      <c r="J31" s="1949"/>
      <c r="K31" s="1950"/>
      <c r="L31" s="1951"/>
      <c r="M31" s="1952"/>
    </row>
    <row r="32" spans="1:33" ht="18" customHeight="1">
      <c r="A32" s="1575" t="s">
        <v>1821</v>
      </c>
      <c r="B32" s="773" t="s">
        <v>1784</v>
      </c>
      <c r="C32" s="53">
        <f ca="1">ROUND(C6*F32/(1+'数据-取费表'!C42),1)</f>
        <v>151.4</v>
      </c>
      <c r="D32" s="1890" t="s">
        <v>1785</v>
      </c>
      <c r="E32" s="773" t="s">
        <v>1786</v>
      </c>
      <c r="F32" s="798">
        <f>'数据-取费表'!B41</f>
        <v>5.6000000000000001E-2</v>
      </c>
      <c r="G32" s="1944"/>
      <c r="H32" s="1953"/>
      <c r="I32" s="1954"/>
      <c r="J32" s="1955"/>
      <c r="K32" s="1956"/>
      <c r="L32" s="1957"/>
      <c r="M32" s="1958"/>
    </row>
    <row r="33" spans="1:18" ht="18" customHeight="1">
      <c r="A33" s="1575" t="s">
        <v>1822</v>
      </c>
      <c r="B33" s="773" t="s">
        <v>1787</v>
      </c>
      <c r="C33" s="53">
        <f ca="1">IF(D33="按租金收入计税",ROUND(C6*F33/(1+'数据-取费表'!C42),1),IF(D33="按房产原值计税",ROUND(C29*F33*0.7,1),INDIRECT("'数据-取费表'!Aj"&amp;$G$1)))</f>
        <v>324.3</v>
      </c>
      <c r="D33" s="799" t="s">
        <v>3256</v>
      </c>
      <c r="E33" s="773" t="s">
        <v>1786</v>
      </c>
      <c r="F33" s="798">
        <f>IF(D33="按租金收入计税",'数据-取费表'!B51,'数据-取费表'!B50)</f>
        <v>0.12</v>
      </c>
      <c r="G33" s="1944"/>
      <c r="H33" s="1959"/>
      <c r="I33" s="1959"/>
      <c r="J33" s="1959"/>
      <c r="K33" s="1960"/>
      <c r="L33" s="1959"/>
      <c r="M33" s="1959"/>
    </row>
    <row r="34" spans="1:18" ht="18" customHeight="1">
      <c r="A34" s="1578" t="s">
        <v>1823</v>
      </c>
      <c r="B34" s="338" t="s">
        <v>1788</v>
      </c>
      <c r="C34" s="54">
        <f ca="1">ROUND(F34*F35/10000,1)</f>
        <v>2.5</v>
      </c>
      <c r="D34" s="802" t="s">
        <v>1789</v>
      </c>
      <c r="E34" s="773" t="s">
        <v>1790</v>
      </c>
      <c r="F34" s="631">
        <f>'数据-取费表'!B52</f>
        <v>1.5</v>
      </c>
      <c r="G34" s="1944"/>
      <c r="H34" s="1947"/>
      <c r="I34" s="823" t="s">
        <v>1803</v>
      </c>
      <c r="J34" s="824"/>
      <c r="K34" s="1962"/>
      <c r="L34" s="1961"/>
      <c r="M34" s="1961"/>
    </row>
    <row r="35" spans="1:18" ht="18" customHeight="1">
      <c r="A35" s="803"/>
      <c r="B35" s="782"/>
      <c r="C35" s="69"/>
      <c r="D35" s="804"/>
      <c r="E35" s="773" t="s">
        <v>1791</v>
      </c>
      <c r="F35" s="774">
        <f ca="1">INDIRECT("'数据-取费表'!r"&amp;$G$1)</f>
        <v>16344.23</v>
      </c>
      <c r="G35" s="1944"/>
      <c r="H35" s="1947"/>
      <c r="I35" s="825" t="s">
        <v>1804</v>
      </c>
      <c r="J35" s="826">
        <f ca="1">ROUND(C13*J36,0)</f>
        <v>1732</v>
      </c>
      <c r="K35" s="1960"/>
      <c r="L35" s="1959"/>
      <c r="M35" s="1959"/>
    </row>
    <row r="36" spans="1:18" ht="18" customHeight="1">
      <c r="A36" s="1576" t="s">
        <v>1879</v>
      </c>
      <c r="B36" s="773" t="s">
        <v>1792</v>
      </c>
      <c r="C36" s="53">
        <f ca="1">ROUND(C29*F36,1)</f>
        <v>216.4</v>
      </c>
      <c r="D36" s="1890" t="s">
        <v>1793</v>
      </c>
      <c r="E36" s="773" t="s">
        <v>1786</v>
      </c>
      <c r="F36" s="805">
        <f ca="1">INDIRECT("'数据-取费表'!Ak"&amp;$G$1)</f>
        <v>0.01</v>
      </c>
      <c r="G36" s="1944"/>
      <c r="H36" s="1959"/>
      <c r="I36" s="827" t="s">
        <v>1805</v>
      </c>
      <c r="J36" s="828">
        <f ca="1">INDIRECT("'数据-取费表'!j"&amp;$G$1)</f>
        <v>0.08</v>
      </c>
      <c r="K36" s="1963"/>
      <c r="L36" s="1959"/>
      <c r="M36" s="1959"/>
    </row>
    <row r="37" spans="1:18" ht="18" customHeight="1">
      <c r="A37" s="1576" t="s">
        <v>1880</v>
      </c>
      <c r="B37" s="773" t="s">
        <v>672</v>
      </c>
      <c r="C37" s="53">
        <f ca="1">ROUND(C13*F37,1)</f>
        <v>32.5</v>
      </c>
      <c r="D37" s="1890" t="s">
        <v>1794</v>
      </c>
      <c r="E37" s="773" t="s">
        <v>1786</v>
      </c>
      <c r="F37" s="806">
        <f ca="1">INDIRECT("'数据-取费表'!Al"&amp;$G$1)</f>
        <v>1.5E-3</v>
      </c>
      <c r="G37" s="1944"/>
      <c r="H37" s="1959"/>
      <c r="I37" s="829" t="s">
        <v>1806</v>
      </c>
      <c r="J37" s="830"/>
      <c r="K37" s="1963"/>
      <c r="L37" s="1959"/>
      <c r="M37" s="1959"/>
    </row>
    <row r="38" spans="1:18" ht="18" customHeight="1" thickBot="1">
      <c r="A38" s="2403" t="s">
        <v>1881</v>
      </c>
      <c r="B38" s="2398" t="s">
        <v>659</v>
      </c>
      <c r="C38" s="2396">
        <f ca="1">ROUND(C5*F38,1)</f>
        <v>33.799999999999997</v>
      </c>
      <c r="D38" s="2397" t="s">
        <v>1795</v>
      </c>
      <c r="E38" s="2398" t="s">
        <v>1786</v>
      </c>
      <c r="F38" s="2394">
        <f ca="1">INDIRECT("'数据-取费表'!Am"&amp;$G$1)</f>
        <v>0.01</v>
      </c>
      <c r="G38" s="1944"/>
      <c r="H38" s="1959"/>
      <c r="I38" s="831" t="s">
        <v>1807</v>
      </c>
      <c r="J38" s="832"/>
      <c r="K38" s="1964"/>
      <c r="L38" s="1959"/>
      <c r="M38" s="1959"/>
    </row>
    <row r="39" spans="1:18" ht="24.6" customHeight="1" thickTop="1">
      <c r="A39" s="1743" t="s">
        <v>1884</v>
      </c>
      <c r="B39" s="2721" t="s">
        <v>2800</v>
      </c>
      <c r="C39" s="781">
        <f ca="1">C5-C30</f>
        <v>2623</v>
      </c>
      <c r="D39" s="2400" t="s">
        <v>1796</v>
      </c>
      <c r="E39" s="2401"/>
      <c r="F39" s="2402"/>
      <c r="G39" s="1944"/>
      <c r="H39" s="1959"/>
      <c r="I39" s="825" t="s">
        <v>1808</v>
      </c>
      <c r="J39" s="833">
        <f ca="1">ROUND(J35/C39,3)</f>
        <v>0.66</v>
      </c>
      <c r="K39" s="1964"/>
      <c r="L39" s="1959"/>
      <c r="M39" s="1959"/>
    </row>
    <row r="40" spans="1:18" ht="18" customHeight="1">
      <c r="A40" s="770" t="s">
        <v>1885</v>
      </c>
      <c r="B40" s="2111" t="s">
        <v>2288</v>
      </c>
      <c r="C40" s="772">
        <f ca="1">ROUND(C39*(1-((1+F42)/(1+F40))^F41)/(F40-F42),0)</f>
        <v>47332</v>
      </c>
      <c r="D40" s="802" t="s">
        <v>1797</v>
      </c>
      <c r="E40" s="773" t="s">
        <v>2403</v>
      </c>
      <c r="F40" s="783">
        <f ca="1">INDIRECT("'数据-取费表'!I"&amp;$G$1)</f>
        <v>5.5E-2</v>
      </c>
      <c r="G40" s="1944"/>
      <c r="H40" s="1944"/>
      <c r="I40" s="825" t="s">
        <v>1809</v>
      </c>
      <c r="J40" s="833">
        <f ca="1">1-J39</f>
        <v>0.33999999999999997</v>
      </c>
      <c r="K40" s="1964"/>
      <c r="L40" s="1944"/>
      <c r="M40" s="1944"/>
    </row>
    <row r="41" spans="1:18" ht="18" customHeight="1">
      <c r="A41" s="775"/>
      <c r="B41" s="776"/>
      <c r="C41" s="777"/>
      <c r="D41" s="809" t="s">
        <v>1798</v>
      </c>
      <c r="E41" s="773" t="s">
        <v>2928</v>
      </c>
      <c r="F41" s="810">
        <f ca="1">IF(INDIRECT("'数据-取费表'!af"&amp;$G$1)=0,INDIRECT("'数据-取费表'!ae"&amp;$G$1),INDIRECT("'数据-取费表'!af"&amp;$G$1))</f>
        <v>33.1</v>
      </c>
      <c r="G41" s="1944"/>
      <c r="H41" s="1899"/>
      <c r="I41" s="831" t="s">
        <v>1810</v>
      </c>
      <c r="J41" s="834"/>
      <c r="K41" s="1963"/>
      <c r="L41" s="1899"/>
      <c r="M41" s="1899"/>
    </row>
    <row r="42" spans="1:18" ht="18" customHeight="1">
      <c r="A42" s="779"/>
      <c r="B42" s="780"/>
      <c r="C42" s="781"/>
      <c r="D42" s="804"/>
      <c r="E42" s="773" t="s">
        <v>1799</v>
      </c>
      <c r="F42" s="783">
        <f ca="1">INDIRECT("'数据-取费表'!v"&amp;$G$1)</f>
        <v>1.4999999999999999E-2</v>
      </c>
      <c r="G42" s="1944"/>
      <c r="H42" s="1899"/>
      <c r="I42" s="835" t="s">
        <v>1811</v>
      </c>
      <c r="J42" s="833">
        <f ca="1">ROUND(C13/C40,3)</f>
        <v>0.45700000000000002</v>
      </c>
      <c r="K42" s="1963"/>
      <c r="L42" s="1899"/>
      <c r="M42" s="1899"/>
    </row>
    <row r="43" spans="1:18" ht="18" customHeight="1" thickBot="1">
      <c r="A43" s="811" t="s">
        <v>1777</v>
      </c>
      <c r="B43" s="812" t="s">
        <v>1800</v>
      </c>
      <c r="C43" s="813">
        <f ca="1">ROUND(C40*10000/F43,0)</f>
        <v>17929</v>
      </c>
      <c r="D43" s="814" t="s">
        <v>1801</v>
      </c>
      <c r="E43" s="815" t="s">
        <v>1802</v>
      </c>
      <c r="F43" s="816">
        <f ca="1">INDIRECT("'数据-取费表'!k"&amp;$G$1)</f>
        <v>26400</v>
      </c>
      <c r="G43" s="1944"/>
      <c r="H43" s="1899"/>
      <c r="I43" s="835" t="s">
        <v>1812</v>
      </c>
      <c r="J43" s="836">
        <f ca="1">1-J42</f>
        <v>0.54299999999999993</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-51135</v>
      </c>
      <c r="D46" s="3260"/>
      <c r="E46" s="3260"/>
      <c r="F46" s="3260"/>
      <c r="I46" s="2232" t="s">
        <v>2327</v>
      </c>
      <c r="J46" s="2233"/>
      <c r="K46" s="2234"/>
      <c r="L46" s="2809">
        <f>IF(OR(M47="住宅",D1="土地（套用方法）"),0,IF(L48&gt;J51,L60,J60))</f>
        <v>0</v>
      </c>
      <c r="M46" s="3261"/>
      <c r="O46" s="2248" t="s">
        <v>2394</v>
      </c>
      <c r="P46" s="1525"/>
      <c r="Q46" s="1533"/>
      <c r="R46" s="1525"/>
    </row>
    <row r="47" spans="1:18" s="1941" customFormat="1" ht="18" customHeight="1" thickBot="1">
      <c r="A47" s="2226">
        <v>1</v>
      </c>
      <c r="B47" s="2227" t="s">
        <v>628</v>
      </c>
      <c r="C47" s="2425">
        <f ca="1">C48+C52+C54</f>
        <v>0</v>
      </c>
      <c r="D47" s="3260"/>
      <c r="E47" s="3260"/>
      <c r="F47" s="3260"/>
      <c r="I47" s="2800" t="s">
        <v>2328</v>
      </c>
      <c r="J47" s="2235" t="s">
        <v>3017</v>
      </c>
      <c r="K47" s="2806" t="s">
        <v>2333</v>
      </c>
      <c r="L47" s="2810">
        <f ca="1">INDIRECT("'数据-取费表'!d"&amp;$G$1)</f>
        <v>50</v>
      </c>
      <c r="M47" s="1533"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629</v>
      </c>
      <c r="E48" s="2230" t="s">
        <v>2283</v>
      </c>
      <c r="F48" s="2231"/>
      <c r="G48" s="1971"/>
      <c r="I48" s="2797" t="s">
        <v>2329</v>
      </c>
      <c r="J48" s="2236" t="s">
        <v>2334</v>
      </c>
      <c r="K48" s="2807" t="s">
        <v>2335</v>
      </c>
      <c r="L48" s="1821">
        <f ca="1">INDIRECT("'数据-取费表'!f"&amp;$G$1)</f>
        <v>35.1</v>
      </c>
      <c r="M48" s="3261"/>
      <c r="O48" s="2252" t="s">
        <v>2363</v>
      </c>
      <c r="P48" s="2253" t="s">
        <v>2389</v>
      </c>
      <c r="Q48" s="2254">
        <f ca="1">C40+J29</f>
        <v>47332</v>
      </c>
      <c r="R48" s="2253" t="s">
        <v>2364</v>
      </c>
    </row>
    <row r="49" spans="1:18" s="1941" customFormat="1" ht="18" customHeight="1" thickBot="1">
      <c r="A49" s="775"/>
      <c r="B49" s="776"/>
      <c r="C49" s="777"/>
      <c r="D49" s="778"/>
      <c r="E49" s="773" t="s">
        <v>1729</v>
      </c>
      <c r="F49" s="774">
        <f ca="1">F7</f>
        <v>1</v>
      </c>
      <c r="G49" s="1971"/>
      <c r="H49" s="1974"/>
      <c r="I49" s="2797" t="s">
        <v>2330</v>
      </c>
      <c r="J49" s="2237">
        <v>2022</v>
      </c>
      <c r="K49" s="2808" t="s">
        <v>2336</v>
      </c>
      <c r="L49" s="2238"/>
      <c r="M49" s="3261"/>
      <c r="O49" s="2252" t="s">
        <v>2365</v>
      </c>
      <c r="P49" s="2253" t="s">
        <v>2390</v>
      </c>
      <c r="Q49" s="2254" t="str">
        <f ca="1">J60</f>
        <v>0</v>
      </c>
      <c r="R49" s="2253" t="s">
        <v>2366</v>
      </c>
    </row>
    <row r="50" spans="1:18" s="1941" customFormat="1" ht="18" customHeight="1" thickBot="1">
      <c r="A50" s="775"/>
      <c r="B50" s="776"/>
      <c r="C50" s="777"/>
      <c r="D50" s="778"/>
      <c r="E50" s="773" t="s">
        <v>1730</v>
      </c>
      <c r="F50" s="774">
        <f ca="1">F8</f>
        <v>1</v>
      </c>
      <c r="G50" s="1976"/>
      <c r="H50" s="1974"/>
      <c r="I50" s="2797" t="s">
        <v>2331</v>
      </c>
      <c r="J50" s="2804">
        <f>SUMPRODUCT((I63:I65=J47)*(J62:L62=J48)*(J63:L65))</f>
        <v>60</v>
      </c>
      <c r="K50" s="2808" t="s">
        <v>2337</v>
      </c>
      <c r="L50" s="2238"/>
      <c r="M50" s="3261"/>
      <c r="O50" s="2255" t="s">
        <v>2367</v>
      </c>
      <c r="P50" s="2253" t="s">
        <v>2391</v>
      </c>
      <c r="Q50" s="2254">
        <f ca="1">C29</f>
        <v>21644</v>
      </c>
      <c r="R50" s="2253" t="s">
        <v>2364</v>
      </c>
    </row>
    <row r="51" spans="1:18" s="1941" customFormat="1" ht="18" customHeight="1" thickBot="1">
      <c r="A51" s="775"/>
      <c r="B51" s="776"/>
      <c r="C51" s="777"/>
      <c r="D51" s="778"/>
      <c r="E51" s="773" t="s">
        <v>633</v>
      </c>
      <c r="F51" s="2225"/>
      <c r="H51" s="1974"/>
      <c r="I51" s="2801" t="s">
        <v>2332</v>
      </c>
      <c r="J51" s="2805">
        <f>IF(J49="",J50,J49+J50-YEAR('数据-取费表'!B2))</f>
        <v>61</v>
      </c>
      <c r="K51" s="2797" t="s">
        <v>2338</v>
      </c>
      <c r="L51" s="2811">
        <f ca="1">ROUND(-PV(INDIRECT("'数据-取费表'!h"&amp;$G$1),J51,(C39-C13*J36),0),0)</f>
        <v>16921</v>
      </c>
      <c r="M51" s="3261"/>
      <c r="O51" s="2255" t="s">
        <v>2368</v>
      </c>
      <c r="P51" s="2253" t="s">
        <v>2369</v>
      </c>
      <c r="Q51" s="2256" t="e">
        <f ca="1">J58</f>
        <v>#VALUE!</v>
      </c>
      <c r="R51" s="2257"/>
    </row>
    <row r="52" spans="1:18" s="1941" customFormat="1" ht="18" customHeight="1" thickBot="1">
      <c r="A52" s="770" t="s">
        <v>2517</v>
      </c>
      <c r="B52" s="2346" t="s">
        <v>2440</v>
      </c>
      <c r="C52" s="788">
        <f ca="1">ROUND(IF(F52="押一",C48/12*F11,IF(F52="押二",C48/12*2*F11,IF(F52="押三",C48/12*3*F11,C53*F11))),0)</f>
        <v>0</v>
      </c>
      <c r="D52" s="2353" t="s">
        <v>2938</v>
      </c>
      <c r="E52" s="2350" t="s">
        <v>2445</v>
      </c>
      <c r="F52" s="2464"/>
      <c r="I52" s="2802" t="s">
        <v>2405</v>
      </c>
      <c r="J52" s="2239">
        <v>8.5000000000000006E-2</v>
      </c>
      <c r="K52" s="2802" t="s">
        <v>2404</v>
      </c>
      <c r="L52" s="2239"/>
      <c r="M52" s="3261"/>
      <c r="O52" s="2255" t="s">
        <v>2370</v>
      </c>
      <c r="P52" s="2253" t="s">
        <v>2371</v>
      </c>
      <c r="Q52" s="2256">
        <f>J52</f>
        <v>8.5000000000000006E-2</v>
      </c>
      <c r="R52" s="2257"/>
    </row>
    <row r="53" spans="1:18" s="1941" customFormat="1" ht="39.75" customHeight="1" thickBot="1">
      <c r="A53" s="775"/>
      <c r="B53" s="2347" t="s">
        <v>2554</v>
      </c>
      <c r="C53" s="2351"/>
      <c r="D53" s="2353"/>
      <c r="E53" s="2350"/>
      <c r="F53" s="789"/>
      <c r="I53" s="2803" t="s">
        <v>2941</v>
      </c>
      <c r="J53" s="2856">
        <f ca="1">IF(M47="住宅",IF(D1="——",MAX(J51,L48),MAX(J51,L48-'数据-取费表'!B20)),IF(D1="——",MIN(J51,L48),MIN(J51,L48-'数据-取费表'!B20)))</f>
        <v>33.1</v>
      </c>
      <c r="K53" s="3597" t="s">
        <v>2930</v>
      </c>
      <c r="L53" s="3598"/>
      <c r="M53" s="3261"/>
      <c r="O53" s="2255" t="s">
        <v>2372</v>
      </c>
      <c r="P53" s="2253" t="s">
        <v>2373</v>
      </c>
      <c r="Q53" s="2254">
        <f ca="1">J53</f>
        <v>33.1</v>
      </c>
      <c r="R53" s="2253" t="s">
        <v>2374</v>
      </c>
    </row>
    <row r="54" spans="1:18" s="1941" customFormat="1" ht="18" customHeight="1" thickBot="1">
      <c r="A54" s="2389" t="s">
        <v>2448</v>
      </c>
      <c r="B54" s="2390" t="s">
        <v>2441</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1"/>
      <c r="O54" s="2252" t="s">
        <v>2375</v>
      </c>
      <c r="P54" s="2253" t="s">
        <v>2392</v>
      </c>
      <c r="Q54" s="2254">
        <f ca="1">Q48+Q49</f>
        <v>47332</v>
      </c>
      <c r="R54" s="2257" t="s">
        <v>2376</v>
      </c>
    </row>
    <row r="55" spans="1:18" s="1941" customFormat="1" ht="18" customHeight="1" thickTop="1" thickBot="1">
      <c r="A55" s="786">
        <v>2</v>
      </c>
      <c r="B55" s="787" t="s">
        <v>637</v>
      </c>
      <c r="C55" s="788">
        <f ca="1">C13</f>
        <v>21644</v>
      </c>
      <c r="D55" s="784"/>
      <c r="E55" s="784"/>
      <c r="F55" s="789"/>
      <c r="I55" s="2814" t="s">
        <v>2339</v>
      </c>
      <c r="J55" s="2786" t="e">
        <f ca="1">ROUND(IF(J47="钢混",J57/J50,1-(1-2%)*(J50-J57)/J50),3)</f>
        <v>#VALUE!</v>
      </c>
      <c r="K55" s="2815" t="s">
        <v>2340</v>
      </c>
      <c r="L55" s="2240"/>
      <c r="M55" s="3261"/>
      <c r="O55" s="2258" t="s">
        <v>2395</v>
      </c>
      <c r="P55" s="1525"/>
      <c r="Q55" s="1533"/>
      <c r="R55" s="1525"/>
    </row>
    <row r="56" spans="1:18" s="1941" customFormat="1" ht="42.75" customHeight="1" thickBot="1">
      <c r="A56" s="1577"/>
      <c r="B56" s="2110" t="s">
        <v>2289</v>
      </c>
      <c r="C56" s="53">
        <f ca="1">C29</f>
        <v>21644</v>
      </c>
      <c r="D56" s="2480"/>
      <c r="E56" s="773"/>
      <c r="F56" s="798"/>
      <c r="I56" s="2816" t="s">
        <v>2341</v>
      </c>
      <c r="J56" s="2826" t="s">
        <v>1668</v>
      </c>
      <c r="K56" s="2797" t="s">
        <v>2346</v>
      </c>
      <c r="L56" s="1821" t="str">
        <f ca="1">IF(L48&lt;J51,"——",L48-J51)</f>
        <v>——</v>
      </c>
      <c r="M56" s="3261"/>
      <c r="O56" s="2249" t="s">
        <v>2359</v>
      </c>
      <c r="P56" s="2250" t="s">
        <v>2360</v>
      </c>
      <c r="Q56" s="2251" t="s">
        <v>2361</v>
      </c>
      <c r="R56" s="2250" t="s">
        <v>2362</v>
      </c>
    </row>
    <row r="57" spans="1:18" s="1941" customFormat="1" ht="28.5" customHeight="1" thickBot="1">
      <c r="A57" s="786" t="s">
        <v>1738</v>
      </c>
      <c r="B57" s="787" t="s">
        <v>644</v>
      </c>
      <c r="C57" s="788">
        <f ca="1">ROUND(C58+C63+C64+C65,0)</f>
        <v>252</v>
      </c>
      <c r="D57" s="26" t="s">
        <v>1740</v>
      </c>
      <c r="E57" s="2481"/>
      <c r="F57" s="56"/>
      <c r="I57" s="2817" t="s">
        <v>2342</v>
      </c>
      <c r="J57" s="2818" t="str">
        <f ca="1">IF(OR(M47="住宅",J51&lt;L48,J56="是"),"——",J51-L48)</f>
        <v>——</v>
      </c>
      <c r="K57" s="2797" t="s">
        <v>2347</v>
      </c>
      <c r="L57" s="1821" t="str">
        <f ca="1">IF(L48&lt;J51,"——",IF(L55="比较法",L49,IF(L55="基准地价",L50,L51)))</f>
        <v>——</v>
      </c>
      <c r="M57" s="3261"/>
      <c r="O57" s="2252" t="s">
        <v>2363</v>
      </c>
      <c r="P57" s="2253" t="s">
        <v>2393</v>
      </c>
      <c r="Q57" s="2254">
        <f ca="1">C40+J29</f>
        <v>47332</v>
      </c>
      <c r="R57" s="2253" t="s">
        <v>2364</v>
      </c>
    </row>
    <row r="58" spans="1:18" s="1941" customFormat="1" ht="28.5" customHeight="1" thickBot="1">
      <c r="A58" s="1576" t="s">
        <v>1814</v>
      </c>
      <c r="B58" s="773" t="s">
        <v>649</v>
      </c>
      <c r="C58" s="3017">
        <f ca="1">ROUND(IF(AND(项目基本情况!B11="自然人",项目基本情况!B10="北京市"),C48*F58/(1+'数据-取费表'!C42),C59+C60+C61),0)</f>
        <v>3</v>
      </c>
      <c r="D58" s="2479" t="s">
        <v>650</v>
      </c>
      <c r="E58" s="2480" t="s">
        <v>683</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61"/>
      <c r="O58" s="2252" t="s">
        <v>2365</v>
      </c>
      <c r="P58" s="2253" t="s">
        <v>2396</v>
      </c>
      <c r="Q58" s="2254">
        <f ca="1">L60</f>
        <v>0</v>
      </c>
      <c r="R58" s="2257" t="s">
        <v>2398</v>
      </c>
    </row>
    <row r="59" spans="1:18" s="1941" customFormat="1" ht="28.5" customHeight="1" thickBot="1">
      <c r="A59" s="1575" t="s">
        <v>1821</v>
      </c>
      <c r="B59" s="773" t="s">
        <v>653</v>
      </c>
      <c r="C59" s="53">
        <f ca="1">ROUND(C47*F59/1.05,1)</f>
        <v>0</v>
      </c>
      <c r="D59" s="2480" t="s">
        <v>1746</v>
      </c>
      <c r="E59" s="773" t="s">
        <v>1737</v>
      </c>
      <c r="F59" s="798">
        <f t="shared" ref="F59:F65" si="0">F32</f>
        <v>5.6000000000000001E-2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1"/>
      <c r="O59" s="2255" t="s">
        <v>2367</v>
      </c>
      <c r="P59" s="2253" t="s">
        <v>2397</v>
      </c>
      <c r="Q59" s="2254">
        <f>IF(L55="比较法",L49,IF(L55="基准地价",L50,0))</f>
        <v>0</v>
      </c>
      <c r="R59" s="2253" t="s">
        <v>2364</v>
      </c>
    </row>
    <row r="60" spans="1:18" s="1941" customFormat="1" ht="18" customHeight="1" thickBot="1">
      <c r="A60" s="1575" t="s">
        <v>1822</v>
      </c>
      <c r="B60" s="773" t="s">
        <v>1748</v>
      </c>
      <c r="C60" s="53">
        <f ca="1">IF(D60="按租金收入计税",ROUND(C47*F60,1),IF(D60="按房产原值计税",ROUND(C56*F60*0.7,1),INDIRECT("'数据-取费表'!Aj"&amp;$G$1)))</f>
        <v>0</v>
      </c>
      <c r="D60" s="2480" t="str">
        <f>D33</f>
        <v>按租金收入计税</v>
      </c>
      <c r="E60" s="773" t="s">
        <v>1737</v>
      </c>
      <c r="F60" s="798">
        <f t="shared" si="0"/>
        <v>0.12</v>
      </c>
      <c r="I60" s="2819" t="s">
        <v>2345</v>
      </c>
      <c r="J60" s="2820" t="str">
        <f ca="1">IF(OR(M47="住宅",J51&lt;L48,J56="是"),"0",ROUND(J59/(1+J52)^J53,0))</f>
        <v>0</v>
      </c>
      <c r="K60" s="2821" t="s">
        <v>2350</v>
      </c>
      <c r="L60" s="2820">
        <f ca="1">IF(OR(M47="住宅",L48&lt;J51),0,ROUND(L57*(L58/L59-1),0))</f>
        <v>0</v>
      </c>
      <c r="M60" s="3261"/>
      <c r="O60" s="2255" t="s">
        <v>2368</v>
      </c>
      <c r="P60" s="2253" t="s">
        <v>2377</v>
      </c>
      <c r="Q60" s="2256">
        <f>L52</f>
        <v>0</v>
      </c>
      <c r="R60" s="2257"/>
    </row>
    <row r="61" spans="1:18" s="1941" customFormat="1" ht="18" customHeight="1" thickBot="1">
      <c r="A61" s="1578" t="s">
        <v>1823</v>
      </c>
      <c r="B61" s="338" t="s">
        <v>661</v>
      </c>
      <c r="C61" s="54">
        <f ca="1">ROUND(F61*F62/10000,1)</f>
        <v>2.5</v>
      </c>
      <c r="D61" s="802" t="s">
        <v>662</v>
      </c>
      <c r="E61" s="773" t="s">
        <v>663</v>
      </c>
      <c r="F61" s="631">
        <f t="shared" si="0"/>
        <v>1.5</v>
      </c>
      <c r="K61" s="1967"/>
      <c r="O61" s="2255" t="s">
        <v>2370</v>
      </c>
      <c r="P61" s="2253" t="s">
        <v>2378</v>
      </c>
      <c r="Q61" s="2254" t="e">
        <f ca="1">L58</f>
        <v>#DIV/0!</v>
      </c>
      <c r="R61" s="2257" t="s">
        <v>2379</v>
      </c>
    </row>
    <row r="62" spans="1:18" s="1941" customFormat="1" ht="15.75" thickBot="1">
      <c r="A62" s="803"/>
      <c r="B62" s="782"/>
      <c r="C62" s="69"/>
      <c r="D62" s="804"/>
      <c r="E62" s="773" t="s">
        <v>667</v>
      </c>
      <c r="F62" s="774">
        <f t="shared" ca="1" si="0"/>
        <v>16344.23</v>
      </c>
      <c r="I62" s="2822" t="s">
        <v>2351</v>
      </c>
      <c r="J62" s="2823" t="s">
        <v>2352</v>
      </c>
      <c r="K62" s="2823" t="s">
        <v>2353</v>
      </c>
      <c r="L62" s="2823" t="s">
        <v>2334</v>
      </c>
      <c r="M62" s="2824" t="s">
        <v>2909</v>
      </c>
      <c r="O62" s="2255" t="s">
        <v>2372</v>
      </c>
      <c r="P62" s="2253" t="str">
        <f>K59</f>
        <v>建设期及建筑物耐用年限下的土地年期修正系数Kn</v>
      </c>
      <c r="Q62" s="2254" t="e">
        <f ca="1">L59</f>
        <v>#DIV/0!</v>
      </c>
      <c r="R62" s="2257" t="s">
        <v>2381</v>
      </c>
    </row>
    <row r="63" spans="1:18" s="1941" customFormat="1" ht="15.75" thickBot="1">
      <c r="A63" s="1576" t="s">
        <v>1879</v>
      </c>
      <c r="B63" s="773" t="s">
        <v>669</v>
      </c>
      <c r="C63" s="53">
        <f ca="1">ROUND(C56*F63,1)</f>
        <v>216.4</v>
      </c>
      <c r="D63" s="2480" t="s">
        <v>1793</v>
      </c>
      <c r="E63" s="773" t="s">
        <v>1737</v>
      </c>
      <c r="F63" s="805">
        <f t="shared" ca="1" si="0"/>
        <v>0.01</v>
      </c>
      <c r="I63" s="2822" t="s">
        <v>2354</v>
      </c>
      <c r="J63" s="2823">
        <v>70</v>
      </c>
      <c r="K63" s="2823">
        <v>50</v>
      </c>
      <c r="L63" s="2823">
        <v>80</v>
      </c>
      <c r="M63" s="2825">
        <v>0.02</v>
      </c>
      <c r="O63" s="2252" t="s">
        <v>2375</v>
      </c>
      <c r="P63" s="2253" t="s">
        <v>2392</v>
      </c>
      <c r="Q63" s="2254">
        <f ca="1">Q57+Q58</f>
        <v>47332</v>
      </c>
      <c r="R63" s="2257" t="s">
        <v>2376</v>
      </c>
    </row>
    <row r="64" spans="1:18" s="1941" customFormat="1" ht="16.5" thickBot="1">
      <c r="A64" s="1576" t="s">
        <v>1880</v>
      </c>
      <c r="B64" s="773" t="s">
        <v>672</v>
      </c>
      <c r="C64" s="53">
        <f ca="1">ROUND(C55*F64,1)</f>
        <v>32.5</v>
      </c>
      <c r="D64" s="2480" t="s">
        <v>673</v>
      </c>
      <c r="E64" s="773" t="s">
        <v>1737</v>
      </c>
      <c r="F64" s="806">
        <f t="shared" ca="1" si="0"/>
        <v>1.5E-3</v>
      </c>
      <c r="I64" s="2822" t="s">
        <v>2355</v>
      </c>
      <c r="J64" s="2823">
        <v>50</v>
      </c>
      <c r="K64" s="2823">
        <v>35</v>
      </c>
      <c r="L64" s="2823">
        <v>60</v>
      </c>
      <c r="M64" s="834">
        <v>0</v>
      </c>
      <c r="O64" s="2258" t="s">
        <v>2399</v>
      </c>
      <c r="P64" s="1525"/>
      <c r="Q64" s="1533"/>
      <c r="R64" s="1525"/>
    </row>
    <row r="65" spans="1:18" s="1941" customFormat="1" ht="15.75" thickBot="1">
      <c r="A65" s="1576" t="s">
        <v>1881</v>
      </c>
      <c r="B65" s="773" t="s">
        <v>659</v>
      </c>
      <c r="C65" s="53">
        <f ca="1">ROUND(C47*F65,1)</f>
        <v>0</v>
      </c>
      <c r="D65" s="2480" t="s">
        <v>676</v>
      </c>
      <c r="E65" s="773" t="s">
        <v>1737</v>
      </c>
      <c r="F65" s="783">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6" t="s">
        <v>1766</v>
      </c>
      <c r="B66" s="2722" t="s">
        <v>2800</v>
      </c>
      <c r="C66" s="788">
        <f ca="1">C47-C57</f>
        <v>-252</v>
      </c>
      <c r="D66" s="2479" t="s">
        <v>693</v>
      </c>
      <c r="E66" s="2478"/>
      <c r="F66" s="808"/>
      <c r="K66" s="1967"/>
      <c r="O66" s="2252" t="s">
        <v>2363</v>
      </c>
      <c r="P66" s="2253" t="s">
        <v>2393</v>
      </c>
      <c r="Q66" s="2254">
        <f ca="1">C40+J29</f>
        <v>47332</v>
      </c>
      <c r="R66" s="2253" t="s">
        <v>2364</v>
      </c>
    </row>
    <row r="67" spans="1:18" s="1941" customFormat="1" ht="20.25" thickBot="1">
      <c r="A67" s="770" t="s">
        <v>1770</v>
      </c>
      <c r="B67" s="2111" t="s">
        <v>2288</v>
      </c>
      <c r="C67" s="772">
        <f ca="1">ROUND(C66*(1-((1+F69)/(1+F67))^F68)/(F67-F69),0)</f>
        <v>-3803</v>
      </c>
      <c r="D67" s="802" t="s">
        <v>697</v>
      </c>
      <c r="E67" s="773" t="s">
        <v>698</v>
      </c>
      <c r="F67" s="783">
        <f ca="1">F40</f>
        <v>5.5E-2</v>
      </c>
      <c r="K67" s="1967"/>
      <c r="O67" s="2252" t="s">
        <v>2365</v>
      </c>
      <c r="P67" s="2253" t="s">
        <v>2396</v>
      </c>
      <c r="Q67" s="2254">
        <f ca="1">L60</f>
        <v>0</v>
      </c>
      <c r="R67" s="2257" t="s">
        <v>2398</v>
      </c>
    </row>
    <row r="68" spans="1:18" ht="21.75" thickBot="1">
      <c r="A68" s="775"/>
      <c r="B68" s="776"/>
      <c r="C68" s="777"/>
      <c r="D68" s="809" t="s">
        <v>1798</v>
      </c>
      <c r="E68" s="773" t="s">
        <v>1774</v>
      </c>
      <c r="F68" s="810">
        <f ca="1">F41</f>
        <v>33.1</v>
      </c>
      <c r="O68" s="2255" t="s">
        <v>2367</v>
      </c>
      <c r="P68" s="2253" t="s">
        <v>2397</v>
      </c>
      <c r="Q68" s="2259">
        <f ca="1">L51</f>
        <v>16921</v>
      </c>
      <c r="R68" s="2260" t="s">
        <v>2400</v>
      </c>
    </row>
    <row r="69" spans="1:18" ht="20.25" thickBot="1">
      <c r="A69" s="779"/>
      <c r="B69" s="780"/>
      <c r="C69" s="781"/>
      <c r="D69" s="804"/>
      <c r="E69" s="773" t="s">
        <v>703</v>
      </c>
      <c r="F69" s="2225"/>
      <c r="O69" s="2255" t="s">
        <v>2368</v>
      </c>
      <c r="P69" s="2261" t="s">
        <v>2382</v>
      </c>
      <c r="Q69" s="2254">
        <f ca="1">ROUND(Q70-Q71*Q72,0)</f>
        <v>891</v>
      </c>
      <c r="R69" s="2257"/>
    </row>
    <row r="70" spans="1:18" ht="15.75" thickBot="1">
      <c r="A70" s="811" t="s">
        <v>1777</v>
      </c>
      <c r="B70" s="812" t="s">
        <v>1800</v>
      </c>
      <c r="C70" s="813">
        <f ca="1">ROUND(C67*10000/F70,0)</f>
        <v>-1441</v>
      </c>
      <c r="D70" s="814" t="s">
        <v>1801</v>
      </c>
      <c r="E70" s="815" t="s">
        <v>1802</v>
      </c>
      <c r="F70" s="816">
        <f ca="1">F43</f>
        <v>26400</v>
      </c>
      <c r="O70" s="2255" t="s">
        <v>2383</v>
      </c>
      <c r="P70" s="2261" t="s">
        <v>2384</v>
      </c>
      <c r="Q70" s="2254">
        <f ca="1">C39</f>
        <v>2623</v>
      </c>
      <c r="R70" s="2253" t="s">
        <v>2364</v>
      </c>
    </row>
    <row r="71" spans="1:18" ht="15.75" thickBot="1">
      <c r="O71" s="2255" t="s">
        <v>2385</v>
      </c>
      <c r="P71" s="2261" t="s">
        <v>2386</v>
      </c>
      <c r="Q71" s="2254">
        <f ca="1">C13</f>
        <v>21644</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47332</v>
      </c>
      <c r="R76" s="2257"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7" priority="7">
      <formula>$L$48&gt;$J$51</formula>
    </cfRule>
  </conditionalFormatting>
  <conditionalFormatting sqref="I55">
    <cfRule type="expression" dxfId="126" priority="8">
      <formula>$J$51&gt;$L$48</formula>
    </cfRule>
  </conditionalFormatting>
  <conditionalFormatting sqref="I60">
    <cfRule type="expression" dxfId="125" priority="6">
      <formula>$J$51&gt;$L$48</formula>
    </cfRule>
  </conditionalFormatting>
  <conditionalFormatting sqref="K60">
    <cfRule type="expression" dxfId="124" priority="5">
      <formula>$L$48&gt;$J$51</formula>
    </cfRule>
  </conditionalFormatting>
  <conditionalFormatting sqref="C11">
    <cfRule type="expression" dxfId="123" priority="4">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8"/>
  <sheetViews>
    <sheetView zoomScaleNormal="100" workbookViewId="0">
      <selection activeCell="L16" sqref="L16"/>
    </sheetView>
  </sheetViews>
  <sheetFormatPr defaultRowHeight="13.5"/>
  <cols>
    <col min="1" max="1" width="10.5" style="3278" customWidth="1"/>
    <col min="2" max="2" width="12.875" style="3278" customWidth="1"/>
    <col min="3" max="3" width="8.75" style="3278" customWidth="1"/>
    <col min="4" max="9" width="9" style="3278"/>
    <col min="10" max="10" width="14.25" style="3278" customWidth="1"/>
    <col min="11" max="11" width="10.625" style="3278" customWidth="1"/>
    <col min="12" max="12" width="14.875" style="3278" customWidth="1"/>
    <col min="13" max="13" width="9.25" style="3278" customWidth="1"/>
    <col min="14" max="16384" width="9" style="3278"/>
  </cols>
  <sheetData>
    <row r="1" spans="1:14" ht="14.25">
      <c r="A1" s="3605" t="s">
        <v>3138</v>
      </c>
      <c r="B1" s="3606"/>
      <c r="C1" s="3607"/>
      <c r="D1" s="3608">
        <f>SUM(I10,I15,I20,I21,I23)</f>
        <v>4366</v>
      </c>
      <c r="E1" s="3608"/>
      <c r="F1" s="3608"/>
      <c r="G1" s="3608"/>
      <c r="H1" s="3608"/>
      <c r="I1" s="3609"/>
      <c r="J1" s="3603" t="s">
        <v>3139</v>
      </c>
      <c r="K1" s="3604"/>
      <c r="M1" s="3604" t="s">
        <v>3140</v>
      </c>
      <c r="N1" s="3604"/>
    </row>
    <row r="2" spans="1:14">
      <c r="A2" s="3610" t="s">
        <v>3141</v>
      </c>
      <c r="B2" s="3611" t="s">
        <v>3142</v>
      </c>
      <c r="C2" s="3611"/>
      <c r="D2" s="3287" t="s">
        <v>3143</v>
      </c>
      <c r="E2" s="3287" t="s">
        <v>3144</v>
      </c>
      <c r="F2" s="3287" t="s">
        <v>3145</v>
      </c>
      <c r="G2" s="3287" t="s">
        <v>3146</v>
      </c>
      <c r="H2" s="3287" t="s">
        <v>3147</v>
      </c>
      <c r="I2" s="3288" t="s">
        <v>3148</v>
      </c>
      <c r="J2" s="3289" t="s">
        <v>3234</v>
      </c>
      <c r="K2" s="3278">
        <f>'数据-汇总表'!F19*0.2</f>
        <v>5280</v>
      </c>
      <c r="M2" s="3278">
        <f>'数据-汇总表'!F19*0.05</f>
        <v>1320</v>
      </c>
    </row>
    <row r="3" spans="1:14">
      <c r="A3" s="3610"/>
      <c r="B3" s="3611" t="s">
        <v>3149</v>
      </c>
      <c r="C3" s="3611"/>
      <c r="D3" s="3290"/>
      <c r="E3" s="3287"/>
      <c r="F3" s="3291"/>
      <c r="G3" s="3291"/>
      <c r="H3" s="3292"/>
      <c r="I3" s="3293">
        <f>ROUND(D3*E3*F3*G3*H3/10000,0)</f>
        <v>0</v>
      </c>
      <c r="J3" s="3294" t="s">
        <v>3235</v>
      </c>
      <c r="K3" s="3278">
        <f>'数据-汇总表'!F19-酒店收入计算养老院!K2</f>
        <v>21120</v>
      </c>
      <c r="M3" s="3278">
        <f>'数据-汇总表'!F19-酒店收入计算养老院!M2</f>
        <v>25080</v>
      </c>
    </row>
    <row r="4" spans="1:14">
      <c r="A4" s="3610"/>
      <c r="B4" s="3611" t="s">
        <v>3150</v>
      </c>
      <c r="C4" s="3611"/>
      <c r="D4" s="3290"/>
      <c r="E4" s="3287"/>
      <c r="F4" s="3291"/>
      <c r="G4" s="3291"/>
      <c r="H4" s="3292"/>
      <c r="I4" s="3293">
        <f t="shared" ref="I4:I9" si="0">ROUND(D4*E4*F4*G4*H4/10000,0)</f>
        <v>0</v>
      </c>
      <c r="J4" s="3294" t="s">
        <v>3151</v>
      </c>
      <c r="K4" s="3278">
        <f>K3/50</f>
        <v>422.4</v>
      </c>
      <c r="M4" s="3278">
        <f>M3/30</f>
        <v>836</v>
      </c>
    </row>
    <row r="5" spans="1:14">
      <c r="A5" s="3610"/>
      <c r="B5" s="3611" t="s">
        <v>3152</v>
      </c>
      <c r="C5" s="3611"/>
      <c r="D5" s="3290"/>
      <c r="E5" s="3287"/>
      <c r="F5" s="3291"/>
      <c r="G5" s="3291"/>
      <c r="H5" s="3292"/>
      <c r="I5" s="3293">
        <f t="shared" si="0"/>
        <v>0</v>
      </c>
      <c r="J5" s="3294" t="s">
        <v>3153</v>
      </c>
      <c r="K5" s="3278">
        <f>K4*K6*12/10000</f>
        <v>4055.04</v>
      </c>
      <c r="L5" s="3278">
        <f>ROUND(K5/'数据-汇总表'!F19/365*10000,0)</f>
        <v>4</v>
      </c>
      <c r="M5" s="3278">
        <f>M4*M6*12/10000</f>
        <v>3511.2</v>
      </c>
      <c r="N5" s="3278">
        <f>ROUND(M5/'数据-汇总表'!F19/365*10000,0)</f>
        <v>4</v>
      </c>
    </row>
    <row r="6" spans="1:14">
      <c r="A6" s="3610"/>
      <c r="B6" s="3611" t="s">
        <v>3154</v>
      </c>
      <c r="C6" s="3611"/>
      <c r="D6" s="3290">
        <v>428</v>
      </c>
      <c r="E6" s="3287">
        <v>10000</v>
      </c>
      <c r="F6" s="3291">
        <v>1</v>
      </c>
      <c r="G6" s="3291">
        <v>0.85</v>
      </c>
      <c r="H6" s="3292">
        <v>12</v>
      </c>
      <c r="I6" s="3293">
        <f>ROUND(D6*E6*F6*G6*H6/10000,0)</f>
        <v>4366</v>
      </c>
      <c r="J6" s="3294" t="s">
        <v>3155</v>
      </c>
      <c r="K6" s="3278">
        <f>5000+1500+1500</f>
        <v>8000</v>
      </c>
      <c r="M6" s="3278">
        <f>2200+500+800</f>
        <v>3500</v>
      </c>
    </row>
    <row r="7" spans="1:14">
      <c r="A7" s="3610"/>
      <c r="B7" s="3611" t="s">
        <v>3156</v>
      </c>
      <c r="C7" s="3611"/>
      <c r="D7" s="3290"/>
      <c r="E7" s="3287"/>
      <c r="F7" s="3291"/>
      <c r="G7" s="3291"/>
      <c r="H7" s="3292"/>
      <c r="I7" s="3293">
        <f t="shared" si="0"/>
        <v>0</v>
      </c>
      <c r="J7" s="3278" t="s">
        <v>3236</v>
      </c>
      <c r="M7" s="3278" t="s">
        <v>3237</v>
      </c>
    </row>
    <row r="8" spans="1:14">
      <c r="A8" s="3610"/>
      <c r="B8" s="3611" t="s">
        <v>3157</v>
      </c>
      <c r="C8" s="3611"/>
      <c r="D8" s="3290"/>
      <c r="E8" s="3287"/>
      <c r="F8" s="3291"/>
      <c r="G8" s="3291"/>
      <c r="H8" s="3292"/>
      <c r="I8" s="3293">
        <f t="shared" si="0"/>
        <v>0</v>
      </c>
    </row>
    <row r="9" spans="1:14" ht="14.25" thickBot="1">
      <c r="A9" s="3610"/>
      <c r="B9" s="3611" t="s">
        <v>3158</v>
      </c>
      <c r="C9" s="3611"/>
      <c r="D9" s="3290"/>
      <c r="E9" s="3287"/>
      <c r="F9" s="3291"/>
      <c r="G9" s="3291"/>
      <c r="H9" s="3292"/>
      <c r="I9" s="3293">
        <f t="shared" si="0"/>
        <v>0</v>
      </c>
    </row>
    <row r="10" spans="1:14">
      <c r="A10" s="3610"/>
      <c r="B10" s="3612" t="s">
        <v>3159</v>
      </c>
      <c r="C10" s="3612"/>
      <c r="D10" s="3295">
        <f>D6</f>
        <v>428</v>
      </c>
      <c r="E10" s="3295"/>
      <c r="F10" s="3296"/>
      <c r="G10" s="3296"/>
      <c r="H10" s="3297"/>
      <c r="I10" s="3341">
        <f>SUM(I3:I9)</f>
        <v>4366</v>
      </c>
      <c r="J10" s="3613" t="s">
        <v>3261</v>
      </c>
      <c r="K10" s="3345" t="s">
        <v>3259</v>
      </c>
      <c r="L10" s="3343">
        <f>428*50*0.85</f>
        <v>18190</v>
      </c>
    </row>
    <row r="11" spans="1:14" ht="17.25" customHeight="1" thickBot="1">
      <c r="A11" s="3610" t="s">
        <v>3160</v>
      </c>
      <c r="B11" s="3611" t="s">
        <v>3161</v>
      </c>
      <c r="C11" s="3611"/>
      <c r="D11" s="3290" t="s">
        <v>3162</v>
      </c>
      <c r="E11" s="3290" t="s">
        <v>3163</v>
      </c>
      <c r="F11" s="3291" t="s">
        <v>3164</v>
      </c>
      <c r="G11" s="3291" t="s">
        <v>3165</v>
      </c>
      <c r="H11" s="3299" t="s">
        <v>3166</v>
      </c>
      <c r="I11" s="3342" t="s">
        <v>3167</v>
      </c>
      <c r="J11" s="3614"/>
      <c r="K11" s="3346" t="s">
        <v>3260</v>
      </c>
      <c r="L11" s="3344">
        <f>ROUND(L10*3%,0)</f>
        <v>546</v>
      </c>
    </row>
    <row r="12" spans="1:14">
      <c r="A12" s="3610"/>
      <c r="B12" s="3611" t="s">
        <v>3168</v>
      </c>
      <c r="C12" s="3611"/>
      <c r="D12" s="3290"/>
      <c r="E12" s="3290"/>
      <c r="F12" s="3291"/>
      <c r="G12" s="3292"/>
      <c r="H12" s="3300"/>
      <c r="I12" s="3288">
        <f>ROUND(D12*E12*F12*G12/10000,0)</f>
        <v>0</v>
      </c>
    </row>
    <row r="13" spans="1:14">
      <c r="A13" s="3610"/>
      <c r="B13" s="3611" t="s">
        <v>3169</v>
      </c>
      <c r="C13" s="3611"/>
      <c r="D13" s="3290"/>
      <c r="E13" s="3290"/>
      <c r="F13" s="3291"/>
      <c r="G13" s="3292"/>
      <c r="H13" s="3300"/>
      <c r="I13" s="3288">
        <f>ROUND(D13*E13*F13*G13/10000,0)</f>
        <v>0</v>
      </c>
    </row>
    <row r="14" spans="1:14">
      <c r="A14" s="3610"/>
      <c r="B14" s="3611" t="s">
        <v>3170</v>
      </c>
      <c r="C14" s="3611"/>
      <c r="D14" s="3290"/>
      <c r="E14" s="3290"/>
      <c r="F14" s="3291"/>
      <c r="G14" s="3292"/>
      <c r="H14" s="3300"/>
      <c r="I14" s="3288">
        <f>ROUND(D14*E14*F14*G14/10000,0)</f>
        <v>0</v>
      </c>
    </row>
    <row r="15" spans="1:14">
      <c r="A15" s="3610"/>
      <c r="B15" s="3612" t="s">
        <v>3159</v>
      </c>
      <c r="C15" s="3612"/>
      <c r="D15" s="3295"/>
      <c r="E15" s="3295">
        <f>SUM(E12:E14)</f>
        <v>0</v>
      </c>
      <c r="F15" s="3296"/>
      <c r="G15" s="3292"/>
      <c r="H15" s="3300"/>
      <c r="I15" s="3301">
        <f>SUM(I12:I14)</f>
        <v>0</v>
      </c>
    </row>
    <row r="16" spans="1:14" ht="24">
      <c r="A16" s="3610" t="s">
        <v>3171</v>
      </c>
      <c r="B16" s="3611" t="s">
        <v>3172</v>
      </c>
      <c r="C16" s="3611"/>
      <c r="D16" s="3290" t="s">
        <v>3173</v>
      </c>
      <c r="E16" s="3302" t="s">
        <v>3174</v>
      </c>
      <c r="F16" s="3291" t="s">
        <v>3175</v>
      </c>
      <c r="G16" s="3292" t="s">
        <v>3165</v>
      </c>
      <c r="H16" s="3299" t="s">
        <v>3166</v>
      </c>
      <c r="I16" s="3288" t="s">
        <v>3167</v>
      </c>
    </row>
    <row r="17" spans="1:14" ht="14.25">
      <c r="A17" s="3610"/>
      <c r="B17" s="3611" t="s">
        <v>3176</v>
      </c>
      <c r="C17" s="3611"/>
      <c r="D17" s="3290"/>
      <c r="E17" s="3290"/>
      <c r="F17" s="3291"/>
      <c r="G17" s="3292"/>
      <c r="H17" s="3303"/>
      <c r="I17" s="3304">
        <f>ROUND(D17*E17*F17*G17/10000,0)</f>
        <v>0</v>
      </c>
    </row>
    <row r="18" spans="1:14" ht="14.25">
      <c r="A18" s="3610"/>
      <c r="B18" s="3611" t="s">
        <v>3177</v>
      </c>
      <c r="C18" s="3611"/>
      <c r="D18" s="3290"/>
      <c r="E18" s="3290"/>
      <c r="F18" s="3291"/>
      <c r="G18" s="3292"/>
      <c r="H18" s="3303"/>
      <c r="I18" s="3304">
        <f>ROUND(D18*E18*F18*G18/10000,0)</f>
        <v>0</v>
      </c>
    </row>
    <row r="19" spans="1:14" ht="14.25">
      <c r="A19" s="3610"/>
      <c r="B19" s="3611" t="s">
        <v>3178</v>
      </c>
      <c r="C19" s="3611"/>
      <c r="D19" s="3290"/>
      <c r="E19" s="3290"/>
      <c r="F19" s="3291"/>
      <c r="G19" s="3292"/>
      <c r="H19" s="3303"/>
      <c r="I19" s="3304">
        <f>ROUND(D19*E19*F19*G19/10000,0)</f>
        <v>0</v>
      </c>
    </row>
    <row r="20" spans="1:14">
      <c r="A20" s="3610"/>
      <c r="B20" s="3612" t="s">
        <v>3159</v>
      </c>
      <c r="C20" s="3612"/>
      <c r="D20" s="3295">
        <f>SUM(D17:D19)</f>
        <v>0</v>
      </c>
      <c r="E20" s="3295"/>
      <c r="F20" s="3296"/>
      <c r="G20" s="3292"/>
      <c r="H20" s="3300"/>
      <c r="I20" s="3301">
        <f>SUM(I17:I19)</f>
        <v>0</v>
      </c>
    </row>
    <row r="21" spans="1:14">
      <c r="A21" s="3610" t="s">
        <v>3179</v>
      </c>
      <c r="B21" s="3616"/>
      <c r="C21" s="3616"/>
      <c r="D21" s="3616"/>
      <c r="E21" s="3616"/>
      <c r="F21" s="3616"/>
      <c r="G21" s="3616"/>
      <c r="H21" s="3305">
        <v>0</v>
      </c>
      <c r="I21" s="3298">
        <f>ROUND(I10*H21,0)</f>
        <v>0</v>
      </c>
    </row>
    <row r="22" spans="1:14" ht="14.25">
      <c r="A22" s="3617" t="s">
        <v>3180</v>
      </c>
      <c r="B22" s="3618"/>
      <c r="C22" s="3619"/>
      <c r="D22" s="3306" t="s">
        <v>3181</v>
      </c>
      <c r="E22" s="3306" t="s">
        <v>3182</v>
      </c>
      <c r="F22" s="3307" t="s">
        <v>3183</v>
      </c>
      <c r="G22" s="3307" t="s">
        <v>3184</v>
      </c>
      <c r="H22" s="3299" t="s">
        <v>3185</v>
      </c>
      <c r="I22" s="3288" t="s">
        <v>3148</v>
      </c>
    </row>
    <row r="23" spans="1:14" ht="14.25" thickBot="1">
      <c r="A23" s="3620"/>
      <c r="B23" s="3621"/>
      <c r="C23" s="3622"/>
      <c r="D23" s="3308"/>
      <c r="E23" s="3308"/>
      <c r="F23" s="3308"/>
      <c r="G23" s="3309"/>
      <c r="H23" s="3310"/>
      <c r="I23" s="3311">
        <f>ROUND(E23*D23*F23*(1-G23)/10000,0)</f>
        <v>0</v>
      </c>
    </row>
    <row r="25" spans="1:14">
      <c r="M25" s="3312" t="s">
        <v>3186</v>
      </c>
    </row>
    <row r="26" spans="1:14">
      <c r="A26" s="3313" t="s">
        <v>3187</v>
      </c>
      <c r="B26" s="3313"/>
      <c r="C26" s="3313"/>
      <c r="D26" s="3313"/>
      <c r="E26" s="3623">
        <f>C27-C30-C31-C32</f>
        <v>2837.8999999999996</v>
      </c>
      <c r="F26" s="3623"/>
      <c r="G26" s="3623"/>
      <c r="H26" s="3314" t="s">
        <v>3188</v>
      </c>
      <c r="M26" s="3315">
        <f>ROUND(E26/'数据-汇总表'!F19/365*10000,1)</f>
        <v>2.9</v>
      </c>
      <c r="N26" s="3277" t="s">
        <v>3189</v>
      </c>
    </row>
    <row r="27" spans="1:14">
      <c r="A27" s="3316">
        <v>1</v>
      </c>
      <c r="B27" s="3317" t="s">
        <v>3190</v>
      </c>
      <c r="C27" s="3317">
        <f>I21+I10</f>
        <v>4366</v>
      </c>
      <c r="D27" s="3317"/>
      <c r="E27" s="3624"/>
      <c r="F27" s="3624"/>
      <c r="G27" s="3624"/>
    </row>
    <row r="28" spans="1:14">
      <c r="A28" s="3318" t="s">
        <v>3191</v>
      </c>
      <c r="B28" s="3317" t="s">
        <v>3192</v>
      </c>
      <c r="C28" s="3317"/>
      <c r="D28" s="3317"/>
      <c r="E28" s="3624"/>
      <c r="F28" s="3624"/>
      <c r="G28" s="3624"/>
    </row>
    <row r="29" spans="1:14">
      <c r="A29" s="3318" t="s">
        <v>3193</v>
      </c>
      <c r="B29" s="3317" t="s">
        <v>3194</v>
      </c>
      <c r="C29" s="3317"/>
      <c r="D29" s="3317"/>
      <c r="E29" s="3317" t="s">
        <v>3195</v>
      </c>
      <c r="F29" s="3317"/>
      <c r="G29" s="3317"/>
    </row>
    <row r="30" spans="1:14">
      <c r="A30" s="3316">
        <v>2</v>
      </c>
      <c r="B30" s="3317" t="s">
        <v>3196</v>
      </c>
      <c r="C30" s="3317">
        <f>C27*D30</f>
        <v>436.6</v>
      </c>
      <c r="D30" s="3319">
        <v>0.1</v>
      </c>
      <c r="E30" s="3317" t="s">
        <v>3197</v>
      </c>
      <c r="F30" s="3317"/>
      <c r="G30" s="3317"/>
    </row>
    <row r="31" spans="1:14">
      <c r="A31" s="3316">
        <v>3</v>
      </c>
      <c r="B31" s="3317" t="s">
        <v>3198</v>
      </c>
      <c r="C31" s="3317">
        <f>C27*D31</f>
        <v>873.2</v>
      </c>
      <c r="D31" s="3319">
        <v>0.2</v>
      </c>
      <c r="E31" s="3317" t="s">
        <v>3199</v>
      </c>
      <c r="F31" s="3317"/>
      <c r="G31" s="3317"/>
    </row>
    <row r="32" spans="1:14">
      <c r="A32" s="3316">
        <v>4</v>
      </c>
      <c r="B32" s="3317" t="s">
        <v>3200</v>
      </c>
      <c r="C32" s="3317">
        <f>C27*D32</f>
        <v>218.3</v>
      </c>
      <c r="D32" s="3319">
        <v>0.05</v>
      </c>
      <c r="E32" s="3615"/>
      <c r="F32" s="3615"/>
      <c r="G32" s="3615"/>
    </row>
    <row r="33" spans="1:7" hidden="1">
      <c r="A33" s="3625" t="s">
        <v>3201</v>
      </c>
      <c r="B33" s="3626"/>
      <c r="C33" s="3626"/>
      <c r="D33" s="3627"/>
      <c r="E33" s="3623"/>
      <c r="F33" s="3623"/>
      <c r="G33" s="3623"/>
    </row>
    <row r="34" spans="1:7" hidden="1">
      <c r="A34" s="3320">
        <v>1</v>
      </c>
      <c r="B34" s="3317" t="s">
        <v>3202</v>
      </c>
      <c r="C34" s="3317"/>
      <c r="D34" s="3317"/>
      <c r="E34" s="3624"/>
      <c r="F34" s="3624"/>
      <c r="G34" s="3624"/>
    </row>
    <row r="35" spans="1:7" hidden="1">
      <c r="A35" s="3320">
        <v>2</v>
      </c>
      <c r="B35" s="3317" t="s">
        <v>3203</v>
      </c>
      <c r="C35" s="3317"/>
      <c r="D35" s="3317"/>
      <c r="E35" s="3624"/>
      <c r="F35" s="3624"/>
      <c r="G35" s="3624"/>
    </row>
    <row r="36" spans="1:7" hidden="1">
      <c r="A36" s="3320">
        <v>3</v>
      </c>
      <c r="B36" s="3317" t="s">
        <v>3204</v>
      </c>
      <c r="C36" s="3317"/>
      <c r="D36" s="3317"/>
      <c r="E36" s="3624"/>
      <c r="F36" s="3624"/>
      <c r="G36" s="3624"/>
    </row>
    <row r="37" spans="1:7" hidden="1">
      <c r="A37" s="3320">
        <v>4</v>
      </c>
      <c r="B37" s="3317" t="s">
        <v>3205</v>
      </c>
      <c r="C37" s="3317"/>
      <c r="D37" s="3317"/>
      <c r="E37" s="3624"/>
      <c r="F37" s="3624"/>
      <c r="G37" s="3624"/>
    </row>
    <row r="38" spans="1:7" hidden="1">
      <c r="A38" s="3625" t="s">
        <v>3206</v>
      </c>
      <c r="B38" s="3626"/>
      <c r="C38" s="3626"/>
      <c r="D38" s="3627"/>
      <c r="E38" s="3623"/>
      <c r="F38" s="3623"/>
      <c r="G38" s="3623"/>
    </row>
  </sheetData>
  <mergeCells count="41">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B11:C11"/>
    <mergeCell ref="B12:C12"/>
    <mergeCell ref="B13:C13"/>
    <mergeCell ref="B14:C14"/>
    <mergeCell ref="B15:C15"/>
    <mergeCell ref="J1:K1"/>
    <mergeCell ref="M1:N1"/>
    <mergeCell ref="A1:C1"/>
    <mergeCell ref="D1:I1"/>
    <mergeCell ref="A2:A10"/>
    <mergeCell ref="B2:C2"/>
    <mergeCell ref="B3:C3"/>
    <mergeCell ref="B4:C4"/>
    <mergeCell ref="B5:C5"/>
    <mergeCell ref="B6:C6"/>
    <mergeCell ref="B7:C7"/>
    <mergeCell ref="B8:C8"/>
    <mergeCell ref="B9:C9"/>
    <mergeCell ref="B10:C10"/>
    <mergeCell ref="J10:J11"/>
    <mergeCell ref="A11:A15"/>
  </mergeCells>
  <phoneticPr fontId="228"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8" customFormat="1" ht="19.5" customHeight="1">
      <c r="A18" s="3584" t="s">
        <v>997</v>
      </c>
      <c r="B18" s="1136" t="s">
        <v>1436</v>
      </c>
      <c r="C18" s="1113" t="s">
        <v>1437</v>
      </c>
      <c r="D18" s="1114"/>
      <c r="E18" s="1136">
        <v>1</v>
      </c>
      <c r="F18" s="1115" t="s">
        <v>1438</v>
      </c>
      <c r="G18" s="1116"/>
      <c r="H18" s="1087"/>
      <c r="I18" s="1087"/>
    </row>
    <row r="19" spans="1:9" s="1528" customFormat="1" ht="19.5" customHeight="1">
      <c r="A19" s="3584"/>
      <c r="B19" s="3584" t="s">
        <v>1439</v>
      </c>
      <c r="C19" s="1113" t="s">
        <v>1440</v>
      </c>
      <c r="D19" s="1114"/>
      <c r="E19" s="1136">
        <v>0.9</v>
      </c>
      <c r="F19" s="1115" t="s">
        <v>1441</v>
      </c>
      <c r="G19" s="1116"/>
      <c r="H19" s="1087"/>
      <c r="I19" s="1087"/>
    </row>
    <row r="20" spans="1:9" s="1528" customFormat="1" ht="19.5" customHeight="1">
      <c r="A20" s="3584"/>
      <c r="B20" s="3584"/>
      <c r="C20" s="1113" t="s">
        <v>1442</v>
      </c>
      <c r="D20" s="1114"/>
      <c r="E20" s="1136">
        <v>1.1000000000000001</v>
      </c>
      <c r="F20" s="1115" t="s">
        <v>1443</v>
      </c>
      <c r="G20" s="1116"/>
      <c r="H20" s="1087"/>
      <c r="I20" s="1087"/>
    </row>
    <row r="21" spans="1:9" s="1528" customFormat="1" ht="19.5" customHeight="1">
      <c r="A21" s="3584"/>
      <c r="B21" s="3584"/>
      <c r="C21" s="1113" t="s">
        <v>1444</v>
      </c>
      <c r="D21" s="1114"/>
      <c r="E21" s="1136">
        <v>0.8</v>
      </c>
      <c r="F21" s="1115" t="s">
        <v>1445</v>
      </c>
      <c r="G21" s="1116"/>
      <c r="H21" s="1087"/>
      <c r="I21" s="1087"/>
    </row>
    <row r="22" spans="1:9" s="1528" customFormat="1" ht="19.5" customHeight="1">
      <c r="A22" s="3584"/>
      <c r="B22" s="3584"/>
      <c r="C22" s="1113" t="s">
        <v>1446</v>
      </c>
      <c r="D22" s="1114"/>
      <c r="E22" s="1136">
        <v>0.5</v>
      </c>
      <c r="F22" s="1115"/>
      <c r="G22" s="1116"/>
      <c r="H22" s="1087"/>
      <c r="I22" s="1087"/>
    </row>
    <row r="23" spans="1:9" s="1528" customFormat="1" ht="19.5" customHeight="1">
      <c r="A23" s="3584" t="s">
        <v>1019</v>
      </c>
      <c r="B23" s="1136" t="s">
        <v>1436</v>
      </c>
      <c r="C23" s="1113" t="s">
        <v>1447</v>
      </c>
      <c r="D23" s="1114"/>
      <c r="E23" s="1136">
        <v>1</v>
      </c>
      <c r="F23" s="1115" t="s">
        <v>1448</v>
      </c>
      <c r="G23" s="1116"/>
      <c r="H23" s="1087"/>
      <c r="I23" s="1087"/>
    </row>
    <row r="24" spans="1:9" s="1528" customFormat="1" ht="19.5" customHeight="1">
      <c r="A24" s="3584"/>
      <c r="B24" s="3584" t="s">
        <v>1439</v>
      </c>
      <c r="C24" s="1113" t="s">
        <v>1449</v>
      </c>
      <c r="D24" s="1114"/>
      <c r="E24" s="1136">
        <v>0.5</v>
      </c>
      <c r="F24" s="1115"/>
      <c r="G24" s="1116"/>
      <c r="H24" s="1087"/>
      <c r="I24" s="1087"/>
    </row>
    <row r="25" spans="1:9" s="1528" customFormat="1" ht="19.5" customHeight="1">
      <c r="A25" s="3584"/>
      <c r="B25" s="3584"/>
      <c r="C25" s="1113" t="s">
        <v>1450</v>
      </c>
      <c r="D25" s="1114"/>
      <c r="E25" s="1136">
        <v>1.1000000000000001</v>
      </c>
      <c r="F25" s="1115"/>
      <c r="G25" s="1116"/>
      <c r="H25" s="1087"/>
      <c r="I25" s="1087"/>
    </row>
    <row r="26" spans="1:9" s="1528" customFormat="1" ht="19.5" customHeight="1">
      <c r="A26" s="3584"/>
      <c r="B26" s="3584"/>
      <c r="C26" s="1113" t="s">
        <v>1451</v>
      </c>
      <c r="D26" s="1114"/>
      <c r="E26" s="1136">
        <v>1.1000000000000001</v>
      </c>
      <c r="F26" s="1115"/>
      <c r="G26" s="1116"/>
      <c r="H26" s="1087"/>
      <c r="I26" s="1087"/>
    </row>
    <row r="27" spans="1:9" s="1528" customFormat="1" ht="19.5" customHeight="1">
      <c r="A27" s="3584"/>
      <c r="B27" s="3584"/>
      <c r="C27" s="1113" t="s">
        <v>1452</v>
      </c>
      <c r="D27" s="1114"/>
      <c r="E27" s="1136">
        <v>0.9</v>
      </c>
      <c r="F27" s="1115" t="s">
        <v>1453</v>
      </c>
      <c r="G27" s="1116"/>
      <c r="H27" s="1087"/>
      <c r="I27" s="1087"/>
    </row>
    <row r="28" spans="1:9" s="1528" customFormat="1" ht="19.5" customHeight="1">
      <c r="A28" s="3584"/>
      <c r="B28" s="3584"/>
      <c r="C28" s="1113" t="s">
        <v>1454</v>
      </c>
      <c r="D28" s="1114"/>
      <c r="E28" s="1136">
        <v>0.9</v>
      </c>
      <c r="F28" s="1115" t="s">
        <v>1455</v>
      </c>
      <c r="G28" s="1116"/>
      <c r="H28" s="1087"/>
      <c r="I28" s="1087"/>
    </row>
    <row r="29" spans="1:9" s="1528" customFormat="1" ht="19.5" customHeight="1">
      <c r="A29" s="3584"/>
      <c r="B29" s="3584"/>
      <c r="C29" s="1113" t="s">
        <v>1456</v>
      </c>
      <c r="D29" s="1114"/>
      <c r="E29" s="1136">
        <v>0.9</v>
      </c>
      <c r="F29" s="1115" t="s">
        <v>1457</v>
      </c>
      <c r="G29" s="1116"/>
      <c r="H29" s="1087"/>
      <c r="I29" s="1087"/>
    </row>
    <row r="30" spans="1:9" s="1528" customFormat="1" ht="19.5" customHeight="1">
      <c r="A30" s="3584"/>
      <c r="B30" s="3584"/>
      <c r="C30" s="1113" t="s">
        <v>1458</v>
      </c>
      <c r="D30" s="1114"/>
      <c r="E30" s="1136">
        <v>0.9</v>
      </c>
      <c r="F30" s="1115" t="s">
        <v>1459</v>
      </c>
      <c r="G30" s="1116"/>
      <c r="H30" s="1087"/>
      <c r="I30" s="1087"/>
    </row>
    <row r="31" spans="1:9" s="1528" customFormat="1" ht="19.5" customHeight="1">
      <c r="A31" s="3584"/>
      <c r="B31" s="3584"/>
      <c r="C31" s="1113" t="s">
        <v>1460</v>
      </c>
      <c r="D31" s="1114"/>
      <c r="E31" s="1136">
        <v>0.8</v>
      </c>
      <c r="F31" s="1115" t="s">
        <v>1461</v>
      </c>
      <c r="G31" s="1116"/>
      <c r="H31" s="1087"/>
      <c r="I31" s="1087"/>
    </row>
    <row r="32" spans="1:9" s="1528" customFormat="1" ht="19.5" customHeight="1">
      <c r="A32" s="3584"/>
      <c r="B32" s="3584"/>
      <c r="C32" s="1113" t="s">
        <v>1462</v>
      </c>
      <c r="D32" s="1114"/>
      <c r="E32" s="1136">
        <v>0.8</v>
      </c>
      <c r="F32" s="1115" t="s">
        <v>1463</v>
      </c>
      <c r="G32" s="1116"/>
      <c r="H32" s="1087"/>
      <c r="I32" s="1087"/>
    </row>
    <row r="33" spans="1:9" s="1528" customFormat="1" ht="19.5" customHeight="1">
      <c r="A33" s="3584" t="s">
        <v>1464</v>
      </c>
      <c r="B33" s="1136" t="s">
        <v>1436</v>
      </c>
      <c r="C33" s="1113" t="s">
        <v>1465</v>
      </c>
      <c r="D33" s="1114"/>
      <c r="E33" s="1136">
        <v>1</v>
      </c>
      <c r="F33" s="1115" t="s">
        <v>1466</v>
      </c>
      <c r="G33" s="1116"/>
      <c r="H33" s="1087"/>
      <c r="I33" s="1087"/>
    </row>
    <row r="34" spans="1:9" s="1528" customFormat="1" ht="19.5" customHeight="1">
      <c r="A34" s="3584"/>
      <c r="B34" s="1136" t="s">
        <v>1439</v>
      </c>
      <c r="C34" s="1113" t="s">
        <v>1467</v>
      </c>
      <c r="D34" s="1114"/>
      <c r="E34" s="1136">
        <v>1.5</v>
      </c>
      <c r="F34" s="1115" t="s">
        <v>1468</v>
      </c>
      <c r="G34" s="1116"/>
      <c r="H34" s="1087"/>
      <c r="I34" s="1087"/>
    </row>
    <row r="35" spans="1:9" s="1528" customFormat="1" ht="19.5" customHeight="1">
      <c r="A35" s="3584" t="s">
        <v>1422</v>
      </c>
      <c r="B35" s="1136" t="s">
        <v>1436</v>
      </c>
      <c r="C35" s="1113" t="s">
        <v>1469</v>
      </c>
      <c r="D35" s="1114"/>
      <c r="E35" s="1136">
        <v>1</v>
      </c>
      <c r="F35" s="1115" t="s">
        <v>1470</v>
      </c>
      <c r="G35" s="1116"/>
      <c r="H35" s="1087"/>
      <c r="I35" s="1087"/>
    </row>
    <row r="36" spans="1:9" s="1528" customFormat="1" ht="19.5" customHeight="1">
      <c r="A36" s="3584"/>
      <c r="B36" s="3584" t="s">
        <v>1439</v>
      </c>
      <c r="C36" s="1113" t="s">
        <v>1471</v>
      </c>
      <c r="D36" s="1114"/>
      <c r="E36" s="1136">
        <v>1</v>
      </c>
      <c r="F36" s="1115" t="s">
        <v>1472</v>
      </c>
      <c r="G36" s="1116"/>
      <c r="H36" s="1087"/>
      <c r="I36" s="1087"/>
    </row>
    <row r="37" spans="1:9" s="1528" customFormat="1" ht="19.5" customHeight="1">
      <c r="A37" s="3584"/>
      <c r="B37" s="3584"/>
      <c r="C37" s="1113" t="s">
        <v>1473</v>
      </c>
      <c r="D37" s="1114"/>
      <c r="E37" s="1136">
        <v>1.5</v>
      </c>
      <c r="F37" s="1115" t="s">
        <v>1474</v>
      </c>
      <c r="G37" s="1116"/>
      <c r="H37" s="1087"/>
      <c r="I37" s="1087"/>
    </row>
    <row r="38" spans="1:9" s="1528" customFormat="1" ht="19.5" customHeight="1">
      <c r="A38" s="3584"/>
      <c r="B38" s="3584"/>
      <c r="C38" s="1113" t="s">
        <v>1475</v>
      </c>
      <c r="D38" s="1114"/>
      <c r="E38" s="1136">
        <v>1</v>
      </c>
      <c r="F38" s="1115" t="s">
        <v>1476</v>
      </c>
      <c r="G38" s="1116"/>
      <c r="H38" s="1087"/>
      <c r="I38" s="1087"/>
    </row>
    <row r="39" spans="1:9" s="1528" customFormat="1" ht="19.5" customHeight="1">
      <c r="A39" s="3584"/>
      <c r="B39" s="3584"/>
      <c r="C39" s="1113" t="s">
        <v>1477</v>
      </c>
      <c r="D39" s="1114"/>
      <c r="E39" s="1136">
        <v>1</v>
      </c>
      <c r="F39" s="1115" t="s">
        <v>1478</v>
      </c>
      <c r="G39" s="1116"/>
      <c r="H39" s="1087"/>
      <c r="I39" s="1087"/>
    </row>
    <row r="40" spans="1:9" s="1528" customFormat="1" ht="19.5" customHeight="1">
      <c r="A40" s="1529" t="s">
        <v>1479</v>
      </c>
      <c r="B40" s="1529"/>
      <c r="C40" s="1529"/>
      <c r="D40" s="1529"/>
      <c r="E40" s="1529"/>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84" t="s">
        <v>1491</v>
      </c>
      <c r="C61" s="1050" t="s">
        <v>1492</v>
      </c>
      <c r="D61" s="1050" t="s">
        <v>1493</v>
      </c>
      <c r="E61" s="1121">
        <v>0.5</v>
      </c>
      <c r="F61" s="1136">
        <v>80</v>
      </c>
      <c r="H61" s="1087">
        <f>SUMIF(C59:C119,基准地价!C8,E59:E119)</f>
        <v>0</v>
      </c>
    </row>
    <row r="62" spans="1:8" s="1087" customFormat="1" ht="24">
      <c r="A62" s="1136">
        <v>2</v>
      </c>
      <c r="B62" s="3584"/>
      <c r="C62" s="1050" t="s">
        <v>1494</v>
      </c>
      <c r="D62" s="1050" t="s">
        <v>1495</v>
      </c>
      <c r="E62" s="1121">
        <v>0.5</v>
      </c>
      <c r="F62" s="1136">
        <v>80</v>
      </c>
    </row>
    <row r="63" spans="1:8" s="1087" customFormat="1" ht="36">
      <c r="A63" s="1136">
        <v>3</v>
      </c>
      <c r="B63" s="3584"/>
      <c r="C63" s="1050" t="s">
        <v>1496</v>
      </c>
      <c r="D63" s="1050" t="s">
        <v>1497</v>
      </c>
      <c r="E63" s="1121">
        <v>0.5</v>
      </c>
      <c r="F63" s="1136">
        <v>80</v>
      </c>
    </row>
    <row r="64" spans="1:8" s="1087" customFormat="1" ht="36">
      <c r="A64" s="1136">
        <v>4</v>
      </c>
      <c r="B64" s="3584"/>
      <c r="C64" s="1050" t="s">
        <v>1498</v>
      </c>
      <c r="D64" s="1050" t="s">
        <v>1499</v>
      </c>
      <c r="E64" s="1121">
        <v>0.4</v>
      </c>
      <c r="F64" s="1136">
        <v>60</v>
      </c>
    </row>
    <row r="65" spans="1:6" s="1087" customFormat="1" ht="36">
      <c r="A65" s="1136">
        <v>5</v>
      </c>
      <c r="B65" s="3584"/>
      <c r="C65" s="1050" t="s">
        <v>1500</v>
      </c>
      <c r="D65" s="1050" t="s">
        <v>1501</v>
      </c>
      <c r="E65" s="1121">
        <v>0.2</v>
      </c>
      <c r="F65" s="1136">
        <v>30</v>
      </c>
    </row>
    <row r="66" spans="1:6" s="1087" customFormat="1" ht="36">
      <c r="A66" s="1136">
        <v>6</v>
      </c>
      <c r="B66" s="3584"/>
      <c r="C66" s="1050" t="s">
        <v>1502</v>
      </c>
      <c r="D66" s="1050" t="s">
        <v>1503</v>
      </c>
      <c r="E66" s="1121">
        <v>0.3</v>
      </c>
      <c r="F66" s="1136">
        <v>50</v>
      </c>
    </row>
    <row r="67" spans="1:6" s="1087" customFormat="1" ht="36">
      <c r="A67" s="1136">
        <v>7</v>
      </c>
      <c r="B67" s="3584"/>
      <c r="C67" s="1050" t="s">
        <v>1504</v>
      </c>
      <c r="D67" s="1050" t="s">
        <v>1505</v>
      </c>
      <c r="E67" s="1121">
        <v>0.2</v>
      </c>
      <c r="F67" s="1136">
        <v>30</v>
      </c>
    </row>
    <row r="68" spans="1:6" s="1087" customFormat="1" ht="36">
      <c r="A68" s="1136">
        <v>8</v>
      </c>
      <c r="B68" s="3584"/>
      <c r="C68" s="1050" t="s">
        <v>1506</v>
      </c>
      <c r="D68" s="1050" t="s">
        <v>1507</v>
      </c>
      <c r="E68" s="1121">
        <v>0.2</v>
      </c>
      <c r="F68" s="1136">
        <v>30</v>
      </c>
    </row>
    <row r="69" spans="1:6" s="1087" customFormat="1" ht="36">
      <c r="A69" s="1136">
        <v>9</v>
      </c>
      <c r="B69" s="3584"/>
      <c r="C69" s="1050" t="s">
        <v>1508</v>
      </c>
      <c r="D69" s="1050" t="s">
        <v>1509</v>
      </c>
      <c r="E69" s="1121">
        <v>0.2</v>
      </c>
      <c r="F69" s="1136">
        <v>30</v>
      </c>
    </row>
    <row r="70" spans="1:6" s="1087" customFormat="1" ht="48">
      <c r="A70" s="1136">
        <v>10</v>
      </c>
      <c r="B70" s="3584"/>
      <c r="C70" s="1050" t="s">
        <v>1510</v>
      </c>
      <c r="D70" s="1050" t="s">
        <v>1511</v>
      </c>
      <c r="E70" s="1121">
        <v>0.2</v>
      </c>
      <c r="F70" s="1136">
        <v>30</v>
      </c>
    </row>
    <row r="71" spans="1:6" s="1087" customFormat="1" ht="48">
      <c r="A71" s="1136">
        <v>11</v>
      </c>
      <c r="B71" s="3584"/>
      <c r="C71" s="1050" t="s">
        <v>1512</v>
      </c>
      <c r="D71" s="1050" t="s">
        <v>1513</v>
      </c>
      <c r="E71" s="1121">
        <v>0.2</v>
      </c>
      <c r="F71" s="1136">
        <v>30</v>
      </c>
    </row>
    <row r="72" spans="1:6" s="1087" customFormat="1" ht="36">
      <c r="A72" s="1136">
        <v>12</v>
      </c>
      <c r="B72" s="3584"/>
      <c r="C72" s="1050" t="s">
        <v>1514</v>
      </c>
      <c r="D72" s="1050" t="s">
        <v>1515</v>
      </c>
      <c r="E72" s="1121">
        <v>0.5</v>
      </c>
      <c r="F72" s="1136">
        <v>80</v>
      </c>
    </row>
    <row r="73" spans="1:6" s="1087" customFormat="1" ht="24">
      <c r="A73" s="1136">
        <v>13</v>
      </c>
      <c r="B73" s="3584"/>
      <c r="C73" s="1050" t="s">
        <v>1516</v>
      </c>
      <c r="D73" s="1050" t="s">
        <v>1517</v>
      </c>
      <c r="E73" s="1121">
        <v>0.4</v>
      </c>
      <c r="F73" s="1136">
        <v>60</v>
      </c>
    </row>
    <row r="74" spans="1:6" s="1087" customFormat="1" ht="24">
      <c r="A74" s="1136">
        <v>14</v>
      </c>
      <c r="B74" s="3584"/>
      <c r="C74" s="1050" t="s">
        <v>1518</v>
      </c>
      <c r="D74" s="1050" t="s">
        <v>1519</v>
      </c>
      <c r="E74" s="1121">
        <v>0.2</v>
      </c>
      <c r="F74" s="1136">
        <v>30</v>
      </c>
    </row>
    <row r="75" spans="1:6" s="1087" customFormat="1" ht="24">
      <c r="A75" s="1136">
        <v>15</v>
      </c>
      <c r="B75" s="3584"/>
      <c r="C75" s="1050" t="s">
        <v>1520</v>
      </c>
      <c r="D75" s="1050" t="s">
        <v>1521</v>
      </c>
      <c r="E75" s="1121">
        <v>0.2</v>
      </c>
      <c r="F75" s="1136">
        <v>30</v>
      </c>
    </row>
    <row r="76" spans="1:6" s="1087" customFormat="1" ht="24">
      <c r="A76" s="1136">
        <v>16</v>
      </c>
      <c r="B76" s="3584" t="s">
        <v>1522</v>
      </c>
      <c r="C76" s="1050" t="s">
        <v>1523</v>
      </c>
      <c r="D76" s="1050" t="s">
        <v>1524</v>
      </c>
      <c r="E76" s="1121">
        <v>0.5</v>
      </c>
      <c r="F76" s="1136">
        <v>80</v>
      </c>
    </row>
    <row r="77" spans="1:6" s="1087" customFormat="1" ht="24">
      <c r="A77" s="1136">
        <v>17</v>
      </c>
      <c r="B77" s="3584"/>
      <c r="C77" s="1050" t="s">
        <v>1525</v>
      </c>
      <c r="D77" s="1050" t="s">
        <v>1526</v>
      </c>
      <c r="E77" s="1121">
        <v>0.5</v>
      </c>
      <c r="F77" s="1136">
        <v>80</v>
      </c>
    </row>
    <row r="78" spans="1:6" s="1087" customFormat="1" ht="24">
      <c r="A78" s="1136">
        <v>18</v>
      </c>
      <c r="B78" s="3584"/>
      <c r="C78" s="1050" t="s">
        <v>1527</v>
      </c>
      <c r="D78" s="1050" t="s">
        <v>1528</v>
      </c>
      <c r="E78" s="1121">
        <v>0.2</v>
      </c>
      <c r="F78" s="1136">
        <v>30</v>
      </c>
    </row>
    <row r="79" spans="1:6" s="1087" customFormat="1" ht="24">
      <c r="A79" s="1136">
        <v>19</v>
      </c>
      <c r="B79" s="3584"/>
      <c r="C79" s="1050" t="s">
        <v>1529</v>
      </c>
      <c r="D79" s="1050" t="s">
        <v>1530</v>
      </c>
      <c r="E79" s="1121">
        <v>0.5</v>
      </c>
      <c r="F79" s="1136">
        <v>80</v>
      </c>
    </row>
    <row r="80" spans="1:6" s="1087" customFormat="1" ht="36">
      <c r="A80" s="1136">
        <v>20</v>
      </c>
      <c r="B80" s="3584"/>
      <c r="C80" s="1050" t="s">
        <v>1531</v>
      </c>
      <c r="D80" s="1050" t="s">
        <v>1532</v>
      </c>
      <c r="E80" s="1121">
        <v>0.2</v>
      </c>
      <c r="F80" s="1136">
        <v>30</v>
      </c>
    </row>
    <row r="81" spans="1:6" s="1087" customFormat="1" ht="36">
      <c r="A81" s="1136">
        <v>21</v>
      </c>
      <c r="B81" s="3584"/>
      <c r="C81" s="1050" t="s">
        <v>1533</v>
      </c>
      <c r="D81" s="1050" t="s">
        <v>1534</v>
      </c>
      <c r="E81" s="1121">
        <v>0.2</v>
      </c>
      <c r="F81" s="1136">
        <v>30</v>
      </c>
    </row>
    <row r="82" spans="1:6" s="1087" customFormat="1" ht="48">
      <c r="A82" s="1136">
        <v>22</v>
      </c>
      <c r="B82" s="3584"/>
      <c r="C82" s="1050" t="s">
        <v>1535</v>
      </c>
      <c r="D82" s="1050" t="s">
        <v>1536</v>
      </c>
      <c r="E82" s="1121">
        <v>0.2</v>
      </c>
      <c r="F82" s="1136">
        <v>30</v>
      </c>
    </row>
    <row r="83" spans="1:6" s="1087" customFormat="1" ht="48">
      <c r="A83" s="1136">
        <v>23</v>
      </c>
      <c r="B83" s="3584"/>
      <c r="C83" s="1050" t="s">
        <v>1537</v>
      </c>
      <c r="D83" s="1050" t="s">
        <v>1538</v>
      </c>
      <c r="E83" s="1121">
        <v>0.2</v>
      </c>
      <c r="F83" s="1136">
        <v>30</v>
      </c>
    </row>
    <row r="84" spans="1:6" s="1087" customFormat="1" ht="36">
      <c r="A84" s="1136">
        <v>24</v>
      </c>
      <c r="B84" s="3584"/>
      <c r="C84" s="1050" t="s">
        <v>1539</v>
      </c>
      <c r="D84" s="1050" t="s">
        <v>1540</v>
      </c>
      <c r="E84" s="1121">
        <v>0.2</v>
      </c>
      <c r="F84" s="1136">
        <v>30</v>
      </c>
    </row>
    <row r="85" spans="1:6" s="1087" customFormat="1" ht="36">
      <c r="A85" s="1136">
        <v>25</v>
      </c>
      <c r="B85" s="3584"/>
      <c r="C85" s="1050" t="s">
        <v>1541</v>
      </c>
      <c r="D85" s="1050" t="s">
        <v>1542</v>
      </c>
      <c r="E85" s="1121">
        <v>0.5</v>
      </c>
      <c r="F85" s="1136">
        <v>80</v>
      </c>
    </row>
    <row r="86" spans="1:6" s="1087" customFormat="1" ht="36">
      <c r="A86" s="1136">
        <v>26</v>
      </c>
      <c r="B86" s="3584"/>
      <c r="C86" s="1050" t="s">
        <v>1543</v>
      </c>
      <c r="D86" s="1050" t="s">
        <v>1544</v>
      </c>
      <c r="E86" s="1121">
        <v>0.2</v>
      </c>
      <c r="F86" s="1136">
        <v>30</v>
      </c>
    </row>
    <row r="87" spans="1:6" s="1087" customFormat="1" ht="36">
      <c r="A87" s="1136">
        <v>27</v>
      </c>
      <c r="B87" s="3584"/>
      <c r="C87" s="1050" t="s">
        <v>1545</v>
      </c>
      <c r="D87" s="1050" t="s">
        <v>1546</v>
      </c>
      <c r="E87" s="1121">
        <v>0.2</v>
      </c>
      <c r="F87" s="1136">
        <v>30</v>
      </c>
    </row>
    <row r="88" spans="1:6" s="1087" customFormat="1" ht="36">
      <c r="A88" s="1136">
        <v>28</v>
      </c>
      <c r="B88" s="3584"/>
      <c r="C88" s="1050" t="s">
        <v>1547</v>
      </c>
      <c r="D88" s="1050" t="s">
        <v>1548</v>
      </c>
      <c r="E88" s="1121">
        <v>0.2</v>
      </c>
      <c r="F88" s="1136">
        <v>30</v>
      </c>
    </row>
    <row r="89" spans="1:6" s="1087" customFormat="1" ht="24">
      <c r="A89" s="1136">
        <v>29</v>
      </c>
      <c r="B89" s="3584"/>
      <c r="C89" s="1050" t="s">
        <v>1549</v>
      </c>
      <c r="D89" s="1050" t="s">
        <v>1550</v>
      </c>
      <c r="E89" s="1121">
        <v>0.2</v>
      </c>
      <c r="F89" s="1136">
        <v>30</v>
      </c>
    </row>
    <row r="90" spans="1:6" s="1087" customFormat="1" ht="24">
      <c r="A90" s="1136">
        <v>30</v>
      </c>
      <c r="B90" s="3584"/>
      <c r="C90" s="1050" t="s">
        <v>1551</v>
      </c>
      <c r="D90" s="1050" t="s">
        <v>1552</v>
      </c>
      <c r="E90" s="1121">
        <v>0.2</v>
      </c>
      <c r="F90" s="1136">
        <v>30</v>
      </c>
    </row>
    <row r="91" spans="1:6" s="1087" customFormat="1" ht="36">
      <c r="A91" s="1136">
        <v>31</v>
      </c>
      <c r="B91" s="3584"/>
      <c r="C91" s="1050" t="s">
        <v>1553</v>
      </c>
      <c r="D91" s="1050" t="s">
        <v>1554</v>
      </c>
      <c r="E91" s="1121">
        <v>0.2</v>
      </c>
      <c r="F91" s="1136">
        <v>30</v>
      </c>
    </row>
    <row r="92" spans="1:6" s="1087" customFormat="1" ht="24">
      <c r="A92" s="1136">
        <v>32</v>
      </c>
      <c r="B92" s="3584" t="s">
        <v>1555</v>
      </c>
      <c r="C92" s="1136" t="s">
        <v>1556</v>
      </c>
      <c r="D92" s="1050" t="s">
        <v>1557</v>
      </c>
      <c r="E92" s="1121">
        <v>0.2</v>
      </c>
      <c r="F92" s="1136">
        <v>30</v>
      </c>
    </row>
    <row r="93" spans="1:6" s="1087" customFormat="1" ht="36">
      <c r="A93" s="1136">
        <v>33</v>
      </c>
      <c r="B93" s="3584"/>
      <c r="C93" s="1136" t="s">
        <v>1558</v>
      </c>
      <c r="D93" s="1050" t="s">
        <v>1559</v>
      </c>
      <c r="E93" s="1121">
        <v>0.2</v>
      </c>
      <c r="F93" s="1136">
        <v>30</v>
      </c>
    </row>
    <row r="94" spans="1:6" s="1087" customFormat="1" ht="48">
      <c r="A94" s="1136">
        <v>34</v>
      </c>
      <c r="B94" s="3584"/>
      <c r="C94" s="1136" t="s">
        <v>1560</v>
      </c>
      <c r="D94" s="1050" t="s">
        <v>1561</v>
      </c>
      <c r="E94" s="1121">
        <v>0.2</v>
      </c>
      <c r="F94" s="1136">
        <v>30</v>
      </c>
    </row>
    <row r="95" spans="1:6" s="1087" customFormat="1" ht="36">
      <c r="A95" s="1136">
        <v>35</v>
      </c>
      <c r="B95" s="3584"/>
      <c r="C95" s="1136" t="s">
        <v>1562</v>
      </c>
      <c r="D95" s="1050" t="s">
        <v>1563</v>
      </c>
      <c r="E95" s="1121">
        <v>0.2</v>
      </c>
      <c r="F95" s="1136">
        <v>30</v>
      </c>
    </row>
    <row r="96" spans="1:6" s="1087" customFormat="1" ht="48">
      <c r="A96" s="1136">
        <v>36</v>
      </c>
      <c r="B96" s="3584"/>
      <c r="C96" s="1050" t="s">
        <v>1564</v>
      </c>
      <c r="D96" s="1050" t="s">
        <v>1565</v>
      </c>
      <c r="E96" s="1121">
        <v>0.2</v>
      </c>
      <c r="F96" s="1136">
        <v>30</v>
      </c>
    </row>
    <row r="97" spans="1:6" s="1087" customFormat="1" ht="36">
      <c r="A97" s="1136">
        <v>37</v>
      </c>
      <c r="B97" s="3584"/>
      <c r="C97" s="1136" t="s">
        <v>1566</v>
      </c>
      <c r="D97" s="1050" t="s">
        <v>1567</v>
      </c>
      <c r="E97" s="1121">
        <v>0.2</v>
      </c>
      <c r="F97" s="1136">
        <v>30</v>
      </c>
    </row>
    <row r="98" spans="1:6" s="1087" customFormat="1" ht="36">
      <c r="A98" s="1136">
        <v>38</v>
      </c>
      <c r="B98" s="3584"/>
      <c r="C98" s="1136" t="s">
        <v>1568</v>
      </c>
      <c r="D98" s="1050" t="s">
        <v>1569</v>
      </c>
      <c r="E98" s="1121">
        <v>0.2</v>
      </c>
      <c r="F98" s="1136">
        <v>30</v>
      </c>
    </row>
    <row r="99" spans="1:6" s="1087" customFormat="1" ht="36">
      <c r="A99" s="1136">
        <v>39</v>
      </c>
      <c r="B99" s="3584" t="s">
        <v>1570</v>
      </c>
      <c r="C99" s="1136" t="s">
        <v>1571</v>
      </c>
      <c r="D99" s="1050" t="s">
        <v>1572</v>
      </c>
      <c r="E99" s="1121">
        <v>0.3</v>
      </c>
      <c r="F99" s="1136">
        <v>50</v>
      </c>
    </row>
    <row r="100" spans="1:6" s="1087" customFormat="1" ht="24">
      <c r="A100" s="1136">
        <v>40</v>
      </c>
      <c r="B100" s="3584"/>
      <c r="C100" s="1136" t="s">
        <v>1573</v>
      </c>
      <c r="D100" s="1050" t="s">
        <v>1574</v>
      </c>
      <c r="E100" s="1121">
        <v>0.2</v>
      </c>
      <c r="F100" s="1136">
        <v>30</v>
      </c>
    </row>
    <row r="101" spans="1:6" s="1087" customFormat="1" ht="36">
      <c r="A101" s="1136">
        <v>41</v>
      </c>
      <c r="B101" s="3584"/>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84" t="s">
        <v>1585</v>
      </c>
      <c r="C105" s="1136" t="s">
        <v>1586</v>
      </c>
      <c r="D105" s="1050" t="s">
        <v>1587</v>
      </c>
      <c r="E105" s="1121">
        <v>0.2</v>
      </c>
      <c r="F105" s="1136">
        <v>30</v>
      </c>
    </row>
    <row r="106" spans="1:6" s="1087" customFormat="1" ht="36">
      <c r="A106" s="1136">
        <v>46</v>
      </c>
      <c r="B106" s="3584"/>
      <c r="C106" s="1136" t="s">
        <v>1588</v>
      </c>
      <c r="D106" s="1050" t="s">
        <v>1589</v>
      </c>
      <c r="E106" s="1121">
        <v>0.2</v>
      </c>
      <c r="F106" s="1136">
        <v>30</v>
      </c>
    </row>
    <row r="107" spans="1:6" s="1087" customFormat="1" ht="36">
      <c r="A107" s="1136">
        <v>47</v>
      </c>
      <c r="B107" s="3584" t="s">
        <v>1590</v>
      </c>
      <c r="C107" s="1136" t="s">
        <v>1591</v>
      </c>
      <c r="D107" s="1050" t="s">
        <v>1592</v>
      </c>
      <c r="E107" s="1121">
        <v>0.3</v>
      </c>
      <c r="F107" s="1136">
        <v>50</v>
      </c>
    </row>
    <row r="108" spans="1:6" s="1087" customFormat="1" ht="36">
      <c r="A108" s="1136">
        <v>48</v>
      </c>
      <c r="B108" s="3584"/>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84" t="s">
        <v>1601</v>
      </c>
      <c r="C111" s="1136" t="s">
        <v>1602</v>
      </c>
      <c r="D111" s="1050" t="s">
        <v>1603</v>
      </c>
      <c r="E111" s="1121">
        <v>0.2</v>
      </c>
      <c r="F111" s="1136">
        <v>30</v>
      </c>
    </row>
    <row r="112" spans="1:6" s="1087" customFormat="1" ht="24">
      <c r="A112" s="1136">
        <v>52</v>
      </c>
      <c r="B112" s="3584"/>
      <c r="C112" s="1136" t="s">
        <v>1604</v>
      </c>
      <c r="D112" s="1050" t="s">
        <v>1605</v>
      </c>
      <c r="E112" s="1121">
        <v>0.2</v>
      </c>
      <c r="F112" s="1136">
        <v>30</v>
      </c>
    </row>
    <row r="113" spans="1:14" s="1087" customFormat="1" ht="24">
      <c r="A113" s="1136">
        <v>53</v>
      </c>
      <c r="B113" s="3584"/>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84" t="s">
        <v>1614</v>
      </c>
      <c r="C116" s="1136" t="s">
        <v>1615</v>
      </c>
      <c r="D116" s="1050" t="s">
        <v>1616</v>
      </c>
      <c r="E116" s="1121">
        <v>0.2</v>
      </c>
      <c r="F116" s="1136">
        <v>30</v>
      </c>
    </row>
    <row r="117" spans="1:14" ht="36">
      <c r="A117" s="1136">
        <v>57</v>
      </c>
      <c r="B117" s="3584"/>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83" t="s">
        <v>1623</v>
      </c>
      <c r="B121" s="3583"/>
      <c r="C121" s="3583"/>
      <c r="D121" s="3583"/>
      <c r="E121" s="3583"/>
      <c r="F121" s="3583"/>
      <c r="G121" s="3583"/>
      <c r="H121" s="3583"/>
      <c r="I121" s="3583"/>
      <c r="J121" s="358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28" t="s">
        <v>1029</v>
      </c>
      <c r="B1" s="3628"/>
      <c r="C1" s="3628"/>
      <c r="D1" s="3628"/>
      <c r="E1" s="3628"/>
      <c r="F1" s="3628"/>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629" t="s">
        <v>1042</v>
      </c>
      <c r="B2" s="3629"/>
      <c r="C2" s="3629"/>
      <c r="D2" s="3629"/>
      <c r="E2" s="3629"/>
      <c r="F2" s="3629"/>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630"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631"/>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7370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1.1453</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32" t="s">
        <v>2067</v>
      </c>
      <c r="B1" s="3632"/>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1086</v>
      </c>
      <c r="B6" s="1772" t="s">
        <v>2076</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2077</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2078</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2079</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2080</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2081</v>
      </c>
      <c r="C72" s="1782"/>
      <c r="D72" s="1782"/>
      <c r="E72" s="1782"/>
      <c r="F72" s="1774">
        <v>0.05</v>
      </c>
    </row>
    <row r="73" spans="1:6" ht="14.25" thickBot="1">
      <c r="A73" s="1768" t="s">
        <v>915</v>
      </c>
      <c r="B73" s="1772" t="s">
        <v>2082</v>
      </c>
      <c r="C73" s="1782"/>
      <c r="D73" s="1782"/>
      <c r="E73" s="1782"/>
      <c r="F73" s="1774">
        <v>0.05</v>
      </c>
    </row>
    <row r="74" spans="1:6" ht="14.25" thickBot="1">
      <c r="A74" s="1768" t="s">
        <v>915</v>
      </c>
      <c r="B74" s="1772" t="s">
        <v>2083</v>
      </c>
      <c r="C74" s="1782"/>
      <c r="D74" s="1782"/>
      <c r="E74" s="1782"/>
      <c r="F74" s="1774">
        <v>0.05</v>
      </c>
    </row>
    <row r="75" spans="1:6" ht="14.25" thickBot="1">
      <c r="A75" s="1776" t="s">
        <v>915</v>
      </c>
      <c r="B75" s="1783" t="s">
        <v>2084</v>
      </c>
      <c r="C75" s="1779"/>
      <c r="D75" s="1779"/>
      <c r="E75" s="1779"/>
      <c r="F75" s="1784">
        <v>0.05</v>
      </c>
    </row>
    <row r="76" spans="1:6" ht="14.25" thickBot="1">
      <c r="A76" s="1768" t="s">
        <v>1397</v>
      </c>
      <c r="B76" s="1769" t="s">
        <v>2085</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2086</v>
      </c>
      <c r="C102" s="1782"/>
      <c r="D102" s="1782"/>
      <c r="E102" s="1782"/>
      <c r="F102" s="1774">
        <v>0.05</v>
      </c>
    </row>
    <row r="103" spans="1:6" ht="24.75" thickBot="1">
      <c r="A103" s="1768" t="s">
        <v>1397</v>
      </c>
      <c r="B103" s="1772" t="s">
        <v>2087</v>
      </c>
      <c r="C103" s="1782"/>
      <c r="D103" s="1782"/>
      <c r="E103" s="1782"/>
      <c r="F103" s="1774">
        <v>0.05</v>
      </c>
    </row>
    <row r="104" spans="1:6" ht="14.25" thickBot="1">
      <c r="A104" s="1768" t="s">
        <v>1397</v>
      </c>
      <c r="B104" s="1772" t="s">
        <v>2088</v>
      </c>
      <c r="C104" s="1782"/>
      <c r="D104" s="1782"/>
      <c r="E104" s="1782"/>
      <c r="F104" s="1774">
        <v>0.05</v>
      </c>
    </row>
    <row r="105" spans="1:6" ht="14.25" thickBot="1">
      <c r="A105" s="1768" t="s">
        <v>1397</v>
      </c>
      <c r="B105" s="1772" t="s">
        <v>2089</v>
      </c>
      <c r="C105" s="1782"/>
      <c r="D105" s="1782"/>
      <c r="E105" s="1782"/>
      <c r="F105" s="1774">
        <v>0.05</v>
      </c>
    </row>
    <row r="106" spans="1:6" ht="14.25" thickBot="1">
      <c r="A106" s="1768" t="s">
        <v>1397</v>
      </c>
      <c r="B106" s="1772" t="s">
        <v>2090</v>
      </c>
      <c r="C106" s="1782"/>
      <c r="D106" s="1782"/>
      <c r="E106" s="1782"/>
      <c r="F106" s="1774">
        <v>0.05</v>
      </c>
    </row>
    <row r="107" spans="1:6" ht="24.75" thickBot="1">
      <c r="A107" s="1768" t="s">
        <v>1397</v>
      </c>
      <c r="B107" s="1772" t="s">
        <v>2091</v>
      </c>
      <c r="C107" s="1782"/>
      <c r="D107" s="1782"/>
      <c r="E107" s="1782"/>
      <c r="F107" s="1774">
        <v>0.05</v>
      </c>
    </row>
    <row r="108" spans="1:6" ht="24.75" thickBot="1">
      <c r="A108" s="1768" t="s">
        <v>1397</v>
      </c>
      <c r="B108" s="1772" t="s">
        <v>2092</v>
      </c>
      <c r="C108" s="1782"/>
      <c r="D108" s="1782"/>
      <c r="E108" s="1782"/>
      <c r="F108" s="1774">
        <v>0.05</v>
      </c>
    </row>
    <row r="109" spans="1:6" ht="24.75" thickBot="1">
      <c r="A109" s="1776" t="s">
        <v>1397</v>
      </c>
      <c r="B109" s="1783" t="s">
        <v>2093</v>
      </c>
      <c r="C109" s="1779"/>
      <c r="D109" s="1779"/>
      <c r="E109" s="1779"/>
      <c r="F109" s="1784">
        <v>0.05</v>
      </c>
    </row>
    <row r="110" spans="1:6" ht="14.25" thickBot="1">
      <c r="A110" s="1768" t="s">
        <v>1399</v>
      </c>
      <c r="B110" s="1769" t="s">
        <v>2094</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2095</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2096</v>
      </c>
      <c r="C138" s="1773">
        <v>0.105</v>
      </c>
      <c r="D138" s="1773">
        <v>0.125</v>
      </c>
      <c r="E138" s="1773">
        <v>0.112</v>
      </c>
      <c r="F138" s="1781"/>
    </row>
    <row r="139" spans="1:6" ht="14.25" thickBot="1">
      <c r="A139" s="1768" t="s">
        <v>1399</v>
      </c>
      <c r="B139" s="1772" t="s">
        <v>2097</v>
      </c>
      <c r="C139" s="1773">
        <v>0.127</v>
      </c>
      <c r="D139" s="1773">
        <v>0.127</v>
      </c>
      <c r="E139" s="1773">
        <v>0.122</v>
      </c>
      <c r="F139" s="1774">
        <v>0.13</v>
      </c>
    </row>
    <row r="140" spans="1:6" ht="14.25" thickBot="1">
      <c r="A140" s="1768" t="s">
        <v>1399</v>
      </c>
      <c r="B140" s="1772" t="s">
        <v>2098</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2099</v>
      </c>
      <c r="C144" s="1786">
        <v>0.126</v>
      </c>
      <c r="D144" s="1786">
        <v>0.126</v>
      </c>
      <c r="E144" s="1786">
        <v>0.121</v>
      </c>
      <c r="F144" s="1781"/>
    </row>
    <row r="145" spans="1:6" ht="14.25" thickBot="1">
      <c r="A145" s="1776" t="s">
        <v>1399</v>
      </c>
      <c r="B145" s="1787" t="s">
        <v>2100</v>
      </c>
      <c r="C145" s="1788"/>
      <c r="D145" s="1788"/>
      <c r="E145" s="1788"/>
      <c r="F145" s="1789">
        <v>0.05</v>
      </c>
    </row>
    <row r="146" spans="1:6" ht="24.75" thickBot="1">
      <c r="A146" s="1790" t="s">
        <v>1399</v>
      </c>
      <c r="B146" s="1775" t="s">
        <v>2101</v>
      </c>
      <c r="C146" s="1782"/>
      <c r="D146" s="1782"/>
      <c r="E146" s="1782"/>
      <c r="F146" s="1791">
        <v>0.05</v>
      </c>
    </row>
    <row r="147" spans="1:6" ht="24.75" thickBot="1">
      <c r="A147" s="1768" t="s">
        <v>1399</v>
      </c>
      <c r="B147" s="1772" t="s">
        <v>2102</v>
      </c>
      <c r="C147" s="1782"/>
      <c r="D147" s="1782"/>
      <c r="E147" s="1782"/>
      <c r="F147" s="1774">
        <v>0.05</v>
      </c>
    </row>
    <row r="148" spans="1:6" ht="24.75" thickBot="1">
      <c r="A148" s="1768" t="s">
        <v>1399</v>
      </c>
      <c r="B148" s="1772" t="s">
        <v>2103</v>
      </c>
      <c r="C148" s="1782"/>
      <c r="D148" s="1782"/>
      <c r="E148" s="1782"/>
      <c r="F148" s="1774">
        <v>0.05</v>
      </c>
    </row>
    <row r="149" spans="1:6" ht="24.75" thickBot="1">
      <c r="A149" s="1768" t="s">
        <v>1399</v>
      </c>
      <c r="B149" s="1772" t="s">
        <v>2104</v>
      </c>
      <c r="C149" s="1782"/>
      <c r="D149" s="1782"/>
      <c r="E149" s="1782"/>
      <c r="F149" s="1774">
        <v>0.05</v>
      </c>
    </row>
    <row r="150" spans="1:6" ht="24.75" thickBot="1">
      <c r="A150" s="1768" t="s">
        <v>1399</v>
      </c>
      <c r="B150" s="1772" t="s">
        <v>2105</v>
      </c>
      <c r="C150" s="1782"/>
      <c r="D150" s="1782"/>
      <c r="E150" s="1782"/>
      <c r="F150" s="1774">
        <v>0.05</v>
      </c>
    </row>
    <row r="151" spans="1:6" ht="24.75" thickBot="1">
      <c r="A151" s="1768" t="s">
        <v>1399</v>
      </c>
      <c r="B151" s="1772" t="s">
        <v>2106</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2107</v>
      </c>
      <c r="C153" s="1782"/>
      <c r="D153" s="1782"/>
      <c r="E153" s="1782"/>
      <c r="F153" s="1774">
        <v>0.05</v>
      </c>
    </row>
    <row r="154" spans="1:6" ht="14.25" thickBot="1">
      <c r="A154" s="1768" t="s">
        <v>1399</v>
      </c>
      <c r="B154" s="1772" t="s">
        <v>2108</v>
      </c>
      <c r="C154" s="1782"/>
      <c r="D154" s="1782"/>
      <c r="E154" s="1782"/>
      <c r="F154" s="1774">
        <v>0.05</v>
      </c>
    </row>
    <row r="155" spans="1:6" ht="24.75" thickBot="1">
      <c r="A155" s="1768" t="s">
        <v>1399</v>
      </c>
      <c r="B155" s="1772" t="s">
        <v>2109</v>
      </c>
      <c r="C155" s="1782"/>
      <c r="D155" s="1782"/>
      <c r="E155" s="1782"/>
      <c r="F155" s="1774">
        <v>0.05</v>
      </c>
    </row>
    <row r="156" spans="1:6" ht="24.75" thickBot="1">
      <c r="A156" s="1768" t="s">
        <v>1399</v>
      </c>
      <c r="B156" s="1772" t="s">
        <v>2110</v>
      </c>
      <c r="C156" s="1782"/>
      <c r="D156" s="1782"/>
      <c r="E156" s="1782"/>
      <c r="F156" s="1774">
        <v>0.05</v>
      </c>
    </row>
    <row r="157" spans="1:6" ht="14.25" thickBot="1">
      <c r="A157" s="1776" t="s">
        <v>1399</v>
      </c>
      <c r="B157" s="1783" t="s">
        <v>2111</v>
      </c>
      <c r="C157" s="1779"/>
      <c r="D157" s="1779"/>
      <c r="E157" s="1779"/>
      <c r="F157" s="1784">
        <v>0.05</v>
      </c>
    </row>
    <row r="158" spans="1:6" ht="14.25" thickBot="1">
      <c r="A158" s="1768" t="s">
        <v>1401</v>
      </c>
      <c r="B158" s="1769" t="s">
        <v>2112</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2113</v>
      </c>
      <c r="C171" s="1773">
        <v>0.127</v>
      </c>
      <c r="D171" s="1773">
        <v>0.126</v>
      </c>
      <c r="E171" s="1773">
        <v>0.126</v>
      </c>
      <c r="F171" s="1774">
        <v>0.11799999999999999</v>
      </c>
    </row>
    <row r="172" spans="1:6" ht="14.25" thickBot="1">
      <c r="A172" s="1768" t="s">
        <v>1401</v>
      </c>
      <c r="B172" s="1772" t="s">
        <v>2114</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2115</v>
      </c>
      <c r="C174" s="1773">
        <v>0.13</v>
      </c>
      <c r="D174" s="1773">
        <v>0.13</v>
      </c>
      <c r="E174" s="1773">
        <v>0.13</v>
      </c>
      <c r="F174" s="1774">
        <v>0.13</v>
      </c>
    </row>
    <row r="175" spans="1:6" ht="14.25" thickBot="1">
      <c r="A175" s="1768" t="s">
        <v>1401</v>
      </c>
      <c r="B175" s="1772" t="s">
        <v>2116</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2117</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2118</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2119</v>
      </c>
      <c r="C185" s="1773">
        <v>0.127</v>
      </c>
      <c r="D185" s="1773">
        <v>0.127</v>
      </c>
      <c r="E185" s="1773">
        <v>0.128</v>
      </c>
      <c r="F185" s="1774">
        <v>0.13</v>
      </c>
    </row>
    <row r="186" spans="1:6" ht="24.75" thickBot="1">
      <c r="A186" s="1768" t="s">
        <v>1401</v>
      </c>
      <c r="B186" s="1772" t="s">
        <v>2120</v>
      </c>
      <c r="C186" s="1782"/>
      <c r="D186" s="1782"/>
      <c r="E186" s="1782"/>
      <c r="F186" s="1774">
        <v>0.05</v>
      </c>
    </row>
    <row r="187" spans="1:6" ht="14.25" thickBot="1">
      <c r="A187" s="1768" t="s">
        <v>1401</v>
      </c>
      <c r="B187" s="1772" t="s">
        <v>2121</v>
      </c>
      <c r="C187" s="1782"/>
      <c r="D187" s="1782"/>
      <c r="E187" s="1782"/>
      <c r="F187" s="1774">
        <v>0.05</v>
      </c>
    </row>
    <row r="188" spans="1:6" ht="14.25" thickBot="1">
      <c r="A188" s="1768" t="s">
        <v>1401</v>
      </c>
      <c r="B188" s="1772" t="s">
        <v>2122</v>
      </c>
      <c r="C188" s="1782"/>
      <c r="D188" s="1782"/>
      <c r="E188" s="1782"/>
      <c r="F188" s="1774">
        <v>0.05</v>
      </c>
    </row>
    <row r="189" spans="1:6" ht="24.75" thickBot="1">
      <c r="A189" s="1768" t="s">
        <v>1401</v>
      </c>
      <c r="B189" s="1772" t="s">
        <v>2123</v>
      </c>
      <c r="C189" s="1782"/>
      <c r="D189" s="1782"/>
      <c r="E189" s="1782"/>
      <c r="F189" s="1774">
        <v>0.05</v>
      </c>
    </row>
    <row r="190" spans="1:6" ht="24.75" thickBot="1">
      <c r="A190" s="1768" t="s">
        <v>1401</v>
      </c>
      <c r="B190" s="1772" t="s">
        <v>2124</v>
      </c>
      <c r="C190" s="1782"/>
      <c r="D190" s="1782"/>
      <c r="E190" s="1782"/>
      <c r="F190" s="1774">
        <v>0.05</v>
      </c>
    </row>
    <row r="191" spans="1:6" ht="24.75" thickBot="1">
      <c r="A191" s="1768" t="s">
        <v>1401</v>
      </c>
      <c r="B191" s="1772" t="s">
        <v>2125</v>
      </c>
      <c r="C191" s="1782"/>
      <c r="D191" s="1782"/>
      <c r="E191" s="1782"/>
      <c r="F191" s="1774">
        <v>0.05</v>
      </c>
    </row>
    <row r="192" spans="1:6" ht="24.75" thickBot="1">
      <c r="A192" s="1768" t="s">
        <v>1401</v>
      </c>
      <c r="B192" s="1772" t="s">
        <v>2126</v>
      </c>
      <c r="C192" s="1782"/>
      <c r="D192" s="1782"/>
      <c r="E192" s="1782"/>
      <c r="F192" s="1774">
        <v>0.05</v>
      </c>
    </row>
    <row r="193" spans="1:6" ht="24.75" thickBot="1">
      <c r="A193" s="1768" t="s">
        <v>1401</v>
      </c>
      <c r="B193" s="1772" t="s">
        <v>2127</v>
      </c>
      <c r="C193" s="1782"/>
      <c r="D193" s="1782"/>
      <c r="E193" s="1782"/>
      <c r="F193" s="1774">
        <v>0.05</v>
      </c>
    </row>
    <row r="194" spans="1:6" ht="24.75" thickBot="1">
      <c r="A194" s="1768" t="s">
        <v>1401</v>
      </c>
      <c r="B194" s="1772" t="s">
        <v>2128</v>
      </c>
      <c r="C194" s="1782"/>
      <c r="D194" s="1782"/>
      <c r="E194" s="1782"/>
      <c r="F194" s="1774">
        <v>0.05</v>
      </c>
    </row>
    <row r="195" spans="1:6" ht="14.25" thickBot="1">
      <c r="A195" s="1768" t="s">
        <v>1401</v>
      </c>
      <c r="B195" s="1772" t="s">
        <v>2129</v>
      </c>
      <c r="C195" s="1782"/>
      <c r="D195" s="1782"/>
      <c r="E195" s="1782"/>
      <c r="F195" s="1774">
        <v>0.05</v>
      </c>
    </row>
    <row r="196" spans="1:6" ht="24.75" thickBot="1">
      <c r="A196" s="1768" t="s">
        <v>1401</v>
      </c>
      <c r="B196" s="1772" t="s">
        <v>2130</v>
      </c>
      <c r="C196" s="1782"/>
      <c r="D196" s="1782"/>
      <c r="E196" s="1782"/>
      <c r="F196" s="1774">
        <v>0.05</v>
      </c>
    </row>
    <row r="197" spans="1:6" ht="24.75" thickBot="1">
      <c r="A197" s="1768" t="s">
        <v>1401</v>
      </c>
      <c r="B197" s="1772" t="s">
        <v>2131</v>
      </c>
      <c r="C197" s="1782"/>
      <c r="D197" s="1782"/>
      <c r="E197" s="1782"/>
      <c r="F197" s="1774">
        <v>0.05</v>
      </c>
    </row>
    <row r="198" spans="1:6" ht="24.75" thickBot="1">
      <c r="A198" s="1768" t="s">
        <v>1401</v>
      </c>
      <c r="B198" s="1772" t="s">
        <v>2132</v>
      </c>
      <c r="C198" s="1782"/>
      <c r="D198" s="1782"/>
      <c r="E198" s="1782"/>
      <c r="F198" s="1774">
        <v>0.05</v>
      </c>
    </row>
    <row r="199" spans="1:6" ht="24.75" thickBot="1">
      <c r="A199" s="1768" t="s">
        <v>1401</v>
      </c>
      <c r="B199" s="1772" t="s">
        <v>2133</v>
      </c>
      <c r="C199" s="1782"/>
      <c r="D199" s="1782"/>
      <c r="E199" s="1782"/>
      <c r="F199" s="1774">
        <v>0.05</v>
      </c>
    </row>
    <row r="200" spans="1:6" ht="24.75" thickBot="1">
      <c r="A200" s="1768" t="s">
        <v>1401</v>
      </c>
      <c r="B200" s="1772" t="s">
        <v>2134</v>
      </c>
      <c r="C200" s="1782"/>
      <c r="D200" s="1782"/>
      <c r="E200" s="1782"/>
      <c r="F200" s="1774">
        <v>0.05</v>
      </c>
    </row>
    <row r="201" spans="1:6" ht="24.75" thickBot="1">
      <c r="A201" s="1768" t="s">
        <v>1401</v>
      </c>
      <c r="B201" s="1772" t="s">
        <v>2135</v>
      </c>
      <c r="C201" s="1782"/>
      <c r="D201" s="1782"/>
      <c r="E201" s="1782"/>
      <c r="F201" s="1774">
        <v>0.05</v>
      </c>
    </row>
    <row r="202" spans="1:6" ht="24.75" thickBot="1">
      <c r="A202" s="1768" t="s">
        <v>1401</v>
      </c>
      <c r="B202" s="1772" t="s">
        <v>2136</v>
      </c>
      <c r="C202" s="1782"/>
      <c r="D202" s="1782"/>
      <c r="E202" s="1782"/>
      <c r="F202" s="1774">
        <v>0.05</v>
      </c>
    </row>
    <row r="203" spans="1:6" ht="24.75" thickBot="1">
      <c r="A203" s="1768" t="s">
        <v>1401</v>
      </c>
      <c r="B203" s="1772" t="s">
        <v>2137</v>
      </c>
      <c r="C203" s="1782"/>
      <c r="D203" s="1782"/>
      <c r="E203" s="1782"/>
      <c r="F203" s="1774">
        <v>0.05</v>
      </c>
    </row>
    <row r="204" spans="1:6" ht="14.25" thickBot="1">
      <c r="A204" s="1768" t="s">
        <v>1401</v>
      </c>
      <c r="B204" s="1772" t="s">
        <v>2138</v>
      </c>
      <c r="C204" s="1782"/>
      <c r="D204" s="1782"/>
      <c r="E204" s="1782"/>
      <c r="F204" s="1774">
        <v>0.05</v>
      </c>
    </row>
    <row r="205" spans="1:6" ht="14.25" thickBot="1">
      <c r="A205" s="1776" t="s">
        <v>1401</v>
      </c>
      <c r="B205" s="1783" t="s">
        <v>2139</v>
      </c>
      <c r="C205" s="1779"/>
      <c r="D205" s="1779"/>
      <c r="E205" s="1779"/>
      <c r="F205" s="1784">
        <v>0.05</v>
      </c>
    </row>
    <row r="206" spans="1:6" ht="14.25" thickBot="1">
      <c r="A206" s="1768" t="s">
        <v>1403</v>
      </c>
      <c r="B206" s="1769" t="s">
        <v>2140</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2141</v>
      </c>
      <c r="C210" s="1773">
        <v>0.15</v>
      </c>
      <c r="D210" s="1773">
        <v>0.15</v>
      </c>
      <c r="E210" s="1773">
        <v>0.15</v>
      </c>
      <c r="F210" s="1774">
        <v>0.13800000000000001</v>
      </c>
    </row>
    <row r="211" spans="1:6" ht="14.25" thickBot="1">
      <c r="A211" s="1768" t="s">
        <v>1403</v>
      </c>
      <c r="B211" s="1772" t="s">
        <v>2142</v>
      </c>
      <c r="C211" s="1773">
        <v>0.13700000000000001</v>
      </c>
      <c r="D211" s="1773">
        <v>0.13500000000000001</v>
      </c>
      <c r="E211" s="1773">
        <v>0.13600000000000001</v>
      </c>
      <c r="F211" s="1774">
        <v>0.1</v>
      </c>
    </row>
    <row r="212" spans="1:6" ht="14.25" thickBot="1">
      <c r="A212" s="1768" t="s">
        <v>1403</v>
      </c>
      <c r="B212" s="1772" t="s">
        <v>2143</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2144</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2145</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2146</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2147</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2148</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2149</v>
      </c>
      <c r="C231" s="1773">
        <v>0.128</v>
      </c>
      <c r="D231" s="1773">
        <v>0.125</v>
      </c>
      <c r="E231" s="1773">
        <v>0.13200000000000001</v>
      </c>
      <c r="F231" s="1781"/>
    </row>
    <row r="232" spans="1:6" ht="14.25" thickBot="1">
      <c r="A232" s="1768" t="s">
        <v>1403</v>
      </c>
      <c r="B232" s="1772" t="s">
        <v>2150</v>
      </c>
      <c r="C232" s="1773">
        <v>0.14499999999999999</v>
      </c>
      <c r="D232" s="1773">
        <v>0.14399999999999999</v>
      </c>
      <c r="E232" s="1773">
        <v>0.14599999999999999</v>
      </c>
      <c r="F232" s="1774">
        <v>0.13800000000000001</v>
      </c>
    </row>
    <row r="233" spans="1:6" ht="14.25" thickBot="1">
      <c r="A233" s="1768" t="s">
        <v>1403</v>
      </c>
      <c r="B233" s="1772" t="s">
        <v>2151</v>
      </c>
      <c r="C233" s="1773">
        <v>0.14499999999999999</v>
      </c>
      <c r="D233" s="1773">
        <v>0.14299999999999999</v>
      </c>
      <c r="E233" s="1773">
        <v>0.14199999999999999</v>
      </c>
      <c r="F233" s="1781"/>
    </row>
    <row r="234" spans="1:6" ht="14.25" thickBot="1">
      <c r="A234" s="1768" t="s">
        <v>1403</v>
      </c>
      <c r="B234" s="1772" t="s">
        <v>2152</v>
      </c>
      <c r="C234" s="1773">
        <v>0.14000000000000001</v>
      </c>
      <c r="D234" s="1773">
        <v>0.14000000000000001</v>
      </c>
      <c r="E234" s="1773">
        <v>0.14399999999999999</v>
      </c>
      <c r="F234" s="1781"/>
    </row>
    <row r="235" spans="1:6" ht="14.25" thickBot="1">
      <c r="A235" s="1768" t="s">
        <v>1403</v>
      </c>
      <c r="B235" s="1772" t="s">
        <v>2153</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2154</v>
      </c>
      <c r="C237" s="1782"/>
      <c r="D237" s="1782"/>
      <c r="E237" s="1782"/>
      <c r="F237" s="1774">
        <v>0.05</v>
      </c>
    </row>
    <row r="238" spans="1:6" ht="24.75" thickBot="1">
      <c r="A238" s="1768" t="s">
        <v>1403</v>
      </c>
      <c r="B238" s="1772" t="s">
        <v>2155</v>
      </c>
      <c r="C238" s="1782"/>
      <c r="D238" s="1782"/>
      <c r="E238" s="1782"/>
      <c r="F238" s="1774">
        <v>0.05</v>
      </c>
    </row>
    <row r="239" spans="1:6" ht="24.75" thickBot="1">
      <c r="A239" s="1768" t="s">
        <v>1403</v>
      </c>
      <c r="B239" s="1772" t="s">
        <v>2156</v>
      </c>
      <c r="C239" s="1782"/>
      <c r="D239" s="1782"/>
      <c r="E239" s="1782"/>
      <c r="F239" s="1774">
        <v>0.05</v>
      </c>
    </row>
    <row r="240" spans="1:6" ht="24.75" thickBot="1">
      <c r="A240" s="1768" t="s">
        <v>1403</v>
      </c>
      <c r="B240" s="1772" t="s">
        <v>2157</v>
      </c>
      <c r="C240" s="1782"/>
      <c r="D240" s="1782"/>
      <c r="E240" s="1782"/>
      <c r="F240" s="1774">
        <v>0.05</v>
      </c>
    </row>
    <row r="241" spans="1:6" ht="24.75" thickBot="1">
      <c r="A241" s="1768" t="s">
        <v>1403</v>
      </c>
      <c r="B241" s="1772" t="s">
        <v>2158</v>
      </c>
      <c r="C241" s="1782"/>
      <c r="D241" s="1782"/>
      <c r="E241" s="1782"/>
      <c r="F241" s="1774">
        <v>0.05</v>
      </c>
    </row>
    <row r="242" spans="1:6" ht="24.75" thickBot="1">
      <c r="A242" s="1768" t="s">
        <v>1403</v>
      </c>
      <c r="B242" s="1772" t="s">
        <v>2159</v>
      </c>
      <c r="C242" s="1782"/>
      <c r="D242" s="1782"/>
      <c r="E242" s="1782"/>
      <c r="F242" s="1774">
        <v>0.05</v>
      </c>
    </row>
    <row r="243" spans="1:6" ht="24.75" thickBot="1">
      <c r="A243" s="1768" t="s">
        <v>1403</v>
      </c>
      <c r="B243" s="1772" t="s">
        <v>2160</v>
      </c>
      <c r="C243" s="1782"/>
      <c r="D243" s="1782"/>
      <c r="E243" s="1782"/>
      <c r="F243" s="1774">
        <v>0.05</v>
      </c>
    </row>
    <row r="244" spans="1:6" ht="24.75" thickBot="1">
      <c r="A244" s="1776" t="s">
        <v>1403</v>
      </c>
      <c r="B244" s="1783" t="s">
        <v>2161</v>
      </c>
      <c r="C244" s="1779"/>
      <c r="D244" s="1779"/>
      <c r="E244" s="1779"/>
      <c r="F244" s="1784">
        <v>0.05</v>
      </c>
    </row>
    <row r="245" spans="1:6" ht="14.25" thickBot="1">
      <c r="A245" s="1768" t="s">
        <v>1405</v>
      </c>
      <c r="B245" s="1769" t="s">
        <v>2162</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2163</v>
      </c>
      <c r="C247" s="1773">
        <v>0.15</v>
      </c>
      <c r="D247" s="1773">
        <v>0.15</v>
      </c>
      <c r="E247" s="1773">
        <v>0.15</v>
      </c>
      <c r="F247" s="1774">
        <v>0.15</v>
      </c>
    </row>
    <row r="248" spans="1:6" ht="14.25" thickBot="1">
      <c r="A248" s="1768" t="s">
        <v>1405</v>
      </c>
      <c r="B248" s="1772" t="s">
        <v>2164</v>
      </c>
      <c r="C248" s="1773">
        <v>0.15</v>
      </c>
      <c r="D248" s="1773">
        <v>0.15</v>
      </c>
      <c r="E248" s="1773">
        <v>0.15</v>
      </c>
      <c r="F248" s="1774">
        <v>0.14000000000000001</v>
      </c>
    </row>
    <row r="249" spans="1:6" ht="14.25" thickBot="1">
      <c r="A249" s="1768" t="s">
        <v>1405</v>
      </c>
      <c r="B249" s="1772" t="s">
        <v>2165</v>
      </c>
      <c r="C249" s="1773">
        <v>0.15</v>
      </c>
      <c r="D249" s="1773">
        <v>0.14899999999999999</v>
      </c>
      <c r="E249" s="1773">
        <v>0.15</v>
      </c>
      <c r="F249" s="1774">
        <v>0.1</v>
      </c>
    </row>
    <row r="250" spans="1:6" ht="14.25" thickBot="1">
      <c r="A250" s="1768" t="s">
        <v>1405</v>
      </c>
      <c r="B250" s="1772" t="s">
        <v>2166</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2167</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2168</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2169</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2170</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2171</v>
      </c>
      <c r="C273" s="1773">
        <v>0.14199999999999999</v>
      </c>
      <c r="D273" s="1773">
        <v>0.14299999999999999</v>
      </c>
      <c r="E273" s="1773">
        <v>0.15</v>
      </c>
      <c r="F273" s="1774">
        <v>0.1</v>
      </c>
    </row>
    <row r="274" spans="1:6" ht="14.25" thickBot="1">
      <c r="A274" s="1768" t="s">
        <v>1405</v>
      </c>
      <c r="B274" s="1772" t="s">
        <v>2172</v>
      </c>
      <c r="C274" s="1773">
        <v>0.14799999999999999</v>
      </c>
      <c r="D274" s="1773">
        <v>0.14799999999999999</v>
      </c>
      <c r="E274" s="1773">
        <v>0.15</v>
      </c>
      <c r="F274" s="1774">
        <v>6.7000000000000004E-2</v>
      </c>
    </row>
    <row r="275" spans="1:6" ht="14.25" thickBot="1">
      <c r="A275" s="1768" t="s">
        <v>1405</v>
      </c>
      <c r="B275" s="1772" t="s">
        <v>2173</v>
      </c>
      <c r="C275" s="1773">
        <v>0.15</v>
      </c>
      <c r="D275" s="1773">
        <v>0.15</v>
      </c>
      <c r="E275" s="1773">
        <v>0.15</v>
      </c>
      <c r="F275" s="1774">
        <v>0.15</v>
      </c>
    </row>
    <row r="276" spans="1:6" ht="14.25" thickBot="1">
      <c r="A276" s="1768" t="s">
        <v>1405</v>
      </c>
      <c r="B276" s="1772" t="s">
        <v>2174</v>
      </c>
      <c r="C276" s="1773">
        <v>0.14499999999999999</v>
      </c>
      <c r="D276" s="1773">
        <v>0.14299999999999999</v>
      </c>
      <c r="E276" s="1773">
        <v>0.15</v>
      </c>
      <c r="F276" s="1774">
        <v>5.8999999999999997E-2</v>
      </c>
    </row>
    <row r="277" spans="1:6" ht="14.25" thickBot="1">
      <c r="A277" s="1768" t="s">
        <v>1405</v>
      </c>
      <c r="B277" s="1772" t="s">
        <v>2175</v>
      </c>
      <c r="C277" s="1773">
        <v>0.15</v>
      </c>
      <c r="D277" s="1773">
        <v>0.15</v>
      </c>
      <c r="E277" s="1773">
        <v>0.15</v>
      </c>
      <c r="F277" s="1774">
        <v>0.121</v>
      </c>
    </row>
    <row r="278" spans="1:6" ht="14.25" thickBot="1">
      <c r="A278" s="1768" t="s">
        <v>1405</v>
      </c>
      <c r="B278" s="1772" t="s">
        <v>2176</v>
      </c>
      <c r="C278" s="1773">
        <v>0.15</v>
      </c>
      <c r="D278" s="1773">
        <v>0.15</v>
      </c>
      <c r="E278" s="1773">
        <v>0.15</v>
      </c>
      <c r="F278" s="1774">
        <v>0.13800000000000001</v>
      </c>
    </row>
    <row r="279" spans="1:6" ht="24.75" thickBot="1">
      <c r="A279" s="1768" t="s">
        <v>1405</v>
      </c>
      <c r="B279" s="1772" t="s">
        <v>2177</v>
      </c>
      <c r="C279" s="1782"/>
      <c r="D279" s="1782"/>
      <c r="E279" s="1782"/>
      <c r="F279" s="1774">
        <v>0.05</v>
      </c>
    </row>
    <row r="280" spans="1:6" ht="24.75" thickBot="1">
      <c r="A280" s="1768" t="s">
        <v>1405</v>
      </c>
      <c r="B280" s="1772" t="s">
        <v>2178</v>
      </c>
      <c r="C280" s="1782"/>
      <c r="D280" s="1782"/>
      <c r="E280" s="1782"/>
      <c r="F280" s="1774">
        <v>0.05</v>
      </c>
    </row>
    <row r="281" spans="1:6" ht="24.75" thickBot="1">
      <c r="A281" s="1768" t="s">
        <v>1405</v>
      </c>
      <c r="B281" s="1772" t="s">
        <v>2179</v>
      </c>
      <c r="C281" s="1782"/>
      <c r="D281" s="1782"/>
      <c r="E281" s="1782"/>
      <c r="F281" s="1774">
        <v>0.05</v>
      </c>
    </row>
    <row r="282" spans="1:6" ht="24.75" thickBot="1">
      <c r="A282" s="1768" t="s">
        <v>1405</v>
      </c>
      <c r="B282" s="1772" t="s">
        <v>2180</v>
      </c>
      <c r="C282" s="1782"/>
      <c r="D282" s="1782"/>
      <c r="E282" s="1782"/>
      <c r="F282" s="1774">
        <v>0.05</v>
      </c>
    </row>
    <row r="283" spans="1:6" ht="24.75" thickBot="1">
      <c r="A283" s="1768" t="s">
        <v>1405</v>
      </c>
      <c r="B283" s="1772" t="s">
        <v>2181</v>
      </c>
      <c r="C283" s="1782"/>
      <c r="D283" s="1782"/>
      <c r="E283" s="1782"/>
      <c r="F283" s="1774">
        <v>0.05</v>
      </c>
    </row>
    <row r="284" spans="1:6" ht="24.75" thickBot="1">
      <c r="A284" s="1768" t="s">
        <v>1405</v>
      </c>
      <c r="B284" s="1772" t="s">
        <v>2182</v>
      </c>
      <c r="C284" s="1782"/>
      <c r="D284" s="1782"/>
      <c r="E284" s="1782"/>
      <c r="F284" s="1774">
        <v>0.05</v>
      </c>
    </row>
    <row r="285" spans="1:6" ht="24.75" thickBot="1">
      <c r="A285" s="1768" t="s">
        <v>1405</v>
      </c>
      <c r="B285" s="1772" t="s">
        <v>2183</v>
      </c>
      <c r="C285" s="1782"/>
      <c r="D285" s="1782"/>
      <c r="E285" s="1782"/>
      <c r="F285" s="1774">
        <v>0.05</v>
      </c>
    </row>
    <row r="286" spans="1:6" ht="24.75" thickBot="1">
      <c r="A286" s="1768" t="s">
        <v>1405</v>
      </c>
      <c r="B286" s="1772" t="s">
        <v>2184</v>
      </c>
      <c r="C286" s="1782"/>
      <c r="D286" s="1782"/>
      <c r="E286" s="1782"/>
      <c r="F286" s="1774">
        <v>0.05</v>
      </c>
    </row>
    <row r="287" spans="1:6" ht="24.75" thickBot="1">
      <c r="A287" s="1768" t="s">
        <v>1405</v>
      </c>
      <c r="B287" s="1772" t="s">
        <v>2185</v>
      </c>
      <c r="C287" s="1782"/>
      <c r="D287" s="1782"/>
      <c r="E287" s="1782"/>
      <c r="F287" s="1774">
        <v>0.05</v>
      </c>
    </row>
    <row r="288" spans="1:6" ht="24.75" thickBot="1">
      <c r="A288" s="1768" t="s">
        <v>1405</v>
      </c>
      <c r="B288" s="1772" t="s">
        <v>2186</v>
      </c>
      <c r="C288" s="1782"/>
      <c r="D288" s="1782"/>
      <c r="E288" s="1782"/>
      <c r="F288" s="1774">
        <v>0.05</v>
      </c>
    </row>
    <row r="289" spans="1:6" ht="24.75" thickBot="1">
      <c r="A289" s="1776" t="s">
        <v>1405</v>
      </c>
      <c r="B289" s="1783" t="s">
        <v>2187</v>
      </c>
      <c r="C289" s="1779"/>
      <c r="D289" s="1779"/>
      <c r="E289" s="1779"/>
      <c r="F289" s="1784">
        <v>0.05</v>
      </c>
    </row>
    <row r="290" spans="1:6" ht="14.25" thickBot="1">
      <c r="A290" s="1768" t="s">
        <v>1409</v>
      </c>
      <c r="B290" s="1769" t="s">
        <v>2188</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2189</v>
      </c>
      <c r="C292" s="1773">
        <v>0.15</v>
      </c>
      <c r="D292" s="1773">
        <v>0.15</v>
      </c>
      <c r="E292" s="1773">
        <v>0.15</v>
      </c>
      <c r="F292" s="1774">
        <v>0.14699999999999999</v>
      </c>
    </row>
    <row r="293" spans="1:6" ht="14.25" thickBot="1">
      <c r="A293" s="1768" t="s">
        <v>1409</v>
      </c>
      <c r="B293" s="1772" t="s">
        <v>2190</v>
      </c>
      <c r="C293" s="1782"/>
      <c r="D293" s="1782"/>
      <c r="E293" s="1782"/>
      <c r="F293" s="1774">
        <v>0.1</v>
      </c>
    </row>
    <row r="294" spans="1:6" ht="14.25" thickBot="1">
      <c r="A294" s="1768" t="s">
        <v>1409</v>
      </c>
      <c r="B294" s="1772" t="s">
        <v>2191</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2192</v>
      </c>
      <c r="C296" s="1773">
        <v>0.15</v>
      </c>
      <c r="D296" s="1773">
        <v>0.15</v>
      </c>
      <c r="E296" s="1773">
        <v>0.15</v>
      </c>
      <c r="F296" s="1774">
        <v>0.15</v>
      </c>
    </row>
    <row r="297" spans="1:6" ht="14.25" thickBot="1">
      <c r="A297" s="1768" t="s">
        <v>1409</v>
      </c>
      <c r="B297" s="1772" t="s">
        <v>2193</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2194</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2195</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2196</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2197</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2198</v>
      </c>
      <c r="C310" s="1773">
        <v>0.15</v>
      </c>
      <c r="D310" s="1773">
        <v>0.15</v>
      </c>
      <c r="E310" s="1773">
        <v>0.15</v>
      </c>
      <c r="F310" s="1774">
        <v>0.13700000000000001</v>
      </c>
    </row>
    <row r="311" spans="1:6" ht="14.25" thickBot="1">
      <c r="A311" s="1768" t="s">
        <v>1409</v>
      </c>
      <c r="B311" s="1772" t="s">
        <v>2199</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2200</v>
      </c>
      <c r="C313" s="1773">
        <v>0.15</v>
      </c>
      <c r="D313" s="1773">
        <v>0.15</v>
      </c>
      <c r="E313" s="1773">
        <v>0.15</v>
      </c>
      <c r="F313" s="1774">
        <v>0.15</v>
      </c>
    </row>
    <row r="314" spans="1:6" ht="24.75" thickBot="1">
      <c r="A314" s="1768" t="s">
        <v>1409</v>
      </c>
      <c r="B314" s="1772" t="s">
        <v>2201</v>
      </c>
      <c r="C314" s="1782"/>
      <c r="D314" s="1782"/>
      <c r="E314" s="1782"/>
      <c r="F314" s="1774">
        <v>0.05</v>
      </c>
    </row>
    <row r="315" spans="1:6" ht="24.75" thickBot="1">
      <c r="A315" s="1768" t="s">
        <v>1409</v>
      </c>
      <c r="B315" s="1772" t="s">
        <v>2202</v>
      </c>
      <c r="C315" s="1782"/>
      <c r="D315" s="1782"/>
      <c r="E315" s="1782"/>
      <c r="F315" s="1774">
        <v>0.05</v>
      </c>
    </row>
    <row r="316" spans="1:6" ht="24.75" thickBot="1">
      <c r="A316" s="1776" t="s">
        <v>1409</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1097</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1166</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1186</v>
      </c>
      <c r="C328" s="1773">
        <v>0.15</v>
      </c>
      <c r="D328" s="1773">
        <v>0.15</v>
      </c>
      <c r="E328" s="1773">
        <v>0.15</v>
      </c>
      <c r="F328" s="1774">
        <v>0.14099999999999999</v>
      </c>
    </row>
    <row r="329" spans="1:6" ht="14.25" thickBot="1">
      <c r="A329" s="1768" t="s">
        <v>2204</v>
      </c>
      <c r="B329" s="1772" t="s">
        <v>1196</v>
      </c>
      <c r="C329" s="1773">
        <v>0.15</v>
      </c>
      <c r="D329" s="1773">
        <v>0.15</v>
      </c>
      <c r="E329" s="1773">
        <v>0.15</v>
      </c>
      <c r="F329" s="1774">
        <v>0.15</v>
      </c>
    </row>
    <row r="330" spans="1:6" ht="14.25" thickBot="1">
      <c r="A330" s="1768" t="s">
        <v>2204</v>
      </c>
      <c r="B330" s="1772" t="s">
        <v>1206</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1226</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1246</v>
      </c>
      <c r="C334" s="1773">
        <v>0.15</v>
      </c>
      <c r="D334" s="1773">
        <v>0.15</v>
      </c>
      <c r="E334" s="1773">
        <v>0.15</v>
      </c>
      <c r="F334" s="1774">
        <v>0.15</v>
      </c>
    </row>
    <row r="335" spans="1:6" ht="14.25" thickBot="1">
      <c r="A335" s="1768" t="s">
        <v>2204</v>
      </c>
      <c r="B335" s="1772" t="s">
        <v>1256</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1274</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2" sqref="I1:I104857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40" t="s">
        <v>2556</v>
      </c>
      <c r="C1" s="3640"/>
      <c r="D1" s="3640"/>
      <c r="E1" s="3640"/>
      <c r="F1" s="3640"/>
      <c r="G1" s="3639" t="s">
        <v>2557</v>
      </c>
      <c r="H1" s="3639"/>
      <c r="I1" s="3639"/>
      <c r="J1" s="3639"/>
      <c r="K1" s="3639"/>
      <c r="L1" s="3639"/>
      <c r="N1" s="3639" t="s">
        <v>2558</v>
      </c>
      <c r="O1" s="3639"/>
      <c r="P1" s="3639"/>
      <c r="Q1" s="3639"/>
      <c r="S1" s="3639" t="s">
        <v>2559</v>
      </c>
      <c r="T1" s="3639"/>
      <c r="U1" s="3639"/>
      <c r="V1" s="3639"/>
      <c r="X1" s="3638" t="s">
        <v>2619</v>
      </c>
      <c r="Y1" s="3639"/>
      <c r="Z1" s="3639"/>
      <c r="AA1" s="3639"/>
      <c r="AB1" s="3639"/>
      <c r="AD1" s="3638" t="s">
        <v>2623</v>
      </c>
      <c r="AE1" s="3639"/>
      <c r="AF1" s="3639"/>
      <c r="AG1" s="3639"/>
      <c r="AH1" s="3639"/>
    </row>
    <row r="2" spans="1:34" s="2863" customFormat="1" ht="14.25" thickBot="1">
      <c r="B2" s="2864" t="s">
        <v>2560</v>
      </c>
      <c r="C2" s="2864" t="s">
        <v>2621</v>
      </c>
      <c r="D2" s="2865" t="s">
        <v>1634</v>
      </c>
      <c r="E2" s="2865" t="s">
        <v>1937</v>
      </c>
      <c r="F2" s="2864" t="s">
        <v>2622</v>
      </c>
      <c r="G2" s="2866"/>
      <c r="I2" s="2864" t="s">
        <v>2921</v>
      </c>
      <c r="J2" s="2865" t="s">
        <v>2923</v>
      </c>
      <c r="K2" s="2865" t="s">
        <v>2924</v>
      </c>
      <c r="L2" s="2864" t="s">
        <v>2925</v>
      </c>
      <c r="N2" s="2864" t="s">
        <v>2560</v>
      </c>
      <c r="O2" s="2865" t="s">
        <v>2922</v>
      </c>
      <c r="P2" s="2865" t="s">
        <v>1937</v>
      </c>
      <c r="Q2" s="2864" t="s">
        <v>2622</v>
      </c>
      <c r="S2" s="2864" t="s">
        <v>2560</v>
      </c>
      <c r="T2" s="2865" t="s">
        <v>2922</v>
      </c>
      <c r="U2" s="2865" t="s">
        <v>1937</v>
      </c>
      <c r="V2" s="2864" t="s">
        <v>2622</v>
      </c>
      <c r="X2" s="2864" t="s">
        <v>2560</v>
      </c>
      <c r="Y2" s="2864" t="s">
        <v>2621</v>
      </c>
      <c r="Z2" s="2865" t="s">
        <v>1634</v>
      </c>
      <c r="AA2" s="2865" t="s">
        <v>1937</v>
      </c>
      <c r="AB2" s="2864" t="s">
        <v>2622</v>
      </c>
      <c r="AD2" s="2864" t="s">
        <v>2560</v>
      </c>
      <c r="AE2" s="2864" t="s">
        <v>2621</v>
      </c>
      <c r="AF2" s="2865" t="s">
        <v>1634</v>
      </c>
      <c r="AG2" s="2865" t="s">
        <v>1937</v>
      </c>
      <c r="AH2" s="2864" t="s">
        <v>2622</v>
      </c>
    </row>
    <row r="3" spans="1:34" s="2873" customFormat="1" ht="14.25">
      <c r="A3" s="2867" t="s">
        <v>2932</v>
      </c>
      <c r="B3" s="2868"/>
      <c r="C3" s="2868"/>
      <c r="D3" s="2869"/>
      <c r="E3" s="2869"/>
      <c r="F3" s="2868"/>
      <c r="G3" s="2870"/>
      <c r="H3" s="2871"/>
      <c r="I3" s="2872">
        <f>ROUND(AVERAGE($I4:$I33),2)</f>
        <v>1.68</v>
      </c>
      <c r="J3" s="2872">
        <f>ROUND(AVERAGE($J4:$J33),2)</f>
        <v>1.1000000000000001</v>
      </c>
      <c r="K3" s="2872">
        <f>ROUND(AVERAGE($K4:$K33),2)</f>
        <v>1.85</v>
      </c>
      <c r="L3" s="2872">
        <f>ROUND(AVERAGE($L4:$L33),2)</f>
        <v>1.19</v>
      </c>
      <c r="N3" s="2870"/>
      <c r="S3" s="2870"/>
      <c r="W3" s="2874"/>
      <c r="X3" s="2875">
        <f>ROUND(SUMPRODUCT(PRODUCT(1+N3:N$32)),4)</f>
        <v>1.571</v>
      </c>
      <c r="Y3" s="2875">
        <f>ROUND(SUMPRODUCT(PRODUCT(1+O3:O$32)),4)</f>
        <v>1.3420000000000001</v>
      </c>
      <c r="Z3" s="2875">
        <f t="shared" ref="Z3:Z30" si="0">Y3</f>
        <v>1.3420000000000001</v>
      </c>
      <c r="AA3" s="2875">
        <f>ROUND(SUMPRODUCT(PRODUCT(1+P3:P$32)),4)</f>
        <v>1.6415999999999999</v>
      </c>
      <c r="AB3" s="2875">
        <f>ROUND(SUMPRODUCT(PRODUCT(1+Q3:Q$32)),4)</f>
        <v>1.389</v>
      </c>
      <c r="AD3" s="2876">
        <f>ROUND(AVERAGE(I3:I$33)/100,4)</f>
        <v>1.6799999999999999E-2</v>
      </c>
      <c r="AE3" s="2876">
        <f>ROUND(AVERAGE(J3:J$33)/100,4)</f>
        <v>1.0999999999999999E-2</v>
      </c>
      <c r="AF3" s="2876">
        <f t="shared" ref="AF3:AF31" si="1">AE3</f>
        <v>1.0999999999999999E-2</v>
      </c>
      <c r="AG3" s="2876">
        <f>ROUND(AVERAGE(K3:K$33)/100,4)</f>
        <v>1.8499999999999999E-2</v>
      </c>
      <c r="AH3" s="2876">
        <f>ROUND(AVERAGE(L3:L$33)/100,4)</f>
        <v>1.1900000000000001E-2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3001</v>
      </c>
      <c r="B5" s="2887">
        <f t="shared" ref="B5" si="2">B6*(1+N5)</f>
        <v>483.1434279321756</v>
      </c>
      <c r="C5" s="2887">
        <f t="shared" ref="C5" si="3">C6*(1+O5)</f>
        <v>345.93622669144776</v>
      </c>
      <c r="D5" s="2887">
        <f t="shared" ref="D5" si="4">C5</f>
        <v>345.93622669144776</v>
      </c>
      <c r="E5" s="2887">
        <f t="shared" ref="E5" si="5">E6*(1+P5)</f>
        <v>694.24498562544113</v>
      </c>
      <c r="F5" s="2887">
        <f t="shared" ref="F5" si="6">F6*(1+Q5)</f>
        <v>319.35475932716082</v>
      </c>
      <c r="G5" s="2880">
        <v>2021</v>
      </c>
      <c r="H5" s="2888">
        <v>1</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2933</v>
      </c>
      <c r="X5" s="2894">
        <f>ROUND(IF(项目基本情况!B5="出让",SUMPRODUCT(PRODUCT(1+N5:N$33)),SUMPRODUCT(PRODUCT(1+N5:N$32))),4)</f>
        <v>1.571</v>
      </c>
      <c r="Y5" s="2894">
        <f>ROUND(IF(项目基本情况!B5="出让",SUMPRODUCT(PRODUCT(1+O5:O$33)),SUMPRODUCT(PRODUCT(1+O5:O$32))),4)</f>
        <v>1.3420000000000001</v>
      </c>
      <c r="Z5" s="2894">
        <f t="shared" ref="Z5" si="11">Y5</f>
        <v>1.3420000000000001</v>
      </c>
      <c r="AA5" s="2894">
        <f>ROUND(IF(项目基本情况!B5="出让",SUMPRODUCT(PRODUCT(1+P5:P$33)),SUMPRODUCT(PRODUCT(1+P5:P$32))),4)</f>
        <v>1.6415999999999999</v>
      </c>
      <c r="AB5" s="2894">
        <f>ROUND(IF(项目基本情况!B5="出让",SUMPRODUCT(PRODUCT(1+Q5:Q$33)),SUMPRODUCT(PRODUCT(1+Q5:Q$32))),4)</f>
        <v>1.389</v>
      </c>
      <c r="AD5" s="2895">
        <f>ROUND(AVERAGE(I5:I$33)/100,4)</f>
        <v>1.6799999999999999E-2</v>
      </c>
      <c r="AE5" s="2895">
        <f>ROUND(AVERAGE(J5:J$33)/100,4)</f>
        <v>1.0999999999999999E-2</v>
      </c>
      <c r="AF5" s="2895">
        <f t="shared" ref="AF5" si="12">AE5</f>
        <v>1.0999999999999999E-2</v>
      </c>
      <c r="AG5" s="2895">
        <f>ROUND(AVERAGE(K5:K$33)/100,4)</f>
        <v>1.8499999999999999E-2</v>
      </c>
      <c r="AH5" s="2895">
        <f>ROUND(AVERAGE(L5:L$33)/100,4)</f>
        <v>1.1900000000000001E-2</v>
      </c>
    </row>
    <row r="6" spans="1:34" s="2903" customFormat="1">
      <c r="A6" s="2896" t="s">
        <v>3002</v>
      </c>
      <c r="B6" s="2897">
        <f t="shared" ref="B6" si="13">B7*(1+N6)</f>
        <v>483.1434279321756</v>
      </c>
      <c r="C6" s="2897">
        <f t="shared" ref="C6" si="14">C7*(1+O6)</f>
        <v>345.93622669144776</v>
      </c>
      <c r="D6" s="2897">
        <f t="shared" ref="D6" si="15">C6</f>
        <v>345.93622669144776</v>
      </c>
      <c r="E6" s="2897">
        <f t="shared" ref="E6" si="16">E7*(1+P6)</f>
        <v>694.24498562544113</v>
      </c>
      <c r="F6" s="2897">
        <f t="shared" ref="F6" si="17">F7*(1+Q6)</f>
        <v>319.35475932716082</v>
      </c>
      <c r="G6" s="2880">
        <v>2020</v>
      </c>
      <c r="H6" s="2898">
        <v>4</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ROUND(IF(项目基本情况!B6="出让",SUMPRODUCT(PRODUCT(1+N6:N$33)),SUMPRODUCT(PRODUCT(1+N6:N$32))),4)</f>
        <v>1.571</v>
      </c>
      <c r="Y6" s="2884">
        <f>ROUND(IF(项目基本情况!B6="出让",SUMPRODUCT(PRODUCT(1+O6:O$33)),SUMPRODUCT(PRODUCT(1+O6:O$32))),4)</f>
        <v>1.3420000000000001</v>
      </c>
      <c r="Z6" s="2884">
        <f t="shared" ref="Z6" si="22">Y6</f>
        <v>1.3420000000000001</v>
      </c>
      <c r="AA6" s="2884">
        <f>ROUND(IF(项目基本情况!B6="出让",SUMPRODUCT(PRODUCT(1+P6:P$33)),SUMPRODUCT(PRODUCT(1+P6:P$32))),4)</f>
        <v>1.6415999999999999</v>
      </c>
      <c r="AB6" s="2884">
        <f>ROUND(IF(项目基本情况!B6="出让",SUMPRODUCT(PRODUCT(1+Q6:Q$33)),SUMPRODUCT(PRODUCT(1+Q6:Q$32))),4)</f>
        <v>1.389</v>
      </c>
      <c r="AC6" s="2884"/>
      <c r="AD6" s="2885">
        <f>ROUND(AVERAGE(I6:I$33)/100,4)</f>
        <v>1.7399999999999999E-2</v>
      </c>
      <c r="AE6" s="2885">
        <f>ROUND(AVERAGE(J6:J$33)/100,4)</f>
        <v>1.14E-2</v>
      </c>
      <c r="AF6" s="2885">
        <f t="shared" ref="AF6" si="23">AE6</f>
        <v>1.14E-2</v>
      </c>
      <c r="AG6" s="2885">
        <f>ROUND(AVERAGE(K6:K$33)/100,4)</f>
        <v>1.9199999999999998E-2</v>
      </c>
      <c r="AH6" s="2885">
        <f>ROUND(AVERAGE(L6:L$33)/100,4)</f>
        <v>1.23E-2</v>
      </c>
    </row>
    <row r="7" spans="1:34" s="2903" customFormat="1">
      <c r="A7" s="2896" t="s">
        <v>3000</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2962</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2960</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2957</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2956</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634">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634"/>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634"/>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635"/>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633">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634"/>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634"/>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635"/>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960</v>
      </c>
      <c r="B22" s="2918">
        <v>392</v>
      </c>
      <c r="C22" s="2918">
        <v>302</v>
      </c>
      <c r="D22" s="2918">
        <f t="shared" si="131"/>
        <v>302</v>
      </c>
      <c r="E22" s="2918">
        <v>553</v>
      </c>
      <c r="F22" s="2919">
        <v>266</v>
      </c>
      <c r="G22" s="3633">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959</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634"/>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949</v>
      </c>
      <c r="B24" s="2897">
        <f t="shared" si="152"/>
        <v>360.06949782209392</v>
      </c>
      <c r="C24" s="2897">
        <f t="shared" si="152"/>
        <v>289.84672674747821</v>
      </c>
      <c r="D24" s="2897">
        <f t="shared" si="153"/>
        <v>289.84672674747821</v>
      </c>
      <c r="E24" s="2897">
        <f t="shared" si="154"/>
        <v>501.06543001181495</v>
      </c>
      <c r="F24" s="2897">
        <f t="shared" si="154"/>
        <v>256.82882500744967</v>
      </c>
      <c r="G24" s="3634"/>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958</v>
      </c>
      <c r="B25" s="2897">
        <f t="shared" si="152"/>
        <v>346.720748986128</v>
      </c>
      <c r="C25" s="2897">
        <f t="shared" si="152"/>
        <v>284.30282172386285</v>
      </c>
      <c r="D25" s="2897">
        <f t="shared" si="153"/>
        <v>284.30282172386285</v>
      </c>
      <c r="E25" s="2897">
        <f t="shared" si="154"/>
        <v>479.58023546306947</v>
      </c>
      <c r="F25" s="2897">
        <f t="shared" si="154"/>
        <v>253.25788877571213</v>
      </c>
      <c r="G25" s="3637"/>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957</v>
      </c>
      <c r="B26" s="2918">
        <v>333</v>
      </c>
      <c r="C26" s="2918">
        <v>277</v>
      </c>
      <c r="D26" s="2918">
        <f t="shared" si="153"/>
        <v>277</v>
      </c>
      <c r="E26" s="2918">
        <v>459</v>
      </c>
      <c r="F26" s="2919">
        <v>249</v>
      </c>
      <c r="G26" s="3636">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956</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634"/>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955</v>
      </c>
      <c r="B28" s="2897">
        <f t="shared" si="156"/>
        <v>322.34053690220776</v>
      </c>
      <c r="C28" s="2897">
        <f t="shared" si="156"/>
        <v>271.46160770422546</v>
      </c>
      <c r="D28" s="2897">
        <f t="shared" si="153"/>
        <v>271.46160770422546</v>
      </c>
      <c r="E28" s="2897">
        <f t="shared" si="157"/>
        <v>442.69434542172456</v>
      </c>
      <c r="F28" s="2897">
        <f t="shared" si="157"/>
        <v>241.34030753190925</v>
      </c>
      <c r="G28" s="3634"/>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954</v>
      </c>
      <c r="B29" s="2897">
        <f t="shared" si="156"/>
        <v>319.87748030386797</v>
      </c>
      <c r="C29" s="2897">
        <f t="shared" si="156"/>
        <v>269.60135833173649</v>
      </c>
      <c r="D29" s="2897">
        <f t="shared" si="153"/>
        <v>269.60135833173649</v>
      </c>
      <c r="E29" s="2897">
        <f t="shared" si="157"/>
        <v>439.18089823583784</v>
      </c>
      <c r="F29" s="2897">
        <f t="shared" si="157"/>
        <v>239.23503918706311</v>
      </c>
      <c r="G29" s="3637"/>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953</v>
      </c>
      <c r="B30" s="2925">
        <v>318</v>
      </c>
      <c r="C30" s="2925">
        <v>268</v>
      </c>
      <c r="D30" s="2925">
        <f t="shared" si="153"/>
        <v>268</v>
      </c>
      <c r="E30" s="2925">
        <v>437</v>
      </c>
      <c r="F30" s="2926">
        <v>237</v>
      </c>
      <c r="G30" s="3636">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952</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634"/>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951</v>
      </c>
      <c r="B32" s="2897">
        <f t="shared" si="158"/>
        <v>314.72141172386546</v>
      </c>
      <c r="C32" s="2897">
        <f t="shared" si="158"/>
        <v>263.03901319069001</v>
      </c>
      <c r="D32" s="2897">
        <f t="shared" si="153"/>
        <v>263.03901319069001</v>
      </c>
      <c r="E32" s="2897">
        <f t="shared" si="159"/>
        <v>433.65745506782821</v>
      </c>
      <c r="F32" s="2897">
        <f t="shared" si="159"/>
        <v>233.23005080045735</v>
      </c>
      <c r="G32" s="3634"/>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950</v>
      </c>
      <c r="B33" s="2930">
        <f t="shared" si="158"/>
        <v>307.34512863658733</v>
      </c>
      <c r="C33" s="2930">
        <f t="shared" si="158"/>
        <v>257.80556031626975</v>
      </c>
      <c r="D33" s="2930">
        <f t="shared" si="153"/>
        <v>257.80556031626975</v>
      </c>
      <c r="E33" s="2930">
        <f t="shared" si="159"/>
        <v>422.70928459677179</v>
      </c>
      <c r="F33" s="2930">
        <f t="shared" si="159"/>
        <v>229.73803270336617</v>
      </c>
      <c r="G33" s="3637"/>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641">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642"/>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642"/>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643"/>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636">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634"/>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634"/>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637"/>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636">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634">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634">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637">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636">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634">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634">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637">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636">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634">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634">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637">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636">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634">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634">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637">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636">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634">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634">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637">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636">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634">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634">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637">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636">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634">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634">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637">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636">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634">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634">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637">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636">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634">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634">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637">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636">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634">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634">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637">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16344.23平方米。根据《建设工程规划许可证》[]、《出让合同》[]，估价对象规划建筑面积为26400平方米。</v>
      </c>
    </row>
    <row r="7" spans="1:4" ht="56.25">
      <c r="A7" s="1709" t="s">
        <v>2726</v>
      </c>
    </row>
    <row r="8" spans="1:4" ht="18.75">
      <c r="A8" s="1708" t="s">
        <v>1896</v>
      </c>
    </row>
    <row r="9" spans="1:4" ht="75">
      <c r="A9" s="17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2021年1月6日（评估专业人员勘察现场之日）</v>
      </c>
    </row>
    <row r="12" spans="1:4" ht="18.75">
      <c r="A12" s="1711" t="s">
        <v>2013</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根据《国有土地使用证》[]，估价对象（分摊）出让国有建设用地使用权面积为16344.23平方米。根据《建设工程规划许可证》[]、《出让合同》[]，估价对象规划建筑面积为26400平方米。</v>
      </c>
    </row>
    <row r="21" spans="1:1" ht="18.75">
      <c r="A21" s="1705" t="s">
        <v>2062</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本次估价对象为出让国有建设用地使用权，《国有土地使用证》[]证载土地终止日期为办公2056年2月7日。截至估价期日，出让国有建设用地使用权剩余土地使用年限为。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2066</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2066</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621</v>
      </c>
      <c r="B1" s="729"/>
      <c r="C1" s="762"/>
      <c r="D1" s="1932"/>
      <c r="E1" s="2241" t="s">
        <v>2358</v>
      </c>
      <c r="F1" s="2242">
        <f ca="1">J54</f>
        <v>-2</v>
      </c>
      <c r="G1" s="763">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1" t="s">
        <v>622</v>
      </c>
      <c r="B2" s="764">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5" t="s">
        <v>688</v>
      </c>
      <c r="I3" s="1939"/>
      <c r="J3" s="1939"/>
      <c r="K3" s="1940"/>
      <c r="L3" s="1939"/>
      <c r="M3" s="1939"/>
    </row>
    <row r="4" spans="1:25" ht="18" customHeight="1">
      <c r="A4" s="1573" t="s">
        <v>689</v>
      </c>
      <c r="B4" s="1304">
        <f ca="1">ROUND(B2*10000/'数据-汇总表'!D3,0)</f>
        <v>0</v>
      </c>
      <c r="C4" s="421"/>
      <c r="D4" s="1937"/>
      <c r="E4" s="1938"/>
      <c r="F4" s="1938"/>
      <c r="G4" s="1523"/>
      <c r="H4" s="765"/>
      <c r="I4" s="1939"/>
      <c r="J4" s="1939"/>
      <c r="K4" s="1940"/>
      <c r="L4" s="1939"/>
      <c r="M4" s="1939"/>
    </row>
    <row r="5" spans="1:25" ht="18" customHeight="1" thickBot="1">
      <c r="A5" s="1574"/>
      <c r="B5" s="423">
        <f ca="1">ROUND(B2/('数据-汇总表'!D3/666.67),0)</f>
        <v>0</v>
      </c>
      <c r="C5" s="424" t="s">
        <v>690</v>
      </c>
      <c r="D5" s="1937"/>
      <c r="E5" s="1938"/>
      <c r="F5" s="1938"/>
      <c r="G5" s="1523"/>
      <c r="H5" s="765"/>
      <c r="I5" s="1939"/>
      <c r="J5" s="1939"/>
      <c r="K5" s="1940"/>
      <c r="L5" s="1939"/>
      <c r="M5" s="1939"/>
    </row>
    <row r="6" spans="1:25" ht="18" customHeight="1">
      <c r="A6" s="1742" t="s">
        <v>691</v>
      </c>
      <c r="B6" s="1734" t="s">
        <v>692</v>
      </c>
      <c r="C6" s="1734" t="s">
        <v>625</v>
      </c>
      <c r="D6" s="1734" t="s">
        <v>626</v>
      </c>
      <c r="E6" s="768" t="s">
        <v>627</v>
      </c>
      <c r="F6" s="769"/>
      <c r="G6" s="1525"/>
      <c r="H6" s="1742" t="s">
        <v>623</v>
      </c>
      <c r="I6" s="1734" t="s">
        <v>624</v>
      </c>
      <c r="J6" s="1734" t="s">
        <v>625</v>
      </c>
      <c r="K6" s="1734" t="s">
        <v>626</v>
      </c>
      <c r="L6" s="768" t="s">
        <v>627</v>
      </c>
      <c r="M6" s="769"/>
    </row>
    <row r="7" spans="1:25" ht="18" customHeight="1">
      <c r="A7" s="770">
        <v>1</v>
      </c>
      <c r="B7" s="771" t="s">
        <v>2439</v>
      </c>
      <c r="C7" s="53">
        <f ca="1">C8+C12+C14</f>
        <v>0</v>
      </c>
      <c r="D7" s="2348" t="s">
        <v>2442</v>
      </c>
      <c r="E7" s="2342"/>
      <c r="F7" s="2343"/>
      <c r="G7" s="1525"/>
      <c r="H7" s="770">
        <v>1</v>
      </c>
      <c r="I7" s="771" t="s">
        <v>2439</v>
      </c>
      <c r="J7" s="53">
        <f ca="1">J8+J12+J14</f>
        <v>0</v>
      </c>
      <c r="K7" s="2348" t="s">
        <v>2442</v>
      </c>
      <c r="L7" s="2342"/>
      <c r="M7" s="2343"/>
    </row>
    <row r="8" spans="1:25" ht="18" customHeight="1">
      <c r="A8" s="1744" t="s">
        <v>1814</v>
      </c>
      <c r="B8" s="3599" t="s">
        <v>2444</v>
      </c>
      <c r="C8" s="1739">
        <f ca="1">ROUND(F8*F10*F9*(1-F11)/10000,0)</f>
        <v>0</v>
      </c>
      <c r="D8" s="1736" t="s">
        <v>2515</v>
      </c>
      <c r="E8" s="61" t="s">
        <v>630</v>
      </c>
      <c r="F8" s="774">
        <f ca="1">INDIRECT("'数据-取费表'!u"&amp;$G$1)</f>
        <v>0</v>
      </c>
      <c r="G8" s="1525"/>
      <c r="H8" s="2356" t="s">
        <v>1814</v>
      </c>
      <c r="I8" s="3599" t="s">
        <v>2444</v>
      </c>
      <c r="J8" s="772">
        <f ca="1">ROUND(M8*M10*M9*(1-M11)/10000,0)</f>
        <v>0</v>
      </c>
      <c r="K8" s="338" t="s">
        <v>2515</v>
      </c>
      <c r="L8" s="773" t="s">
        <v>1728</v>
      </c>
      <c r="M8" s="774">
        <f ca="1">INDIRECT("'数据-取费表'!z"&amp;$G$1)</f>
        <v>0</v>
      </c>
    </row>
    <row r="9" spans="1:25" ht="18" customHeight="1">
      <c r="A9" s="2352"/>
      <c r="B9" s="3600"/>
      <c r="C9" s="1740"/>
      <c r="D9" s="1737"/>
      <c r="E9" s="61" t="s">
        <v>631</v>
      </c>
      <c r="F9" s="774">
        <f ca="1">IF(INDIRECT("'数据-取费表'!ah"&amp;$G$1)="",INDIRECT("'数据-取费表'!k"&amp;$G$1),INDIRECT("'数据-取费表'!ah"&amp;$G$1))</f>
        <v>0</v>
      </c>
      <c r="G9" s="1525"/>
      <c r="H9" s="2341"/>
      <c r="I9" s="3600"/>
      <c r="J9" s="777"/>
      <c r="K9" s="778"/>
      <c r="L9" s="773" t="s">
        <v>1729</v>
      </c>
      <c r="M9" s="774">
        <f ca="1">F9</f>
        <v>0</v>
      </c>
    </row>
    <row r="10" spans="1:25" ht="18" customHeight="1">
      <c r="A10" s="2345"/>
      <c r="B10" s="3601"/>
      <c r="C10" s="1740"/>
      <c r="D10" s="1737"/>
      <c r="E10" s="61" t="s">
        <v>632</v>
      </c>
      <c r="F10" s="774">
        <f ca="1">INDIRECT("'数据-取费表'!ai"&amp;$G$1)</f>
        <v>0</v>
      </c>
      <c r="G10" s="1525"/>
      <c r="H10" s="2341"/>
      <c r="I10" s="3601"/>
      <c r="J10" s="777"/>
      <c r="K10" s="778"/>
      <c r="L10" s="773" t="s">
        <v>1730</v>
      </c>
      <c r="M10" s="774">
        <f ca="1">INDIRECT("'数据-取费表'!ai"&amp;$G$1)</f>
        <v>0</v>
      </c>
    </row>
    <row r="11" spans="1:25" ht="18" customHeight="1">
      <c r="A11" s="775"/>
      <c r="B11" s="3602"/>
      <c r="C11" s="1740"/>
      <c r="D11" s="1737"/>
      <c r="E11" s="61" t="s">
        <v>633</v>
      </c>
      <c r="F11" s="783">
        <f ca="1">INDIRECT("'数据-取费表'!w"&amp;$G$1)</f>
        <v>0</v>
      </c>
      <c r="G11" s="1525"/>
      <c r="H11" s="2357"/>
      <c r="I11" s="3601"/>
      <c r="J11" s="777"/>
      <c r="K11" s="778"/>
      <c r="L11" s="784" t="s">
        <v>1731</v>
      </c>
      <c r="M11" s="785">
        <f ca="1">INDIRECT("'数据-取费表'!ab"&amp;$G$1)</f>
        <v>0</v>
      </c>
    </row>
    <row r="12" spans="1:25" ht="18" customHeight="1">
      <c r="A12" s="1744" t="s">
        <v>1815</v>
      </c>
      <c r="B12" s="2346" t="s">
        <v>2440</v>
      </c>
      <c r="C12" s="788">
        <f ca="1">ROUND(IF(F12="押一",C8/12*F13,IF(F12="押二",C8/12*2*F13,IF(F12="押三",C8/12*3*F13,C13*F13))),0)</f>
        <v>0</v>
      </c>
      <c r="D12" s="2353" t="s">
        <v>2937</v>
      </c>
      <c r="E12" s="2350" t="s">
        <v>2445</v>
      </c>
      <c r="F12" s="2464"/>
      <c r="G12" s="1525"/>
      <c r="H12" s="2413" t="s">
        <v>1815</v>
      </c>
      <c r="I12" s="2418" t="s">
        <v>2440</v>
      </c>
      <c r="J12" s="772">
        <f ca="1">ROUND(IF(M12="押一",J8/12*M13,IF(M12="押二",J8/12*2*M13,IF(M12="押三",J8/12*3*M13,J13*M13))),0)</f>
        <v>0</v>
      </c>
      <c r="K12" s="2353" t="s">
        <v>2937</v>
      </c>
      <c r="L12" s="2350" t="s">
        <v>2445</v>
      </c>
      <c r="M12" s="2464"/>
    </row>
    <row r="13" spans="1:25" ht="18" customHeight="1">
      <c r="A13" s="779"/>
      <c r="B13" s="2347" t="s">
        <v>2554</v>
      </c>
      <c r="C13" s="2351"/>
      <c r="D13" s="778"/>
      <c r="E13" s="2350" t="s">
        <v>2437</v>
      </c>
      <c r="F13" s="785">
        <f ca="1">'数据-取费表'!B39</f>
        <v>1.4999999999999999E-2</v>
      </c>
      <c r="G13" s="1525"/>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1864</v>
      </c>
      <c r="B15" s="1741" t="s">
        <v>634</v>
      </c>
      <c r="C15" s="781">
        <f ca="1">ROUND(C31*F15,0)</f>
        <v>0</v>
      </c>
      <c r="D15" s="1748" t="s">
        <v>635</v>
      </c>
      <c r="E15" s="784" t="s">
        <v>636</v>
      </c>
      <c r="F15" s="789">
        <f ca="1">INDIRECT("'数据-取费表'!y"&amp;$G$1)</f>
        <v>0</v>
      </c>
      <c r="G15" s="1525"/>
      <c r="H15" s="1743" t="s">
        <v>1816</v>
      </c>
      <c r="I15" s="1741" t="s">
        <v>637</v>
      </c>
      <c r="J15" s="1733">
        <f ca="1">ROUND(J16*J17,0)</f>
        <v>0</v>
      </c>
      <c r="K15" s="1735" t="s">
        <v>635</v>
      </c>
      <c r="L15" s="790"/>
      <c r="M15" s="791"/>
    </row>
    <row r="16" spans="1:25" ht="18" customHeight="1">
      <c r="A16" s="792" t="s">
        <v>1865</v>
      </c>
      <c r="B16" s="773" t="s">
        <v>638</v>
      </c>
      <c r="C16" s="793">
        <f ca="1">INDIRECT("'数据-取费表'!m"&amp;$G$1)+INDIRECT("'数据-取费表'!t"&amp;$G$1)</f>
        <v>0</v>
      </c>
      <c r="D16" s="1892" t="s">
        <v>639</v>
      </c>
      <c r="E16" s="1893"/>
      <c r="F16" s="794"/>
      <c r="G16" s="1525"/>
      <c r="H16" s="792" t="s">
        <v>2057</v>
      </c>
      <c r="I16" s="2110" t="s">
        <v>2803</v>
      </c>
      <c r="J16" s="53">
        <f ca="1">C31</f>
        <v>0</v>
      </c>
      <c r="K16" s="26"/>
      <c r="L16" s="790"/>
      <c r="M16" s="791"/>
    </row>
    <row r="17" spans="1:25" s="1946" customFormat="1" ht="18" customHeight="1">
      <c r="A17" s="792" t="s">
        <v>1839</v>
      </c>
      <c r="B17" s="773" t="s">
        <v>640</v>
      </c>
      <c r="C17" s="53">
        <f ca="1">ROUND(C16*F17,0)</f>
        <v>0</v>
      </c>
      <c r="D17" s="795" t="s">
        <v>641</v>
      </c>
      <c r="E17" s="795" t="s">
        <v>642</v>
      </c>
      <c r="F17" s="796">
        <f>'数据-取费表'!B33</f>
        <v>0.03</v>
      </c>
      <c r="G17" s="1526"/>
      <c r="H17" s="792" t="s">
        <v>2058</v>
      </c>
      <c r="I17" s="773" t="s">
        <v>636</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1840</v>
      </c>
      <c r="B18" s="773" t="s">
        <v>643</v>
      </c>
      <c r="C18" s="53">
        <f ca="1">ROUND(INDIRECT("'数据-取费表'!m"&amp;$G$1)*F18,0)</f>
        <v>0</v>
      </c>
      <c r="D18" s="773" t="s">
        <v>641</v>
      </c>
      <c r="E18" s="773" t="s">
        <v>642</v>
      </c>
      <c r="F18" s="798">
        <f ca="1">IF(INDIRECT("'数据-取费表'!c"&amp;$G$1)="住宅",'数据-取费表'!B34,0)</f>
        <v>0</v>
      </c>
      <c r="G18" s="1525"/>
      <c r="H18" s="786" t="s">
        <v>1817</v>
      </c>
      <c r="I18" s="787" t="s">
        <v>644</v>
      </c>
      <c r="J18" s="788">
        <f ca="1">ROUND(J19+J24+J25+J26,0)</f>
        <v>0</v>
      </c>
      <c r="K18" s="26" t="s">
        <v>645</v>
      </c>
      <c r="L18" s="1895"/>
      <c r="M18" s="56"/>
    </row>
    <row r="19" spans="1:25" s="1946" customFormat="1" ht="18" customHeight="1">
      <c r="A19" s="792" t="s">
        <v>1841</v>
      </c>
      <c r="B19" s="773" t="s">
        <v>646</v>
      </c>
      <c r="C19" s="53">
        <f ca="1">ROUND(F19*(INDIRECT("'数据-取费表'!k"&amp;$G$1)+INDIRECT("'数据-取费表'!S"&amp;$G$1))/10000,0)</f>
        <v>0</v>
      </c>
      <c r="D19" s="773" t="s">
        <v>647</v>
      </c>
      <c r="E19" s="773" t="s">
        <v>648</v>
      </c>
      <c r="F19" s="56">
        <f>'数据-取费表'!B35</f>
        <v>200</v>
      </c>
      <c r="G19" s="1526"/>
      <c r="H19" s="792" t="s">
        <v>2057</v>
      </c>
      <c r="I19" s="773" t="s">
        <v>649</v>
      </c>
      <c r="J19" s="3017">
        <f ca="1">ROUND(IF(AND(项目基本情况!B11="自然人",项目基本情况!B10="北京市"),J8*M19/(1+'数据-取费表'!C42),J20+J21+J22),0)</f>
        <v>0</v>
      </c>
      <c r="K19" s="1892" t="s">
        <v>650</v>
      </c>
      <c r="L19" s="1890" t="s">
        <v>651</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1842</v>
      </c>
      <c r="B20" s="773" t="s">
        <v>652</v>
      </c>
      <c r="C20" s="53">
        <f ca="1">ROUND(C16*F20,0)</f>
        <v>0</v>
      </c>
      <c r="D20" s="773" t="s">
        <v>641</v>
      </c>
      <c r="E20" s="773" t="s">
        <v>642</v>
      </c>
      <c r="F20" s="798">
        <f>'数据-取费表'!B36</f>
        <v>1.4999999999999999E-2</v>
      </c>
      <c r="G20" s="1526"/>
      <c r="H20" s="792" t="s">
        <v>1821</v>
      </c>
      <c r="I20" s="773" t="s">
        <v>653</v>
      </c>
      <c r="J20" s="53">
        <f ca="1">ROUND(J8*M20/(1+'数据-取费表'!C42),1)</f>
        <v>0</v>
      </c>
      <c r="K20" s="1890" t="s">
        <v>654</v>
      </c>
      <c r="L20" s="773" t="s">
        <v>642</v>
      </c>
      <c r="M20" s="798">
        <f>'数据-取费表'!B41</f>
        <v>5.6000000000000001E-2</v>
      </c>
      <c r="N20" s="1945"/>
      <c r="O20" s="1945"/>
      <c r="P20" s="1945"/>
      <c r="Q20" s="1945"/>
      <c r="R20" s="1945"/>
      <c r="S20" s="1945"/>
      <c r="T20" s="1945"/>
      <c r="U20" s="1945"/>
      <c r="V20" s="1945"/>
      <c r="W20" s="1945"/>
      <c r="X20" s="1945"/>
      <c r="Y20" s="1945"/>
    </row>
    <row r="21" spans="1:25" ht="18" customHeight="1">
      <c r="A21" s="792" t="s">
        <v>1866</v>
      </c>
      <c r="B21" s="773" t="s">
        <v>655</v>
      </c>
      <c r="C21" s="53">
        <f ca="1">SUM(C16:C20)</f>
        <v>0</v>
      </c>
      <c r="D21" s="258" t="s">
        <v>656</v>
      </c>
      <c r="E21" s="1895"/>
      <c r="F21" s="56"/>
      <c r="G21" s="1525"/>
      <c r="H21" s="1744" t="s">
        <v>1839</v>
      </c>
      <c r="I21" s="773" t="s">
        <v>657</v>
      </c>
      <c r="J21" s="53">
        <f ca="1">IF(K21="按租金收入计税",ROUND(J8*M21/(1+'数据-取费表'!C42),1),ROUND(C31*F35*0.7,1))</f>
        <v>0</v>
      </c>
      <c r="K21" s="799" t="s">
        <v>658</v>
      </c>
      <c r="L21" s="773" t="s">
        <v>642</v>
      </c>
      <c r="M21" s="798">
        <f>IF(K21="按租金收入计税",'数据-取费表'!B51,'数据-取费表'!B50)</f>
        <v>1.2E-2</v>
      </c>
    </row>
    <row r="22" spans="1:25" s="1946" customFormat="1" ht="18" customHeight="1">
      <c r="A22" s="792" t="s">
        <v>1867</v>
      </c>
      <c r="B22" s="773" t="s">
        <v>659</v>
      </c>
      <c r="C22" s="53">
        <f ca="1">ROUND(C21*F22,0)</f>
        <v>0</v>
      </c>
      <c r="D22" s="800" t="s">
        <v>660</v>
      </c>
      <c r="E22" s="773" t="s">
        <v>642</v>
      </c>
      <c r="F22" s="798">
        <f>'数据-取费表'!B37</f>
        <v>0.02</v>
      </c>
      <c r="G22" s="1526"/>
      <c r="H22" s="1746" t="s">
        <v>1840</v>
      </c>
      <c r="I22" s="1736" t="s">
        <v>661</v>
      </c>
      <c r="J22" s="54">
        <f ca="1">ROUND(M22*M23/10000,0)</f>
        <v>0</v>
      </c>
      <c r="K22" s="802" t="s">
        <v>662</v>
      </c>
      <c r="L22" s="773" t="s">
        <v>663</v>
      </c>
      <c r="M22" s="631">
        <f>'数据-取费表'!B52</f>
        <v>1.5</v>
      </c>
      <c r="N22" s="1945"/>
      <c r="O22" s="1945"/>
      <c r="P22" s="1945"/>
      <c r="Q22" s="1945"/>
      <c r="R22" s="1945"/>
      <c r="S22" s="1945"/>
      <c r="T22" s="1945"/>
      <c r="U22" s="1945"/>
      <c r="V22" s="1945"/>
      <c r="W22" s="1945"/>
      <c r="X22" s="1945"/>
      <c r="Y22" s="1945"/>
    </row>
    <row r="23" spans="1:25" s="1946" customFormat="1" ht="18" customHeight="1">
      <c r="A23" s="792" t="s">
        <v>1868</v>
      </c>
      <c r="B23" s="773" t="s">
        <v>664</v>
      </c>
      <c r="C23" s="53" t="s">
        <v>1</v>
      </c>
      <c r="D23" s="800" t="s">
        <v>665</v>
      </c>
      <c r="E23" s="773" t="s">
        <v>666</v>
      </c>
      <c r="F23" s="798">
        <f>'数据-取费表'!B38</f>
        <v>0.02</v>
      </c>
      <c r="G23" s="1526"/>
      <c r="H23" s="1747"/>
      <c r="I23" s="1738"/>
      <c r="J23" s="69"/>
      <c r="K23" s="804"/>
      <c r="L23" s="773" t="s">
        <v>667</v>
      </c>
      <c r="M23" s="774">
        <f ca="1">INDIRECT("'数据-取费表'!r"&amp;$G$1)</f>
        <v>0</v>
      </c>
      <c r="N23" s="1945"/>
      <c r="O23" s="1945"/>
      <c r="P23" s="1945"/>
      <c r="Q23" s="1945"/>
      <c r="R23" s="1945"/>
      <c r="S23" s="1945"/>
      <c r="T23" s="1945"/>
      <c r="U23" s="1945"/>
      <c r="V23" s="1945"/>
      <c r="W23" s="1945"/>
      <c r="X23" s="1945"/>
      <c r="Y23" s="1945"/>
    </row>
    <row r="24" spans="1:25" ht="18" customHeight="1">
      <c r="A24" s="792" t="s">
        <v>1869</v>
      </c>
      <c r="B24" s="773" t="s">
        <v>668</v>
      </c>
      <c r="C24" s="53"/>
      <c r="D24" s="2423" t="str">
        <f>IF(F25&lt;=1,"单利计息。","复利计息。")&amp;"建造成本、管理费用、销售费用产生的利息。"</f>
        <v>复利计息。建造成本、管理费用、销售费用产生的利息。</v>
      </c>
      <c r="E24" s="1895"/>
      <c r="F24" s="56"/>
      <c r="G24" s="1525"/>
      <c r="H24" s="1745" t="s">
        <v>2058</v>
      </c>
      <c r="I24" s="773" t="s">
        <v>669</v>
      </c>
      <c r="J24" s="53">
        <f ca="1">ROUND(J16*M24,0)</f>
        <v>0</v>
      </c>
      <c r="K24" s="1890" t="s">
        <v>670</v>
      </c>
      <c r="L24" s="773" t="s">
        <v>642</v>
      </c>
      <c r="M24" s="805">
        <f ca="1">INDIRECT("'数据-取费表'!Ak"&amp;$G$1)</f>
        <v>0</v>
      </c>
    </row>
    <row r="25" spans="1:25" s="1946" customFormat="1" ht="18" customHeight="1">
      <c r="A25" s="792" t="s">
        <v>1865</v>
      </c>
      <c r="B25" s="773" t="s">
        <v>2420</v>
      </c>
      <c r="C25" s="53">
        <f ca="1">ROUND(IF('数据-取费表'!B22&lt;=1,(C21+C22)*F26*F25/2,(C21+C22)*(POWER((1+F26),F25/2)-1)),0)</f>
        <v>0</v>
      </c>
      <c r="D25" s="2422" t="str">
        <f>IF(F25&lt;=1,"(建造成本+管理费用)×利率×(建设周期÷2)","(建造成本+管理费用)×((1+利率)^(建设周期÷2)-1)")</f>
        <v>(建造成本+管理费用)×((1+利率)^(建设周期÷2)-1)</v>
      </c>
      <c r="E25" s="773" t="s">
        <v>671</v>
      </c>
      <c r="F25" s="631">
        <f>'数据-取费表'!B20</f>
        <v>2</v>
      </c>
      <c r="G25" s="1526"/>
      <c r="H25" s="792" t="s">
        <v>1868</v>
      </c>
      <c r="I25" s="773" t="s">
        <v>672</v>
      </c>
      <c r="J25" s="53">
        <f ca="1">ROUND(J15*M25,0)</f>
        <v>0</v>
      </c>
      <c r="K25" s="1890" t="s">
        <v>673</v>
      </c>
      <c r="L25" s="773" t="s">
        <v>642</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1839</v>
      </c>
      <c r="B26" s="773" t="s">
        <v>674</v>
      </c>
      <c r="C26" s="53">
        <f ca="1">ROUND(IF('数据-取费表'!B22&lt;=1,F23*F26*F25/2,F23*(POWER((1+F26),F25/2)-1)),4)</f>
        <v>1E-3</v>
      </c>
      <c r="D26" s="2422" t="str">
        <f>IF(F25&lt;=1,"销售费用×利率×(建设周期÷2)","销售费用×((1+利率)^(建设周期÷2)-1)")</f>
        <v>销售费用×((1+利率)^(建设周期÷2)-1)</v>
      </c>
      <c r="E26" s="773" t="s">
        <v>675</v>
      </c>
      <c r="F26" s="807">
        <f ca="1">'数据-取费表'!B40</f>
        <v>4.7500000000000001E-2</v>
      </c>
      <c r="G26" s="1526"/>
      <c r="H26" s="792" t="s">
        <v>1869</v>
      </c>
      <c r="I26" s="773" t="s">
        <v>659</v>
      </c>
      <c r="J26" s="53">
        <f ca="1">ROUND(J7*M26,0)</f>
        <v>0</v>
      </c>
      <c r="K26" s="1890" t="s">
        <v>676</v>
      </c>
      <c r="L26" s="773" t="s">
        <v>642</v>
      </c>
      <c r="M26" s="783">
        <f ca="1">INDIRECT("'数据-取费表'!Am"&amp;$G$1)</f>
        <v>0</v>
      </c>
      <c r="N26" s="1945"/>
      <c r="O26" s="1945"/>
      <c r="P26" s="1945"/>
      <c r="Q26" s="1945"/>
      <c r="R26" s="1945"/>
      <c r="S26" s="1945"/>
      <c r="T26" s="1945"/>
      <c r="U26" s="1945"/>
      <c r="V26" s="1945"/>
      <c r="W26" s="1945"/>
      <c r="X26" s="1945"/>
      <c r="Y26" s="1945"/>
    </row>
    <row r="27" spans="1:25" ht="18" customHeight="1">
      <c r="A27" s="792" t="s">
        <v>1871</v>
      </c>
      <c r="B27" s="773" t="s">
        <v>677</v>
      </c>
      <c r="C27" s="53"/>
      <c r="D27" s="258" t="s">
        <v>678</v>
      </c>
      <c r="E27" s="1895"/>
      <c r="F27" s="56"/>
      <c r="G27" s="1525"/>
      <c r="H27" s="786" t="s">
        <v>1818</v>
      </c>
      <c r="I27" s="2722" t="s">
        <v>2800</v>
      </c>
      <c r="J27" s="788">
        <f ca="1">J7-J18</f>
        <v>0</v>
      </c>
      <c r="K27" s="1892" t="s">
        <v>693</v>
      </c>
      <c r="L27" s="1894"/>
      <c r="M27" s="808"/>
    </row>
    <row r="28" spans="1:25" ht="18" customHeight="1">
      <c r="A28" s="792" t="s">
        <v>1865</v>
      </c>
      <c r="B28" s="773" t="s">
        <v>2421</v>
      </c>
      <c r="C28" s="53">
        <f ca="1">ROUND((C21+C22)*F28,0)</f>
        <v>0</v>
      </c>
      <c r="D28" s="800" t="s">
        <v>694</v>
      </c>
      <c r="E28" s="784" t="s">
        <v>695</v>
      </c>
      <c r="F28" s="783">
        <f ca="1">INDIRECT("'数据-取费表'!q"&amp;$G$1)</f>
        <v>0</v>
      </c>
      <c r="G28" s="1525"/>
      <c r="H28" s="770" t="s">
        <v>1827</v>
      </c>
      <c r="I28" s="771" t="s">
        <v>696</v>
      </c>
      <c r="J28" s="772">
        <f ca="1">IF(J7&lt;&gt;0,ROUND(J27*(1-((1+M30)/(1+M28))^M29)/(M28-M30),0),0)</f>
        <v>0</v>
      </c>
      <c r="K28" s="802" t="s">
        <v>697</v>
      </c>
      <c r="L28" s="773" t="s">
        <v>698</v>
      </c>
      <c r="M28" s="783">
        <f ca="1">INDIRECT("'数据-取费表'!I"&amp;$G$1)</f>
        <v>0</v>
      </c>
    </row>
    <row r="29" spans="1:25" ht="18" customHeight="1">
      <c r="A29" s="792" t="s">
        <v>1839</v>
      </c>
      <c r="B29" s="773" t="s">
        <v>679</v>
      </c>
      <c r="C29" s="53">
        <f ca="1">ROUND(F23*F28,4)</f>
        <v>0</v>
      </c>
      <c r="D29" s="800" t="s">
        <v>699</v>
      </c>
      <c r="E29" s="795"/>
      <c r="F29" s="796"/>
      <c r="G29" s="1525"/>
      <c r="H29" s="775"/>
      <c r="I29" s="776"/>
      <c r="J29" s="777"/>
      <c r="K29" s="809" t="s">
        <v>700</v>
      </c>
      <c r="L29" s="773" t="s">
        <v>701</v>
      </c>
      <c r="M29" s="810">
        <f ca="1">INDIRECT("'数据-取费表'!ag"&amp;$G$1)</f>
        <v>0</v>
      </c>
    </row>
    <row r="30" spans="1:25" s="1946" customFormat="1" ht="18" customHeight="1">
      <c r="A30" s="792" t="s">
        <v>1872</v>
      </c>
      <c r="B30" s="773" t="s">
        <v>680</v>
      </c>
      <c r="C30" s="53">
        <f>ROUND(F30/(1+'数据-取费表'!C42),4)</f>
        <v>5.33E-2</v>
      </c>
      <c r="D30" s="800" t="s">
        <v>702</v>
      </c>
      <c r="E30" s="773" t="s">
        <v>642</v>
      </c>
      <c r="F30" s="798">
        <f>'数据-取费表'!B41</f>
        <v>5.6000000000000001E-2</v>
      </c>
      <c r="G30" s="1526"/>
      <c r="H30" s="779"/>
      <c r="I30" s="780"/>
      <c r="J30" s="781"/>
      <c r="K30" s="804"/>
      <c r="L30" s="773" t="s">
        <v>703</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2801</v>
      </c>
      <c r="C31" s="2396">
        <f ca="1">ROUND((C21+C22+C25+C28)/(1-F23-C26-C29-C30),0)</f>
        <v>0</v>
      </c>
      <c r="D31" s="2397"/>
      <c r="E31" s="2398"/>
      <c r="F31" s="2399"/>
      <c r="G31" s="1526"/>
      <c r="H31" s="811" t="s">
        <v>1862</v>
      </c>
      <c r="I31" s="2723" t="s">
        <v>2802</v>
      </c>
      <c r="J31" s="813">
        <f ca="1">ROUND(J28/(1+F45)^F46,0)</f>
        <v>0</v>
      </c>
      <c r="K31" s="814" t="s">
        <v>681</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682</v>
      </c>
      <c r="C32" s="781">
        <f ca="1">ROUND(C33+C38+C39+C40,0)</f>
        <v>0</v>
      </c>
      <c r="D32" s="1735" t="s">
        <v>645</v>
      </c>
      <c r="E32" s="2339"/>
      <c r="F32" s="2343"/>
      <c r="G32" s="1944"/>
      <c r="H32" s="1947"/>
      <c r="I32" s="1948"/>
      <c r="J32" s="1949"/>
      <c r="K32" s="1950"/>
      <c r="L32" s="1951"/>
      <c r="M32" s="1952"/>
    </row>
    <row r="33" spans="1:18" ht="18" customHeight="1">
      <c r="A33" s="792" t="s">
        <v>1866</v>
      </c>
      <c r="B33" s="773" t="s">
        <v>649</v>
      </c>
      <c r="C33" s="3017">
        <f ca="1">ROUND(IF(AND(项目基本情况!B11="自然人",项目基本情况!B10="北京市"),C8*F33/(1+'数据-取费表'!C42),C34+C35+C36),0)</f>
        <v>0</v>
      </c>
      <c r="D33" s="1892" t="s">
        <v>650</v>
      </c>
      <c r="E33" s="1890" t="s">
        <v>683</v>
      </c>
      <c r="F33" s="3016" t="str">
        <f>IF(项目基本情况!B11="企业","——",IF('数据-取费表'!B10="住宅",IF(F8*F9*F10/12/(1+'数据-取费表'!F30)&gt;100000,4%,2.5%),IF(F8*F9*F10/12/(1+'数据-取费表'!F30)&gt;100000,12%,7%)))</f>
        <v>——</v>
      </c>
      <c r="G33" s="1944"/>
      <c r="H33" s="3256" t="s">
        <v>2995</v>
      </c>
      <c r="I33" s="1948"/>
      <c r="J33" s="1949"/>
      <c r="K33" s="1950"/>
      <c r="L33" s="1951"/>
      <c r="M33" s="1952"/>
    </row>
    <row r="34" spans="1:18" ht="18" customHeight="1">
      <c r="A34" s="792" t="s">
        <v>1865</v>
      </c>
      <c r="B34" s="773" t="s">
        <v>653</v>
      </c>
      <c r="C34" s="53">
        <f ca="1">ROUND(C8*F34/(1+'数据-取费表'!C42),1)</f>
        <v>0</v>
      </c>
      <c r="D34" s="1890" t="s">
        <v>654</v>
      </c>
      <c r="E34" s="773" t="s">
        <v>642</v>
      </c>
      <c r="F34" s="798">
        <f>'数据-取费表'!B41</f>
        <v>5.6000000000000001E-2</v>
      </c>
      <c r="G34" s="1944"/>
      <c r="H34" s="1953"/>
      <c r="I34" s="1954"/>
      <c r="J34" s="1955"/>
      <c r="K34" s="1956"/>
      <c r="L34" s="1957"/>
      <c r="M34" s="1958"/>
    </row>
    <row r="35" spans="1:18" ht="18" customHeight="1">
      <c r="A35" s="792" t="s">
        <v>1839</v>
      </c>
      <c r="B35" s="773" t="s">
        <v>657</v>
      </c>
      <c r="C35" s="53">
        <f ca="1">IF(D35="按租金收入计税",ROUND(C8*F35/(1+'数据-取费表'!C42),1),IF(D35="按房产原值计税",ROUND(C31*F35*0.7,1),INDIRECT("'数据-取费表'!Aj"&amp;$G$1)))</f>
        <v>0</v>
      </c>
      <c r="D35" s="799" t="s">
        <v>1670</v>
      </c>
      <c r="E35" s="773" t="s">
        <v>642</v>
      </c>
      <c r="F35" s="798">
        <f>IF(D35="按租金收入计税",'数据-取费表'!B51,'数据-取费表'!B50)</f>
        <v>1.2E-2</v>
      </c>
      <c r="G35" s="1944"/>
      <c r="H35" s="1959"/>
      <c r="I35" s="1959"/>
      <c r="J35" s="1959"/>
      <c r="K35" s="1960"/>
      <c r="L35" s="1959"/>
      <c r="M35" s="1959"/>
    </row>
    <row r="36" spans="1:18" ht="18" customHeight="1">
      <c r="A36" s="801" t="s">
        <v>1870</v>
      </c>
      <c r="B36" s="338" t="s">
        <v>661</v>
      </c>
      <c r="C36" s="54">
        <f ca="1">ROUND(F36*F37/10000,1)</f>
        <v>0</v>
      </c>
      <c r="D36" s="802" t="s">
        <v>662</v>
      </c>
      <c r="E36" s="773" t="s">
        <v>663</v>
      </c>
      <c r="F36" s="631">
        <f>'数据-取费表'!B52</f>
        <v>1.5</v>
      </c>
      <c r="G36" s="1944"/>
      <c r="H36" s="1947"/>
      <c r="I36" s="3644"/>
      <c r="J36" s="1961"/>
      <c r="K36" s="1962"/>
      <c r="L36" s="1961"/>
      <c r="M36" s="1961"/>
    </row>
    <row r="37" spans="1:18" ht="18" customHeight="1">
      <c r="A37" s="803"/>
      <c r="B37" s="782"/>
      <c r="C37" s="69"/>
      <c r="D37" s="804"/>
      <c r="E37" s="773" t="s">
        <v>667</v>
      </c>
      <c r="F37" s="774">
        <f ca="1">INDIRECT("'数据-取费表'!r"&amp;$G$1)</f>
        <v>0</v>
      </c>
      <c r="G37" s="1944"/>
      <c r="H37" s="1947"/>
      <c r="I37" s="3644"/>
      <c r="J37" s="1959"/>
      <c r="K37" s="1960"/>
      <c r="L37" s="1959"/>
      <c r="M37" s="1959"/>
    </row>
    <row r="38" spans="1:18" ht="18" customHeight="1">
      <c r="A38" s="792" t="s">
        <v>1867</v>
      </c>
      <c r="B38" s="773" t="s">
        <v>669</v>
      </c>
      <c r="C38" s="53">
        <f ca="1">ROUND(C31*F38,1)</f>
        <v>0</v>
      </c>
      <c r="D38" s="1890" t="s">
        <v>684</v>
      </c>
      <c r="E38" s="773" t="s">
        <v>642</v>
      </c>
      <c r="F38" s="805">
        <f ca="1">INDIRECT("'数据-取费表'!Ak"&amp;$G$1)</f>
        <v>0</v>
      </c>
      <c r="G38" s="1944"/>
      <c r="H38" s="1959"/>
      <c r="I38" s="3020"/>
      <c r="J38" s="1899"/>
      <c r="K38" s="1963"/>
      <c r="L38" s="1959"/>
      <c r="M38" s="1959"/>
    </row>
    <row r="39" spans="1:18" ht="18" customHeight="1">
      <c r="A39" s="792" t="s">
        <v>1868</v>
      </c>
      <c r="B39" s="773" t="s">
        <v>672</v>
      </c>
      <c r="C39" s="53">
        <f ca="1">ROUND(C15*F39,1)</f>
        <v>0</v>
      </c>
      <c r="D39" s="1890" t="s">
        <v>673</v>
      </c>
      <c r="E39" s="773" t="s">
        <v>642</v>
      </c>
      <c r="F39" s="806">
        <f ca="1">INDIRECT("'数据-取费表'!Al"&amp;$G$1)</f>
        <v>0</v>
      </c>
      <c r="G39" s="1944"/>
      <c r="H39" s="1959"/>
      <c r="I39" s="3020"/>
      <c r="J39" s="1899"/>
      <c r="K39" s="1963"/>
      <c r="L39" s="1959"/>
      <c r="M39" s="1959"/>
    </row>
    <row r="40" spans="1:18" ht="18" customHeight="1" thickBot="1">
      <c r="A40" s="2412" t="s">
        <v>1869</v>
      </c>
      <c r="B40" s="2398" t="s">
        <v>659</v>
      </c>
      <c r="C40" s="2396">
        <f ca="1">ROUND(C7*F40,1)</f>
        <v>0</v>
      </c>
      <c r="D40" s="2397" t="s">
        <v>676</v>
      </c>
      <c r="E40" s="2398" t="s">
        <v>642</v>
      </c>
      <c r="F40" s="2394">
        <f ca="1">INDIRECT("'数据-取费表'!Am"&amp;$G$1)</f>
        <v>0</v>
      </c>
      <c r="G40" s="1944"/>
      <c r="H40" s="1959"/>
      <c r="I40" s="3020"/>
      <c r="J40" s="1899"/>
      <c r="K40" s="1964"/>
      <c r="L40" s="1959"/>
      <c r="M40" s="1959"/>
    </row>
    <row r="41" spans="1:18" ht="18" customHeight="1" thickTop="1">
      <c r="A41" s="1743">
        <v>4</v>
      </c>
      <c r="B41" s="1741" t="s">
        <v>685</v>
      </c>
      <c r="C41" s="1305"/>
      <c r="D41" s="1306"/>
      <c r="E41" s="1306"/>
      <c r="F41" s="1307"/>
      <c r="G41" s="1944"/>
      <c r="H41" s="1944"/>
      <c r="I41" s="1944"/>
      <c r="J41" s="1944"/>
      <c r="K41" s="1964"/>
      <c r="L41" s="1944"/>
      <c r="M41" s="1944"/>
    </row>
    <row r="42" spans="1:18" ht="18" customHeight="1">
      <c r="A42" s="792" t="s">
        <v>1866</v>
      </c>
      <c r="B42" s="823" t="s">
        <v>686</v>
      </c>
      <c r="C42" s="817">
        <f ca="1">C7-C32</f>
        <v>0</v>
      </c>
      <c r="D42" s="1892" t="s">
        <v>687</v>
      </c>
      <c r="E42" s="1894"/>
      <c r="F42" s="808"/>
      <c r="G42" s="1944"/>
      <c r="H42" s="1944"/>
      <c r="I42" s="1944"/>
      <c r="J42" s="1944"/>
      <c r="K42" s="1964"/>
      <c r="L42" s="1944"/>
      <c r="M42" s="1944"/>
    </row>
    <row r="43" spans="1:18" ht="18" customHeight="1">
      <c r="A43" s="792" t="s">
        <v>1867</v>
      </c>
      <c r="B43" s="823" t="s">
        <v>704</v>
      </c>
      <c r="C43" s="824">
        <f ca="1">ROUND(C15*F43,0)</f>
        <v>0</v>
      </c>
      <c r="D43" s="1308" t="s">
        <v>705</v>
      </c>
      <c r="E43" s="2793" t="s">
        <v>2926</v>
      </c>
      <c r="F43" s="2794">
        <f ca="1">INDIRECT("'数据-取费表'!j"&amp;$G$1)</f>
        <v>0</v>
      </c>
      <c r="G43" s="1944"/>
      <c r="H43" s="1944"/>
      <c r="I43" s="1944"/>
      <c r="J43" s="1944"/>
      <c r="K43" s="1964"/>
      <c r="L43" s="1944"/>
      <c r="M43" s="1944"/>
    </row>
    <row r="44" spans="1:18" ht="18" customHeight="1">
      <c r="A44" s="792" t="s">
        <v>1868</v>
      </c>
      <c r="B44" s="823" t="s">
        <v>706</v>
      </c>
      <c r="C44" s="1309">
        <f ca="1">C42-C43</f>
        <v>0</v>
      </c>
      <c r="D44" s="456" t="s">
        <v>707</v>
      </c>
      <c r="E44" s="457"/>
      <c r="F44" s="458"/>
      <c r="G44" s="1944"/>
      <c r="H44" s="1944"/>
      <c r="I44" s="1944"/>
      <c r="J44" s="1944"/>
      <c r="K44" s="1964"/>
      <c r="L44" s="1944"/>
      <c r="M44" s="1944"/>
    </row>
    <row r="45" spans="1:18" ht="18" customHeight="1">
      <c r="A45" s="792" t="s">
        <v>1869</v>
      </c>
      <c r="B45" s="1308" t="s">
        <v>708</v>
      </c>
      <c r="C45" s="2749">
        <f ca="1">ROUND(-PV(F45,F46,C44,0),0)</f>
        <v>0</v>
      </c>
      <c r="D45" s="1310" t="s">
        <v>709</v>
      </c>
      <c r="E45" s="795" t="s">
        <v>710</v>
      </c>
      <c r="F45" s="818">
        <f ca="1">INDIRECT("'数据-取费表'!h"&amp;$G$1)</f>
        <v>0</v>
      </c>
      <c r="G45" s="1944"/>
      <c r="H45" s="1944"/>
      <c r="I45" s="1944"/>
      <c r="J45" s="1944"/>
      <c r="K45" s="1964"/>
      <c r="L45" s="1944"/>
      <c r="M45" s="1944"/>
    </row>
    <row r="46" spans="1:18" ht="18" customHeight="1" thickBot="1">
      <c r="A46" s="819"/>
      <c r="B46" s="1311"/>
      <c r="C46" s="1312"/>
      <c r="D46" s="1313"/>
      <c r="E46" s="2795" t="s">
        <v>2929</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09" t="str">
        <f ca="1">IF(M48="住宅",0,IF(L49&gt;J52,L61,J61))</f>
        <v>0</v>
      </c>
      <c r="O47" s="2248" t="s">
        <v>2394</v>
      </c>
      <c r="P47" s="1525"/>
      <c r="Q47" s="1533"/>
      <c r="R47" s="1525"/>
    </row>
    <row r="48" spans="1:18" s="1941" customFormat="1" ht="18" customHeight="1" thickBot="1">
      <c r="A48" s="1965"/>
      <c r="C48" s="1968"/>
      <c r="D48" s="1969"/>
      <c r="E48" s="1969"/>
      <c r="F48" s="1970"/>
      <c r="G48" s="1971"/>
      <c r="I48" s="2800" t="s">
        <v>2328</v>
      </c>
      <c r="J48" s="2235"/>
      <c r="K48" s="2806" t="s">
        <v>2333</v>
      </c>
      <c r="L48" s="2810">
        <f ca="1">INDIRECT("'数据-取费表'!d"&amp;$G$1)</f>
        <v>0</v>
      </c>
      <c r="M48" s="2792"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7" t="s">
        <v>2329</v>
      </c>
      <c r="J49" s="2236"/>
      <c r="K49" s="2807"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7" t="s">
        <v>2330</v>
      </c>
      <c r="J50" s="2237"/>
      <c r="K50" s="2808"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7" t="s">
        <v>2331</v>
      </c>
      <c r="J51" s="2804">
        <f>SUMPRODUCT((I64:I66=J48)*(J63:L63=J49)*(J64:L66))</f>
        <v>0</v>
      </c>
      <c r="K51" s="2808" t="s">
        <v>2337</v>
      </c>
      <c r="L51" s="2238"/>
      <c r="O51" s="2255" t="s">
        <v>2367</v>
      </c>
      <c r="P51" s="2253" t="s">
        <v>2391</v>
      </c>
      <c r="Q51" s="2254">
        <f ca="1">C31</f>
        <v>0</v>
      </c>
      <c r="R51" s="2253" t="s">
        <v>2364</v>
      </c>
    </row>
    <row r="52" spans="1:18" s="1941" customFormat="1" ht="18" customHeight="1" thickBot="1">
      <c r="A52" s="1977"/>
      <c r="F52" s="1966"/>
      <c r="I52" s="2801" t="s">
        <v>2332</v>
      </c>
      <c r="J52" s="2805">
        <f>IF(J50="",J51,J50+J51-YEAR('数据-取费表'!B3))</f>
        <v>0</v>
      </c>
      <c r="K52" s="2797" t="s">
        <v>2338</v>
      </c>
      <c r="L52" s="2811">
        <f ca="1">C45</f>
        <v>0</v>
      </c>
      <c r="O52" s="2255" t="s">
        <v>2368</v>
      </c>
      <c r="P52" s="2253" t="s">
        <v>2369</v>
      </c>
      <c r="Q52" s="2256" t="e">
        <f ca="1">J59</f>
        <v>#VALUE!</v>
      </c>
      <c r="R52" s="2257"/>
    </row>
    <row r="53" spans="1:18" s="1941" customFormat="1" ht="18" customHeight="1" thickBot="1">
      <c r="A53" s="1977"/>
      <c r="F53" s="1966"/>
      <c r="I53" s="2802" t="s">
        <v>2405</v>
      </c>
      <c r="J53" s="2239"/>
      <c r="K53" s="2802" t="s">
        <v>2404</v>
      </c>
      <c r="L53" s="2239"/>
      <c r="O53" s="2255" t="s">
        <v>2370</v>
      </c>
      <c r="P53" s="2253" t="s">
        <v>2371</v>
      </c>
      <c r="Q53" s="2256">
        <f>J53</f>
        <v>0</v>
      </c>
      <c r="R53" s="2257"/>
    </row>
    <row r="54" spans="1:18" s="1941" customFormat="1" ht="29.25" thickBot="1">
      <c r="A54" s="1977"/>
      <c r="I54" s="2803" t="s">
        <v>2941</v>
      </c>
      <c r="J54" s="2856">
        <f ca="1">IF(M48="住宅",MAX(J52,L49-'数据-取费表'!B20),MIN(J52,L49-'数据-取费表'!B20))</f>
        <v>-2</v>
      </c>
      <c r="K54" s="3645"/>
      <c r="L54" s="3646"/>
      <c r="O54" s="2255" t="s">
        <v>2372</v>
      </c>
      <c r="P54" s="2253" t="s">
        <v>2373</v>
      </c>
      <c r="Q54" s="2254">
        <f ca="1">J54</f>
        <v>-2</v>
      </c>
      <c r="R54" s="2253"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2" t="s">
        <v>2375</v>
      </c>
      <c r="P55" s="2253" t="s">
        <v>2392</v>
      </c>
      <c r="Q55" s="2254">
        <f ca="1">Q49+Q50</f>
        <v>0</v>
      </c>
      <c r="R55" s="2257" t="s">
        <v>2376</v>
      </c>
    </row>
    <row r="56" spans="1:18" s="1941" customFormat="1" ht="16.5" thickBot="1">
      <c r="A56" s="1977"/>
      <c r="B56" s="1978"/>
      <c r="C56" s="1978"/>
      <c r="I56" s="2814" t="s">
        <v>2339</v>
      </c>
      <c r="J56" s="2786" t="e">
        <f ca="1">ROUND(IF(J48="钢混",J58/J51,1-(1-2%)*(J51-J58)/J51),3)</f>
        <v>#VALUE!</v>
      </c>
      <c r="K56" s="2815" t="s">
        <v>2340</v>
      </c>
      <c r="L56" s="2240"/>
      <c r="O56" s="2258" t="s">
        <v>2395</v>
      </c>
      <c r="P56" s="1525"/>
      <c r="Q56" s="1533"/>
      <c r="R56" s="1525"/>
    </row>
    <row r="57" spans="1:18" s="1941" customFormat="1" ht="43.5" thickBot="1">
      <c r="A57" s="1977"/>
      <c r="B57" s="1978"/>
      <c r="C57" s="1978"/>
      <c r="I57" s="2816" t="s">
        <v>2341</v>
      </c>
      <c r="J57" s="2826" t="s">
        <v>1668</v>
      </c>
      <c r="K57" s="2797" t="s">
        <v>2346</v>
      </c>
      <c r="L57" s="1821">
        <f ca="1">IF(L49&lt;J52,"——",L49-J52)</f>
        <v>0</v>
      </c>
      <c r="O57" s="2249" t="s">
        <v>2359</v>
      </c>
      <c r="P57" s="2250" t="s">
        <v>2360</v>
      </c>
      <c r="Q57" s="2251" t="s">
        <v>2361</v>
      </c>
      <c r="R57" s="2250" t="s">
        <v>2362</v>
      </c>
    </row>
    <row r="58" spans="1:18" s="1941" customFormat="1" ht="29.25" thickBot="1">
      <c r="A58" s="1977"/>
      <c r="B58" s="1978"/>
      <c r="C58" s="1978"/>
      <c r="I58" s="2817" t="s">
        <v>2342</v>
      </c>
      <c r="J58" s="2818" t="str">
        <f ca="1">IF(OR(M48="住宅",J52&lt;L49,J57="是"),"——",J52-L49)</f>
        <v>——</v>
      </c>
      <c r="K58" s="2797"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7" t="s">
        <v>2343</v>
      </c>
      <c r="J59" s="2787" t="e">
        <f ca="1">IF(J56&lt;0.4,0.4,J56)</f>
        <v>#VALUE!</v>
      </c>
      <c r="K59" s="2797"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19" t="s">
        <v>2345</v>
      </c>
      <c r="J61" s="2820" t="str">
        <f ca="1">IF(OR(M48="住宅",J52&lt;L49,J57="是"),"0",ROUND(J60/(1+J53)^J54,0))</f>
        <v>0</v>
      </c>
      <c r="K61" s="2821" t="s">
        <v>2350</v>
      </c>
      <c r="L61" s="2820"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2" t="s">
        <v>2351</v>
      </c>
      <c r="J63" s="2823" t="s">
        <v>2352</v>
      </c>
      <c r="K63" s="2823" t="s">
        <v>2353</v>
      </c>
      <c r="L63" s="2823" t="s">
        <v>2334</v>
      </c>
      <c r="M63" s="2824" t="s">
        <v>2909</v>
      </c>
      <c r="O63" s="2255" t="s">
        <v>2372</v>
      </c>
      <c r="P63" s="2253" t="s">
        <v>2380</v>
      </c>
      <c r="Q63" s="2254">
        <f ca="1">L60</f>
        <v>0</v>
      </c>
      <c r="R63" s="2257" t="s">
        <v>2381</v>
      </c>
    </row>
    <row r="64" spans="1:18" s="1941" customFormat="1" ht="15.75" thickBot="1">
      <c r="A64" s="1977"/>
      <c r="B64" s="1978"/>
      <c r="C64" s="1978"/>
      <c r="I64" s="2822" t="s">
        <v>2354</v>
      </c>
      <c r="J64" s="2823">
        <v>70</v>
      </c>
      <c r="K64" s="2823">
        <v>50</v>
      </c>
      <c r="L64" s="2823">
        <v>80</v>
      </c>
      <c r="M64" s="2825">
        <v>0.02</v>
      </c>
      <c r="O64" s="2252" t="s">
        <v>2375</v>
      </c>
      <c r="P64" s="2253" t="s">
        <v>2392</v>
      </c>
      <c r="Q64" s="2254" t="e">
        <f ca="1">Q58+Q59</f>
        <v>#DIV/0!</v>
      </c>
      <c r="R64" s="2257" t="s">
        <v>2376</v>
      </c>
    </row>
    <row r="65" spans="1:18" s="1941" customFormat="1" ht="16.5" thickBot="1">
      <c r="A65" s="1977"/>
      <c r="B65" s="1978"/>
      <c r="C65" s="1978"/>
      <c r="I65" s="2822" t="s">
        <v>2355</v>
      </c>
      <c r="J65" s="2823">
        <v>50</v>
      </c>
      <c r="K65" s="2823">
        <v>35</v>
      </c>
      <c r="L65" s="2823">
        <v>60</v>
      </c>
      <c r="M65" s="834">
        <v>0</v>
      </c>
      <c r="O65" s="2258" t="s">
        <v>2399</v>
      </c>
      <c r="P65" s="1525"/>
      <c r="Q65" s="1533"/>
      <c r="R65" s="1525"/>
    </row>
    <row r="66" spans="1:18" s="1941" customFormat="1" ht="15.75" thickBot="1">
      <c r="A66" s="1977"/>
      <c r="B66" s="1978"/>
      <c r="C66" s="1978"/>
      <c r="I66" s="2822" t="s">
        <v>2356</v>
      </c>
      <c r="J66" s="2823">
        <v>40</v>
      </c>
      <c r="K66" s="2823">
        <v>30</v>
      </c>
      <c r="L66" s="2823">
        <v>50</v>
      </c>
      <c r="M66" s="2825">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7" t="s">
        <v>2452</v>
      </c>
      <c r="B1" s="3648"/>
      <c r="C1" s="3649"/>
      <c r="D1" s="3650">
        <f>SUM(I10,I15,I20,I21,I23)</f>
        <v>0</v>
      </c>
      <c r="E1" s="3650"/>
      <c r="F1" s="3650"/>
      <c r="G1" s="3650"/>
      <c r="H1" s="3650"/>
      <c r="I1" s="3651"/>
    </row>
    <row r="2" spans="1:9">
      <c r="A2" s="3652" t="s">
        <v>2453</v>
      </c>
      <c r="B2" s="3653" t="s">
        <v>2454</v>
      </c>
      <c r="C2" s="3653"/>
      <c r="D2" s="2359" t="s">
        <v>2455</v>
      </c>
      <c r="E2" s="2359" t="s">
        <v>2456</v>
      </c>
      <c r="F2" s="2359" t="s">
        <v>2457</v>
      </c>
      <c r="G2" s="2359" t="s">
        <v>2458</v>
      </c>
      <c r="H2" s="2359" t="s">
        <v>2459</v>
      </c>
      <c r="I2" s="2360" t="s">
        <v>2460</v>
      </c>
    </row>
    <row r="3" spans="1:9">
      <c r="A3" s="3652"/>
      <c r="B3" s="3653" t="s">
        <v>2461</v>
      </c>
      <c r="C3" s="3653"/>
      <c r="D3" s="2361"/>
      <c r="E3" s="2359"/>
      <c r="F3" s="2362"/>
      <c r="G3" s="2362"/>
      <c r="H3" s="2363"/>
      <c r="I3" s="2364">
        <f>ROUND(D3*E3*F3*G3*H3/10000,0)</f>
        <v>0</v>
      </c>
    </row>
    <row r="4" spans="1:9">
      <c r="A4" s="3652"/>
      <c r="B4" s="3653" t="s">
        <v>2462</v>
      </c>
      <c r="C4" s="3653"/>
      <c r="D4" s="2361"/>
      <c r="E4" s="2359"/>
      <c r="F4" s="2362"/>
      <c r="G4" s="2362"/>
      <c r="H4" s="2363"/>
      <c r="I4" s="2364">
        <f t="shared" ref="I4:I9" si="0">ROUND(D4*E4*F4*G4*H4/10000,0)</f>
        <v>0</v>
      </c>
    </row>
    <row r="5" spans="1:9">
      <c r="A5" s="3652"/>
      <c r="B5" s="3653" t="s">
        <v>2463</v>
      </c>
      <c r="C5" s="3653"/>
      <c r="D5" s="2361"/>
      <c r="E5" s="2359"/>
      <c r="F5" s="2362"/>
      <c r="G5" s="2362"/>
      <c r="H5" s="2363"/>
      <c r="I5" s="2364">
        <f t="shared" si="0"/>
        <v>0</v>
      </c>
    </row>
    <row r="6" spans="1:9">
      <c r="A6" s="3652"/>
      <c r="B6" s="3653" t="s">
        <v>2464</v>
      </c>
      <c r="C6" s="3653"/>
      <c r="D6" s="2361"/>
      <c r="E6" s="2359"/>
      <c r="F6" s="2362"/>
      <c r="G6" s="2362"/>
      <c r="H6" s="2363"/>
      <c r="I6" s="2364">
        <f t="shared" si="0"/>
        <v>0</v>
      </c>
    </row>
    <row r="7" spans="1:9">
      <c r="A7" s="3652"/>
      <c r="B7" s="3653" t="s">
        <v>2465</v>
      </c>
      <c r="C7" s="3653"/>
      <c r="D7" s="2361"/>
      <c r="E7" s="2359"/>
      <c r="F7" s="2362"/>
      <c r="G7" s="2362"/>
      <c r="H7" s="2363"/>
      <c r="I7" s="2364">
        <f t="shared" si="0"/>
        <v>0</v>
      </c>
    </row>
    <row r="8" spans="1:9">
      <c r="A8" s="3652"/>
      <c r="B8" s="3653" t="s">
        <v>2466</v>
      </c>
      <c r="C8" s="3653"/>
      <c r="D8" s="2361"/>
      <c r="E8" s="2359"/>
      <c r="F8" s="2362"/>
      <c r="G8" s="2362"/>
      <c r="H8" s="2363"/>
      <c r="I8" s="2364">
        <f t="shared" si="0"/>
        <v>0</v>
      </c>
    </row>
    <row r="9" spans="1:9">
      <c r="A9" s="3652"/>
      <c r="B9" s="3653" t="s">
        <v>2467</v>
      </c>
      <c r="C9" s="3653"/>
      <c r="D9" s="2361"/>
      <c r="E9" s="2359"/>
      <c r="F9" s="2362"/>
      <c r="G9" s="2362"/>
      <c r="H9" s="2363"/>
      <c r="I9" s="2364">
        <f t="shared" si="0"/>
        <v>0</v>
      </c>
    </row>
    <row r="10" spans="1:9">
      <c r="A10" s="3652"/>
      <c r="B10" s="3654" t="s">
        <v>2468</v>
      </c>
      <c r="C10" s="3654"/>
      <c r="D10" s="2365">
        <v>527</v>
      </c>
      <c r="E10" s="2365" t="e">
        <f>ROUND(D1*10000/D10/H9,0)</f>
        <v>#DIV/0!</v>
      </c>
      <c r="F10" s="2366"/>
      <c r="G10" s="2366"/>
      <c r="H10" s="2367"/>
      <c r="I10" s="2368">
        <f>SUM(I3:I9)</f>
        <v>0</v>
      </c>
    </row>
    <row r="11" spans="1:9" ht="14.25">
      <c r="A11" s="3652" t="s">
        <v>2469</v>
      </c>
      <c r="B11" s="3653" t="s">
        <v>2470</v>
      </c>
      <c r="C11" s="3653"/>
      <c r="D11" s="2361" t="s">
        <v>2471</v>
      </c>
      <c r="E11" s="2361" t="s">
        <v>2472</v>
      </c>
      <c r="F11" s="2362" t="s">
        <v>2473</v>
      </c>
      <c r="G11" s="2362" t="s">
        <v>2474</v>
      </c>
      <c r="H11" s="2369" t="s">
        <v>2475</v>
      </c>
      <c r="I11" s="2360" t="s">
        <v>2476</v>
      </c>
    </row>
    <row r="12" spans="1:9">
      <c r="A12" s="3652"/>
      <c r="B12" s="3653" t="s">
        <v>2477</v>
      </c>
      <c r="C12" s="3653"/>
      <c r="D12" s="2361"/>
      <c r="E12" s="2361"/>
      <c r="F12" s="2362"/>
      <c r="G12" s="2363"/>
      <c r="H12" s="2370"/>
      <c r="I12" s="2360">
        <f>ROUND(D12*E12*F12*G12/10000,0)</f>
        <v>0</v>
      </c>
    </row>
    <row r="13" spans="1:9">
      <c r="A13" s="3652"/>
      <c r="B13" s="3653" t="s">
        <v>2478</v>
      </c>
      <c r="C13" s="3653"/>
      <c r="D13" s="2361"/>
      <c r="E13" s="2361"/>
      <c r="F13" s="2362"/>
      <c r="G13" s="2363"/>
      <c r="H13" s="2370"/>
      <c r="I13" s="2360">
        <f>ROUND(D13*E13*F13*G13/10000,0)</f>
        <v>0</v>
      </c>
    </row>
    <row r="14" spans="1:9">
      <c r="A14" s="3652"/>
      <c r="B14" s="3653" t="s">
        <v>2479</v>
      </c>
      <c r="C14" s="3653"/>
      <c r="D14" s="2361"/>
      <c r="E14" s="2361"/>
      <c r="F14" s="2362"/>
      <c r="G14" s="2363"/>
      <c r="H14" s="2370"/>
      <c r="I14" s="2360">
        <f>ROUND(D14*E14*F14*G14/10000,0)</f>
        <v>0</v>
      </c>
    </row>
    <row r="15" spans="1:9">
      <c r="A15" s="3652"/>
      <c r="B15" s="3654" t="s">
        <v>2468</v>
      </c>
      <c r="C15" s="3654"/>
      <c r="D15" s="2365"/>
      <c r="E15" s="2365">
        <f>SUM(E12:E14)</f>
        <v>0</v>
      </c>
      <c r="F15" s="2366"/>
      <c r="G15" s="2363"/>
      <c r="H15" s="2370"/>
      <c r="I15" s="2371">
        <f>SUM(I12:I14)</f>
        <v>0</v>
      </c>
    </row>
    <row r="16" spans="1:9" ht="24">
      <c r="A16" s="3652" t="s">
        <v>2480</v>
      </c>
      <c r="B16" s="3653" t="s">
        <v>2481</v>
      </c>
      <c r="C16" s="3653"/>
      <c r="D16" s="2361" t="s">
        <v>2482</v>
      </c>
      <c r="E16" s="2372" t="s">
        <v>2483</v>
      </c>
      <c r="F16" s="2362" t="s">
        <v>2484</v>
      </c>
      <c r="G16" s="2363" t="s">
        <v>2474</v>
      </c>
      <c r="H16" s="2369" t="s">
        <v>2475</v>
      </c>
      <c r="I16" s="2360" t="s">
        <v>2476</v>
      </c>
    </row>
    <row r="17" spans="1:9" ht="14.25">
      <c r="A17" s="3652"/>
      <c r="B17" s="3653" t="s">
        <v>2485</v>
      </c>
      <c r="C17" s="3653"/>
      <c r="D17" s="2361"/>
      <c r="E17" s="2361"/>
      <c r="F17" s="2362"/>
      <c r="G17" s="2363"/>
      <c r="H17" s="2373"/>
      <c r="I17" s="2374">
        <f>ROUND(D17*E17*F17*G17/10000,0)</f>
        <v>0</v>
      </c>
    </row>
    <row r="18" spans="1:9" ht="14.25">
      <c r="A18" s="3652"/>
      <c r="B18" s="3653" t="s">
        <v>2486</v>
      </c>
      <c r="C18" s="3653"/>
      <c r="D18" s="2361"/>
      <c r="E18" s="2361"/>
      <c r="F18" s="2362"/>
      <c r="G18" s="2363"/>
      <c r="H18" s="2373"/>
      <c r="I18" s="2374">
        <f>ROUND(D18*E18*F18*G18/10000,0)</f>
        <v>0</v>
      </c>
    </row>
    <row r="19" spans="1:9" ht="14.25">
      <c r="A19" s="3652"/>
      <c r="B19" s="3653" t="s">
        <v>2487</v>
      </c>
      <c r="C19" s="3653"/>
      <c r="D19" s="2361"/>
      <c r="E19" s="2361"/>
      <c r="F19" s="2362"/>
      <c r="G19" s="2363"/>
      <c r="H19" s="2373"/>
      <c r="I19" s="2374">
        <f>ROUND(D19*E19*F19*G19/10000,0)</f>
        <v>0</v>
      </c>
    </row>
    <row r="20" spans="1:9">
      <c r="A20" s="3652"/>
      <c r="B20" s="3654" t="s">
        <v>2468</v>
      </c>
      <c r="C20" s="3654"/>
      <c r="D20" s="2365">
        <f>SUM(D17:D19)</f>
        <v>0</v>
      </c>
      <c r="E20" s="2365"/>
      <c r="F20" s="2366"/>
      <c r="G20" s="2363"/>
      <c r="H20" s="2370"/>
      <c r="I20" s="2371">
        <f>SUM(I17:I19)</f>
        <v>0</v>
      </c>
    </row>
    <row r="21" spans="1:9">
      <c r="A21" s="3652" t="s">
        <v>2488</v>
      </c>
      <c r="B21" s="3656"/>
      <c r="C21" s="3656"/>
      <c r="D21" s="3656"/>
      <c r="E21" s="3656"/>
      <c r="F21" s="3656"/>
      <c r="G21" s="3656"/>
      <c r="H21" s="2375">
        <v>0.1</v>
      </c>
      <c r="I21" s="2368">
        <f>ROUND(I10*H21,0)</f>
        <v>0</v>
      </c>
    </row>
    <row r="22" spans="1:9" ht="14.25">
      <c r="A22" s="3657" t="s">
        <v>2489</v>
      </c>
      <c r="B22" s="3658"/>
      <c r="C22" s="3659"/>
      <c r="D22" s="2376" t="s">
        <v>2490</v>
      </c>
      <c r="E22" s="2376" t="s">
        <v>2491</v>
      </c>
      <c r="F22" s="2377" t="s">
        <v>2492</v>
      </c>
      <c r="G22" s="2377" t="s">
        <v>2493</v>
      </c>
      <c r="H22" s="2369" t="s">
        <v>2494</v>
      </c>
      <c r="I22" s="2360" t="s">
        <v>2495</v>
      </c>
    </row>
    <row r="23" spans="1:9" ht="14.25" thickBot="1">
      <c r="A23" s="3660"/>
      <c r="B23" s="3661"/>
      <c r="C23" s="3662"/>
      <c r="D23" s="2378"/>
      <c r="E23" s="2378"/>
      <c r="F23" s="2378"/>
      <c r="G23" s="2379"/>
      <c r="H23" s="2380"/>
      <c r="I23" s="2381">
        <f>ROUND(E23*D23*F23*(1-G23)/10000,0)</f>
        <v>0</v>
      </c>
    </row>
    <row r="26" spans="1:9">
      <c r="A26" s="2382" t="s">
        <v>2496</v>
      </c>
      <c r="B26" s="2382"/>
      <c r="C26" s="2382"/>
      <c r="D26" s="2382"/>
      <c r="E26" s="3663">
        <f>C27-C30-C31-C32</f>
        <v>0</v>
      </c>
      <c r="F26" s="3663"/>
      <c r="G26" s="3663"/>
      <c r="H26" s="2754" t="s">
        <v>2821</v>
      </c>
    </row>
    <row r="27" spans="1:9">
      <c r="A27" s="2383">
        <v>1</v>
      </c>
      <c r="B27" s="2384" t="s">
        <v>2497</v>
      </c>
      <c r="C27" s="2384"/>
      <c r="D27" s="2384"/>
      <c r="E27" s="3664"/>
      <c r="F27" s="3664"/>
      <c r="G27" s="3664"/>
    </row>
    <row r="28" spans="1:9">
      <c r="A28" s="2385" t="s">
        <v>2498</v>
      </c>
      <c r="B28" s="2384" t="s">
        <v>2499</v>
      </c>
      <c r="C28" s="2384"/>
      <c r="D28" s="2384"/>
      <c r="E28" s="3664"/>
      <c r="F28" s="3664"/>
      <c r="G28" s="3664"/>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55"/>
      <c r="F32" s="3655"/>
      <c r="G32" s="3655"/>
    </row>
    <row r="33" spans="1:7" hidden="1">
      <c r="A33" s="3665" t="s">
        <v>2507</v>
      </c>
      <c r="B33" s="3666"/>
      <c r="C33" s="3666"/>
      <c r="D33" s="3667"/>
      <c r="E33" s="3663"/>
      <c r="F33" s="3663"/>
      <c r="G33" s="3663"/>
    </row>
    <row r="34" spans="1:7" hidden="1">
      <c r="A34" s="2387">
        <v>1</v>
      </c>
      <c r="B34" s="2384" t="s">
        <v>2508</v>
      </c>
      <c r="C34" s="2384"/>
      <c r="D34" s="2384"/>
      <c r="E34" s="3664"/>
      <c r="F34" s="3664"/>
      <c r="G34" s="3664"/>
    </row>
    <row r="35" spans="1:7" hidden="1">
      <c r="A35" s="2387">
        <v>2</v>
      </c>
      <c r="B35" s="2384" t="s">
        <v>2509</v>
      </c>
      <c r="C35" s="2384"/>
      <c r="D35" s="2384"/>
      <c r="E35" s="3664"/>
      <c r="F35" s="3664"/>
      <c r="G35" s="3664"/>
    </row>
    <row r="36" spans="1:7" hidden="1">
      <c r="A36" s="2387">
        <v>3</v>
      </c>
      <c r="B36" s="2384" t="s">
        <v>2510</v>
      </c>
      <c r="C36" s="2384"/>
      <c r="D36" s="2384"/>
      <c r="E36" s="3664"/>
      <c r="F36" s="3664"/>
      <c r="G36" s="3664"/>
    </row>
    <row r="37" spans="1:7" hidden="1">
      <c r="A37" s="2387">
        <v>4</v>
      </c>
      <c r="B37" s="2384" t="s">
        <v>2511</v>
      </c>
      <c r="C37" s="2384"/>
      <c r="D37" s="2384"/>
      <c r="E37" s="3664"/>
      <c r="F37" s="3664"/>
      <c r="G37" s="3664"/>
    </row>
    <row r="38" spans="1:7" hidden="1">
      <c r="A38" s="3665" t="s">
        <v>2512</v>
      </c>
      <c r="B38" s="3666"/>
      <c r="C38" s="3666"/>
      <c r="D38" s="3667"/>
      <c r="E38" s="3663"/>
      <c r="F38" s="3663"/>
      <c r="G38" s="36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596</v>
      </c>
      <c r="B1" s="733"/>
      <c r="C1" s="2062"/>
      <c r="D1" s="2062"/>
      <c r="E1" s="2062"/>
      <c r="F1" s="2062"/>
      <c r="G1" s="1989"/>
    </row>
    <row r="2" spans="1:25" s="1941" customFormat="1" ht="18" customHeight="1">
      <c r="A2" s="416" t="s">
        <v>460</v>
      </c>
      <c r="B2" s="418">
        <f ca="1">C23</f>
        <v>0</v>
      </c>
      <c r="C2" s="3266"/>
      <c r="D2" s="3266"/>
      <c r="E2" s="3266"/>
      <c r="F2" s="3266"/>
      <c r="G2" s="3266"/>
    </row>
    <row r="3" spans="1:25" s="1941" customFormat="1" ht="18" customHeight="1">
      <c r="A3" s="1329" t="s">
        <v>1675</v>
      </c>
      <c r="B3" s="418">
        <f ca="1">ROUND(B2*10000/'数据-汇总表'!E3,0)</f>
        <v>0</v>
      </c>
      <c r="C3" s="3266"/>
      <c r="D3" s="3266"/>
      <c r="E3" s="3266"/>
      <c r="F3" s="3266"/>
      <c r="G3" s="3266"/>
    </row>
    <row r="4" spans="1:25" s="1941" customFormat="1" ht="18" customHeight="1">
      <c r="A4" s="419" t="s">
        <v>461</v>
      </c>
      <c r="B4" s="420">
        <f ca="1">ROUND(B2*10000/'数据-汇总表'!D3,0)</f>
        <v>0</v>
      </c>
      <c r="C4" s="3219"/>
      <c r="D4" s="3266"/>
      <c r="E4" s="3266"/>
      <c r="F4" s="3266"/>
      <c r="G4" s="3266"/>
    </row>
    <row r="5" spans="1:25" s="1941" customFormat="1" ht="18" customHeight="1" thickBot="1">
      <c r="A5" s="422"/>
      <c r="B5" s="423">
        <f ca="1">ROUND(B2/('数据-汇总表'!D3/666.67),0)</f>
        <v>0</v>
      </c>
      <c r="C5" s="424" t="s">
        <v>462</v>
      </c>
      <c r="D5" s="3266"/>
      <c r="E5" s="3266"/>
      <c r="F5" s="3266"/>
      <c r="G5" s="3266"/>
    </row>
    <row r="6" spans="1:25" s="2063" customFormat="1" ht="13.5" customHeight="1">
      <c r="A6" s="734"/>
      <c r="B6" s="735" t="s">
        <v>597</v>
      </c>
      <c r="C6" s="736" t="s">
        <v>598</v>
      </c>
      <c r="D6" s="736" t="s">
        <v>599</v>
      </c>
      <c r="E6" s="737" t="s">
        <v>600</v>
      </c>
      <c r="F6" s="737" t="s">
        <v>601</v>
      </c>
      <c r="G6" s="3265" t="s">
        <v>2997</v>
      </c>
    </row>
    <row r="7" spans="1:25" s="2063" customFormat="1" ht="13.5" customHeight="1">
      <c r="A7" s="2322">
        <v>1</v>
      </c>
      <c r="B7" s="738" t="s">
        <v>602</v>
      </c>
      <c r="C7" s="739">
        <f>C8+C9</f>
        <v>0</v>
      </c>
      <c r="D7" s="739"/>
      <c r="E7" s="740"/>
      <c r="F7" s="740"/>
      <c r="G7" s="2331"/>
    </row>
    <row r="8" spans="1:25" s="2063" customFormat="1" ht="13.5" customHeight="1">
      <c r="A8" s="2322" t="s">
        <v>2422</v>
      </c>
      <c r="B8" s="2325" t="s">
        <v>2424</v>
      </c>
      <c r="C8" s="3269">
        <f t="shared" ref="C8:C9" si="0">ROUND(D8*E8/10000,0)</f>
        <v>0</v>
      </c>
      <c r="D8" s="3269">
        <v>0</v>
      </c>
      <c r="E8" s="3270">
        <v>0</v>
      </c>
      <c r="F8" s="740"/>
      <c r="G8" s="741"/>
    </row>
    <row r="9" spans="1:25" s="2063" customFormat="1" ht="13.5" customHeight="1">
      <c r="A9" s="2322" t="s">
        <v>2423</v>
      </c>
      <c r="B9" s="2325" t="s">
        <v>2425</v>
      </c>
      <c r="C9" s="3269">
        <f t="shared" si="0"/>
        <v>0</v>
      </c>
      <c r="D9" s="3269">
        <v>0</v>
      </c>
      <c r="E9" s="3270">
        <v>0</v>
      </c>
      <c r="F9" s="740"/>
      <c r="G9" s="741"/>
    </row>
    <row r="10" spans="1:25" s="2063" customFormat="1" ht="36">
      <c r="A10" s="2322">
        <v>2</v>
      </c>
      <c r="B10" s="738" t="s">
        <v>606</v>
      </c>
      <c r="C10" s="739">
        <f>C11+C14+C15</f>
        <v>0</v>
      </c>
      <c r="D10" s="749"/>
      <c r="E10" s="739"/>
      <c r="F10" s="750"/>
      <c r="G10" s="748" t="s">
        <v>607</v>
      </c>
    </row>
    <row r="11" spans="1:25" s="2063" customFormat="1" ht="13.5" customHeight="1">
      <c r="A11" s="2322" t="s">
        <v>2422</v>
      </c>
      <c r="B11" s="742" t="s">
        <v>603</v>
      </c>
      <c r="C11" s="743">
        <f>'数据-取费表'!B29</f>
        <v>0</v>
      </c>
      <c r="D11" s="744"/>
      <c r="E11" s="743"/>
      <c r="F11" s="745"/>
      <c r="G11" s="2330" t="s">
        <v>2433</v>
      </c>
    </row>
    <row r="12" spans="1:25" s="2063" customFormat="1" ht="13.5" customHeight="1">
      <c r="A12" s="2328" t="s">
        <v>2430</v>
      </c>
      <c r="B12" s="746" t="s">
        <v>604</v>
      </c>
      <c r="C12" s="747">
        <f>ROUND(D12*E12/10000,0)</f>
        <v>0</v>
      </c>
      <c r="D12" s="3269">
        <f>'数据-汇总表'!E5</f>
        <v>0</v>
      </c>
      <c r="E12" s="3269">
        <f>'数据-取费表'!B27</f>
        <v>160</v>
      </c>
      <c r="F12" s="745"/>
      <c r="G12" s="748"/>
    </row>
    <row r="13" spans="1:25" s="2063" customFormat="1" ht="13.5" customHeight="1">
      <c r="A13" s="2328" t="s">
        <v>2429</v>
      </c>
      <c r="B13" s="746" t="s">
        <v>605</v>
      </c>
      <c r="C13" s="747">
        <f>ROUND(D13*E13/10000,0)</f>
        <v>528</v>
      </c>
      <c r="D13" s="3269">
        <f>'数据-汇总表'!E6</f>
        <v>26400</v>
      </c>
      <c r="E13" s="3269">
        <f>'数据-取费表'!B28</f>
        <v>200</v>
      </c>
      <c r="F13" s="745"/>
      <c r="G13" s="748"/>
    </row>
    <row r="14" spans="1:25" s="2063" customFormat="1" ht="13.5" customHeight="1">
      <c r="A14" s="2322" t="s">
        <v>2423</v>
      </c>
      <c r="B14" s="2327" t="s">
        <v>2426</v>
      </c>
      <c r="C14" s="3271">
        <f t="shared" ref="C14:C15" si="1">ROUND(D14*E14/10000,0)</f>
        <v>0</v>
      </c>
      <c r="D14" s="3269">
        <v>0</v>
      </c>
      <c r="E14" s="3270">
        <v>0</v>
      </c>
      <c r="F14" s="2326"/>
      <c r="G14" s="2329" t="s">
        <v>2431</v>
      </c>
    </row>
    <row r="15" spans="1:25" s="2063" customFormat="1" ht="13.5" customHeight="1">
      <c r="A15" s="2322" t="s">
        <v>2428</v>
      </c>
      <c r="B15" s="2327" t="s">
        <v>2427</v>
      </c>
      <c r="C15" s="3271">
        <f t="shared" si="1"/>
        <v>0</v>
      </c>
      <c r="D15" s="3269">
        <v>0</v>
      </c>
      <c r="E15" s="3270">
        <v>0</v>
      </c>
      <c r="F15" s="2326"/>
      <c r="G15" s="2329" t="s">
        <v>2432</v>
      </c>
    </row>
    <row r="16" spans="1:25" s="2064" customFormat="1" ht="48">
      <c r="A16" s="2322">
        <v>3</v>
      </c>
      <c r="B16" s="738" t="s">
        <v>608</v>
      </c>
      <c r="C16" s="3271">
        <f t="shared" ref="C16" si="2">ROUND(D16*E16/10000,0)</f>
        <v>0</v>
      </c>
      <c r="D16" s="3269">
        <v>0</v>
      </c>
      <c r="E16" s="3270">
        <v>0</v>
      </c>
      <c r="F16" s="750"/>
      <c r="G16" s="748"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609</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610</v>
      </c>
      <c r="C18" s="739">
        <f>ROUND((C7+C10+C16)*F18,0)</f>
        <v>0</v>
      </c>
      <c r="D18" s="751"/>
      <c r="E18" s="752"/>
      <c r="F18" s="1301">
        <v>0.05</v>
      </c>
      <c r="G18" s="754" t="s">
        <v>611</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612</v>
      </c>
      <c r="C19" s="739">
        <f ca="1">C7+C10+C16+C17+C18</f>
        <v>0</v>
      </c>
      <c r="D19" s="749"/>
      <c r="E19" s="739"/>
      <c r="F19" s="750"/>
      <c r="G19" s="754" t="s">
        <v>613</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614</v>
      </c>
      <c r="C20" s="739">
        <f ca="1">ROUND(C19*F20,0)</f>
        <v>0</v>
      </c>
      <c r="D20" s="749"/>
      <c r="E20" s="739"/>
      <c r="F20" s="1301">
        <v>0.1</v>
      </c>
      <c r="G20" s="754" t="s">
        <v>615</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616</v>
      </c>
      <c r="C21" s="739">
        <f ca="1">C19+C20</f>
        <v>0</v>
      </c>
      <c r="D21" s="749"/>
      <c r="E21" s="739"/>
      <c r="F21" s="750"/>
      <c r="G21" s="754" t="s">
        <v>617</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618</v>
      </c>
      <c r="C22" s="739">
        <f ca="1">ROUND(C21*F22,0)</f>
        <v>0</v>
      </c>
      <c r="D22" s="749"/>
      <c r="E22" s="739"/>
      <c r="F22" s="755">
        <f>'数据-取费表'!AP16</f>
        <v>0.82</v>
      </c>
      <c r="G22" s="754" t="s">
        <v>619</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620</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2466" t="s">
        <v>712</v>
      </c>
      <c r="C1" s="2467" t="s">
        <v>713</v>
      </c>
      <c r="D1" s="2468"/>
      <c r="E1" s="2008"/>
      <c r="F1" s="2523"/>
      <c r="G1" s="1530" t="s">
        <v>714</v>
      </c>
      <c r="H1" s="499"/>
      <c r="I1" s="499"/>
      <c r="J1" s="499"/>
      <c r="K1" s="500"/>
      <c r="L1" s="3208"/>
      <c r="M1" s="3209"/>
      <c r="N1" s="3209"/>
      <c r="O1" s="3209"/>
      <c r="P1" s="1498"/>
      <c r="Q1" s="1498"/>
      <c r="R1" s="1498"/>
      <c r="S1" s="1498"/>
      <c r="T1" s="1498"/>
      <c r="U1" s="1498"/>
      <c r="V1" s="1498"/>
      <c r="W1" s="1498"/>
      <c r="X1" s="1498"/>
      <c r="Y1" s="1498"/>
      <c r="Z1" s="1498"/>
      <c r="AA1" s="1498"/>
      <c r="AB1" s="1498"/>
      <c r="AC1" s="1499"/>
    </row>
    <row r="2" spans="1:29" s="1314" customFormat="1" ht="28.5" customHeight="1">
      <c r="A2" s="416" t="s">
        <v>460</v>
      </c>
      <c r="B2" s="2465" t="e">
        <f>ROUND(B3*D3/10000,0)</f>
        <v>#DIV/0!</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512</v>
      </c>
      <c r="B3" s="839" t="e">
        <f>C49</f>
        <v>#DIV/0!</v>
      </c>
      <c r="C3" s="840" t="s">
        <v>715</v>
      </c>
      <c r="D3" s="839">
        <f>SUMIF('数据-汇总表'!$C19:$C33,D1,'数据-汇总表'!$E19:$E33)</f>
        <v>0</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514</v>
      </c>
      <c r="B4" s="506"/>
      <c r="C4" s="3532" t="s">
        <v>515</v>
      </c>
      <c r="D4" s="3533"/>
      <c r="E4" s="3587" t="s">
        <v>516</v>
      </c>
      <c r="F4" s="3588"/>
      <c r="G4" s="3532" t="s">
        <v>517</v>
      </c>
      <c r="H4" s="3533"/>
      <c r="I4" s="3532" t="s">
        <v>518</v>
      </c>
      <c r="J4" s="3533"/>
      <c r="K4" s="841" t="s">
        <v>519</v>
      </c>
      <c r="L4" s="2014"/>
      <c r="M4" s="2015"/>
      <c r="N4" s="2015"/>
      <c r="O4" s="2015"/>
      <c r="P4" s="3534" t="s">
        <v>520</v>
      </c>
      <c r="Q4" s="3535"/>
      <c r="R4" s="3540" t="s">
        <v>516</v>
      </c>
      <c r="S4" s="3541"/>
      <c r="T4" s="3540" t="s">
        <v>517</v>
      </c>
      <c r="U4" s="3541"/>
      <c r="V4" s="3527" t="s">
        <v>518</v>
      </c>
      <c r="W4" s="3527"/>
      <c r="X4" s="1500"/>
      <c r="Y4" s="3540" t="s">
        <v>520</v>
      </c>
      <c r="Z4" s="3541"/>
      <c r="AA4" s="3529" t="s">
        <v>516</v>
      </c>
      <c r="AB4" s="3529" t="s">
        <v>517</v>
      </c>
      <c r="AC4" s="3529" t="s">
        <v>518</v>
      </c>
    </row>
    <row r="5" spans="1:29" ht="15">
      <c r="A5" s="508"/>
      <c r="B5" s="509"/>
      <c r="C5" s="3548" t="s">
        <v>2896</v>
      </c>
      <c r="D5" s="3549"/>
      <c r="E5" s="3589" t="s">
        <v>2897</v>
      </c>
      <c r="F5" s="3590"/>
      <c r="G5" s="3548" t="s">
        <v>2898</v>
      </c>
      <c r="H5" s="3549"/>
      <c r="I5" s="3548" t="s">
        <v>2899</v>
      </c>
      <c r="J5" s="3549"/>
      <c r="K5" s="842"/>
      <c r="L5" s="2014"/>
      <c r="M5" s="2015"/>
      <c r="N5" s="2015"/>
      <c r="O5" s="2015"/>
      <c r="P5" s="3536"/>
      <c r="Q5" s="3537"/>
      <c r="R5" s="3542"/>
      <c r="S5" s="3543"/>
      <c r="T5" s="3542"/>
      <c r="U5" s="3543"/>
      <c r="V5" s="3527"/>
      <c r="W5" s="3527"/>
      <c r="X5" s="1500"/>
      <c r="Y5" s="3542"/>
      <c r="Z5" s="3543"/>
      <c r="AA5" s="3530"/>
      <c r="AB5" s="3530"/>
      <c r="AC5" s="3530"/>
    </row>
    <row r="6" spans="1:29" ht="15.75" thickBot="1">
      <c r="A6" s="510"/>
      <c r="B6" s="511"/>
      <c r="C6" s="3546" t="s">
        <v>2900</v>
      </c>
      <c r="D6" s="3547"/>
      <c r="E6" s="3585" t="s">
        <v>2900</v>
      </c>
      <c r="F6" s="3586"/>
      <c r="G6" s="3546" t="s">
        <v>2900</v>
      </c>
      <c r="H6" s="3547"/>
      <c r="I6" s="3546" t="s">
        <v>2900</v>
      </c>
      <c r="J6" s="3547"/>
      <c r="K6" s="842" t="s">
        <v>521</v>
      </c>
      <c r="L6" s="2014"/>
      <c r="M6" s="2015"/>
      <c r="N6" s="2015"/>
      <c r="O6" s="2015"/>
      <c r="P6" s="3538"/>
      <c r="Q6" s="3539"/>
      <c r="R6" s="3542"/>
      <c r="S6" s="3543"/>
      <c r="T6" s="3544"/>
      <c r="U6" s="3545"/>
      <c r="V6" s="3527"/>
      <c r="W6" s="3527"/>
      <c r="X6" s="1500"/>
      <c r="Y6" s="3544"/>
      <c r="Z6" s="3545"/>
      <c r="AA6" s="3531"/>
      <c r="AB6" s="3531"/>
      <c r="AC6" s="3531"/>
    </row>
    <row r="7" spans="1:29" s="1202" customFormat="1" ht="15.75" thickBot="1">
      <c r="A7" s="2627"/>
      <c r="B7" s="2634" t="s">
        <v>522</v>
      </c>
      <c r="C7" s="512">
        <f>'数据-取费表'!B2</f>
        <v>44202</v>
      </c>
      <c r="D7" s="513">
        <v>100</v>
      </c>
      <c r="E7" s="514"/>
      <c r="F7" s="515">
        <f>SUMIF(58:58,YEAR(E7)&amp;"-"&amp;MONTH(E7),59:59)</f>
        <v>0</v>
      </c>
      <c r="G7" s="516"/>
      <c r="H7" s="513">
        <f>SUMIF(58:58,YEAR(G7)&amp;"-"&amp;MONTH(G7),59:59)</f>
        <v>0</v>
      </c>
      <c r="I7" s="516"/>
      <c r="J7" s="513">
        <f>SUMIF(58:58,YEAR(I7)&amp;"-"&amp;MONTH(I7),59:59)</f>
        <v>0</v>
      </c>
      <c r="K7" s="843"/>
      <c r="L7" s="2016"/>
      <c r="M7" s="2017"/>
      <c r="N7" s="2017"/>
      <c r="O7" s="2017"/>
      <c r="P7" s="3557" t="s">
        <v>523</v>
      </c>
      <c r="Q7" s="3559"/>
      <c r="R7" s="1501" t="s">
        <v>13</v>
      </c>
      <c r="S7" s="1502">
        <f t="shared" ref="S7:S15" si="0">F7</f>
        <v>0</v>
      </c>
      <c r="T7" s="1501" t="s">
        <v>13</v>
      </c>
      <c r="U7" s="1502">
        <f t="shared" ref="U7:U15" si="1">H7</f>
        <v>0</v>
      </c>
      <c r="V7" s="1501" t="s">
        <v>13</v>
      </c>
      <c r="W7" s="1502">
        <f t="shared" ref="W7:W15" si="2">J7</f>
        <v>0</v>
      </c>
      <c r="X7" s="1503"/>
      <c r="Y7" s="3557" t="s">
        <v>523</v>
      </c>
      <c r="Z7" s="3558"/>
      <c r="AA7" s="1504" t="e">
        <f>D7/F7</f>
        <v>#DIV/0!</v>
      </c>
      <c r="AB7" s="1504" t="e">
        <f>D7/H7</f>
        <v>#DIV/0!</v>
      </c>
      <c r="AC7" s="1504" t="e">
        <f>D7/J7</f>
        <v>#DIV/0!</v>
      </c>
    </row>
    <row r="8" spans="1:29" s="1202" customFormat="1" ht="15.75" thickBot="1">
      <c r="A8" s="2628"/>
      <c r="B8" s="2635" t="s">
        <v>524</v>
      </c>
      <c r="C8" s="518" t="s">
        <v>569</v>
      </c>
      <c r="D8" s="513">
        <v>100</v>
      </c>
      <c r="E8" s="844"/>
      <c r="F8" s="515">
        <f>SUMIF(61:61,E8,62:62)-SUMIF(61:61,C8,62:62)+100</f>
        <v>0</v>
      </c>
      <c r="G8" s="518"/>
      <c r="H8" s="513">
        <f>SUMIF(61:61,G8,62:62)-SUMIF(61:61,C8,62:62)+100</f>
        <v>0</v>
      </c>
      <c r="I8" s="844"/>
      <c r="J8" s="513">
        <f>SUMIF(61:61,I8,62:62)-SUMIF(61:61,C8,62:62)+100</f>
        <v>0</v>
      </c>
      <c r="K8" s="843"/>
      <c r="L8" s="2016"/>
      <c r="M8" s="2017"/>
      <c r="N8" s="2017"/>
      <c r="O8" s="2017"/>
      <c r="P8" s="3557" t="s">
        <v>526</v>
      </c>
      <c r="Q8" s="3558"/>
      <c r="R8" s="1501" t="s">
        <v>13</v>
      </c>
      <c r="S8" s="1502">
        <f t="shared" si="0"/>
        <v>0</v>
      </c>
      <c r="T8" s="1501" t="s">
        <v>13</v>
      </c>
      <c r="U8" s="1502">
        <f t="shared" si="1"/>
        <v>0</v>
      </c>
      <c r="V8" s="1501" t="s">
        <v>13</v>
      </c>
      <c r="W8" s="1502">
        <f t="shared" si="2"/>
        <v>0</v>
      </c>
      <c r="X8" s="1503"/>
      <c r="Y8" s="3557" t="s">
        <v>526</v>
      </c>
      <c r="Z8" s="3558"/>
      <c r="AA8" s="1504" t="e">
        <f t="shared" ref="AA8:AA46" si="3">D8/F8</f>
        <v>#DIV/0!</v>
      </c>
      <c r="AB8" s="1504" t="e">
        <f t="shared" ref="AB8:AB46" si="4">D8/H8</f>
        <v>#DIV/0!</v>
      </c>
      <c r="AC8" s="1504" t="e">
        <f t="shared" ref="AC8:AC46" si="5">D8/J8</f>
        <v>#DIV/0!</v>
      </c>
    </row>
    <row r="9" spans="1:29" s="1202" customFormat="1" ht="15">
      <c r="A9" s="2629"/>
      <c r="B9" s="2636" t="s">
        <v>2735</v>
      </c>
      <c r="C9" s="845"/>
      <c r="D9" s="251">
        <v>100</v>
      </c>
      <c r="E9" s="846"/>
      <c r="F9" s="847">
        <f>SUMIF(63:63,E9,64:64)-SUMIF(63:63,C9,64:64)+100</f>
        <v>100</v>
      </c>
      <c r="G9" s="848"/>
      <c r="H9" s="251">
        <f>SUMIF(63:63,G9,64:64)-SUMIF(63:63,C9,64:64)+100</f>
        <v>100</v>
      </c>
      <c r="I9" s="848"/>
      <c r="J9" s="251">
        <f>SUMIF(63:63,I9,64:64)-SUMIF(63:63,C9,64:64)+100</f>
        <v>100</v>
      </c>
      <c r="K9" s="843"/>
      <c r="L9" s="2016"/>
      <c r="M9" s="2017"/>
      <c r="N9" s="2017"/>
      <c r="O9" s="2018"/>
      <c r="P9" s="3526" t="s">
        <v>528</v>
      </c>
      <c r="Q9" s="1133" t="str">
        <f t="shared" ref="Q9:Q15" si="6">B9</f>
        <v>用途</v>
      </c>
      <c r="R9" s="1501" t="s">
        <v>8</v>
      </c>
      <c r="S9" s="1502">
        <f t="shared" si="0"/>
        <v>100</v>
      </c>
      <c r="T9" s="1501" t="s">
        <v>8</v>
      </c>
      <c r="U9" s="1502">
        <f t="shared" si="1"/>
        <v>100</v>
      </c>
      <c r="V9" s="1501" t="s">
        <v>8</v>
      </c>
      <c r="W9" s="1502">
        <f t="shared" si="2"/>
        <v>100</v>
      </c>
      <c r="X9" s="1503"/>
      <c r="Y9" s="3472"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50"/>
      <c r="F10" s="851">
        <f>SUMIF(65:65,E10,66:66)-SUMIF(65:65,C10,66:66)+100</f>
        <v>100</v>
      </c>
      <c r="G10" s="849"/>
      <c r="H10" s="252">
        <f>SUMIF(65:65,G10,66:66)-SUMIF(65:65,C10,66:66)+100</f>
        <v>100</v>
      </c>
      <c r="I10" s="849"/>
      <c r="J10" s="252">
        <f>SUMIF(65:65,I10,66:66)-SUMIF(65:65,C10,66:66)+100</f>
        <v>100</v>
      </c>
      <c r="K10" s="852"/>
      <c r="L10" s="2019"/>
      <c r="M10" s="2058"/>
      <c r="N10" s="2058"/>
      <c r="O10" s="2020"/>
      <c r="P10" s="3526"/>
      <c r="Q10" s="1133" t="str">
        <f t="shared" si="6"/>
        <v>土地使用年限（年）</v>
      </c>
      <c r="R10" s="1501" t="s">
        <v>8</v>
      </c>
      <c r="S10" s="1502">
        <f t="shared" si="0"/>
        <v>100</v>
      </c>
      <c r="T10" s="1501" t="s">
        <v>8</v>
      </c>
      <c r="U10" s="1502">
        <f t="shared" si="1"/>
        <v>100</v>
      </c>
      <c r="V10" s="1501" t="s">
        <v>8</v>
      </c>
      <c r="W10" s="1502">
        <f t="shared" si="2"/>
        <v>100</v>
      </c>
      <c r="X10" s="1503"/>
      <c r="Y10" s="3472"/>
      <c r="Z10" s="1132" t="str">
        <f t="shared" si="7"/>
        <v>土地使用年限（年）</v>
      </c>
      <c r="AA10" s="1504">
        <f t="shared" si="3"/>
        <v>1</v>
      </c>
      <c r="AB10" s="1504">
        <f t="shared" si="4"/>
        <v>1</v>
      </c>
      <c r="AC10" s="1504">
        <f t="shared" si="5"/>
        <v>1</v>
      </c>
    </row>
    <row r="11" spans="1:29" ht="15">
      <c r="A11" s="2631"/>
      <c r="B11" s="2635" t="s">
        <v>2737</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1"/>
      <c r="M11" s="2015"/>
      <c r="N11" s="2015"/>
      <c r="O11" s="2022"/>
      <c r="P11" s="3526"/>
      <c r="Q11" s="1133" t="str">
        <f t="shared" si="6"/>
        <v>容积率</v>
      </c>
      <c r="R11" s="1501" t="s">
        <v>11</v>
      </c>
      <c r="S11" s="1502" t="e">
        <f t="shared" si="0"/>
        <v>#N/A</v>
      </c>
      <c r="T11" s="1501" t="s">
        <v>11</v>
      </c>
      <c r="U11" s="1502" t="e">
        <f t="shared" si="1"/>
        <v>#N/A</v>
      </c>
      <c r="V11" s="1501" t="s">
        <v>11</v>
      </c>
      <c r="W11" s="1502" t="e">
        <f t="shared" si="2"/>
        <v>#N/A</v>
      </c>
      <c r="X11" s="1503"/>
      <c r="Y11" s="347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526"/>
      <c r="Q12" s="1133">
        <f t="shared" si="6"/>
        <v>111</v>
      </c>
      <c r="R12" s="1501" t="s">
        <v>11</v>
      </c>
      <c r="S12" s="1502">
        <f t="shared" si="0"/>
        <v>100</v>
      </c>
      <c r="T12" s="1501" t="s">
        <v>11</v>
      </c>
      <c r="U12" s="1502">
        <f t="shared" si="1"/>
        <v>100</v>
      </c>
      <c r="V12" s="1501" t="s">
        <v>11</v>
      </c>
      <c r="W12" s="1502">
        <f t="shared" si="2"/>
        <v>100</v>
      </c>
      <c r="X12" s="1503"/>
      <c r="Y12" s="3472"/>
      <c r="Z12" s="1132">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526"/>
      <c r="Q13" s="1133">
        <f t="shared" si="6"/>
        <v>111</v>
      </c>
      <c r="R13" s="1501" t="s">
        <v>11</v>
      </c>
      <c r="S13" s="1502">
        <f t="shared" si="0"/>
        <v>100</v>
      </c>
      <c r="T13" s="1501" t="s">
        <v>11</v>
      </c>
      <c r="U13" s="1502">
        <f t="shared" si="1"/>
        <v>100</v>
      </c>
      <c r="V13" s="1501" t="s">
        <v>11</v>
      </c>
      <c r="W13" s="1502">
        <f t="shared" si="2"/>
        <v>100</v>
      </c>
      <c r="X13" s="1503"/>
      <c r="Y13" s="3472"/>
      <c r="Z13" s="1132">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526"/>
      <c r="Q14" s="1133">
        <f t="shared" si="6"/>
        <v>111</v>
      </c>
      <c r="R14" s="1501" t="s">
        <v>11</v>
      </c>
      <c r="S14" s="1502">
        <f t="shared" si="0"/>
        <v>100</v>
      </c>
      <c r="T14" s="1501" t="s">
        <v>11</v>
      </c>
      <c r="U14" s="1502">
        <f t="shared" si="1"/>
        <v>100</v>
      </c>
      <c r="V14" s="1501" t="s">
        <v>11</v>
      </c>
      <c r="W14" s="1502">
        <f t="shared" si="2"/>
        <v>100</v>
      </c>
      <c r="X14" s="1503"/>
      <c r="Y14" s="3472"/>
      <c r="Z14" s="1132">
        <f t="shared" si="7"/>
        <v>111</v>
      </c>
      <c r="AA14" s="1504">
        <f t="shared" si="3"/>
        <v>1</v>
      </c>
      <c r="AB14" s="1504">
        <f t="shared" si="4"/>
        <v>1</v>
      </c>
      <c r="AC14" s="1504">
        <f t="shared" si="5"/>
        <v>1</v>
      </c>
    </row>
    <row r="15" spans="1:29" ht="99.75">
      <c r="A15" s="2625" t="s">
        <v>2733</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3"/>
      <c r="M15" s="2015"/>
      <c r="N15" s="2015"/>
      <c r="O15" s="2022"/>
      <c r="P15" s="3560" t="s">
        <v>533</v>
      </c>
      <c r="Q15" s="1505" t="str">
        <f t="shared" si="6"/>
        <v>居住社区成熟度</v>
      </c>
      <c r="R15" s="1506" t="s">
        <v>11</v>
      </c>
      <c r="S15" s="1507">
        <f t="shared" si="0"/>
        <v>100</v>
      </c>
      <c r="T15" s="1506" t="s">
        <v>11</v>
      </c>
      <c r="U15" s="1507">
        <f t="shared" si="1"/>
        <v>100</v>
      </c>
      <c r="V15" s="1506" t="s">
        <v>11</v>
      </c>
      <c r="W15" s="1507">
        <f t="shared" si="2"/>
        <v>100</v>
      </c>
      <c r="X15" s="1500"/>
      <c r="Y15" s="3560" t="s">
        <v>533</v>
      </c>
      <c r="Z15" s="1508" t="str">
        <f t="shared" si="7"/>
        <v>居住社区成熟度</v>
      </c>
      <c r="AA15" s="1509">
        <f t="shared" si="3"/>
        <v>1</v>
      </c>
      <c r="AB15" s="1509">
        <f t="shared" si="4"/>
        <v>1</v>
      </c>
      <c r="AC15" s="1509">
        <f t="shared" si="5"/>
        <v>1</v>
      </c>
    </row>
    <row r="16" spans="1:29" ht="15">
      <c r="A16" s="525"/>
      <c r="B16" s="857"/>
      <c r="C16" s="569"/>
      <c r="D16" s="548"/>
      <c r="E16" s="549"/>
      <c r="F16" s="550"/>
      <c r="G16" s="551"/>
      <c r="H16" s="552"/>
      <c r="I16" s="549"/>
      <c r="J16" s="548"/>
      <c r="K16" s="858"/>
      <c r="L16" s="2023"/>
      <c r="M16" s="2015"/>
      <c r="N16" s="2015"/>
      <c r="O16" s="2022"/>
      <c r="P16" s="3561"/>
      <c r="Q16" s="1505"/>
      <c r="R16" s="1506"/>
      <c r="S16" s="1507"/>
      <c r="T16" s="1506"/>
      <c r="U16" s="1507"/>
      <c r="V16" s="1506"/>
      <c r="W16" s="1507"/>
      <c r="X16" s="1500"/>
      <c r="Y16" s="3561"/>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3"/>
      <c r="M17" s="2015"/>
      <c r="N17" s="2015"/>
      <c r="O17" s="2022"/>
      <c r="P17" s="3561"/>
      <c r="Q17" s="1505" t="str">
        <f>B17</f>
        <v>交通便捷度</v>
      </c>
      <c r="R17" s="1506" t="s">
        <v>11</v>
      </c>
      <c r="S17" s="1507">
        <f>F17</f>
        <v>100</v>
      </c>
      <c r="T17" s="1506" t="s">
        <v>11</v>
      </c>
      <c r="U17" s="1507">
        <f>H17</f>
        <v>100</v>
      </c>
      <c r="V17" s="1506" t="s">
        <v>11</v>
      </c>
      <c r="W17" s="1507">
        <f>J17</f>
        <v>100</v>
      </c>
      <c r="X17" s="1500"/>
      <c r="Y17" s="3561"/>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58"/>
      <c r="L18" s="2023"/>
      <c r="M18" s="2015"/>
      <c r="N18" s="2015"/>
      <c r="O18" s="2022"/>
      <c r="P18" s="3561"/>
      <c r="Q18" s="1505"/>
      <c r="R18" s="1506"/>
      <c r="S18" s="1507"/>
      <c r="T18" s="1506"/>
      <c r="U18" s="1507"/>
      <c r="V18" s="1506"/>
      <c r="W18" s="1507"/>
      <c r="X18" s="1500"/>
      <c r="Y18" s="3561"/>
      <c r="Z18" s="1508"/>
      <c r="AA18" s="1509">
        <v>1</v>
      </c>
      <c r="AB18" s="1509">
        <v>1</v>
      </c>
      <c r="AC18" s="1509">
        <v>1</v>
      </c>
    </row>
    <row r="19" spans="1:29" ht="42.75">
      <c r="A19" s="525"/>
      <c r="B19" s="2443"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c r="L19" s="2023"/>
      <c r="M19" s="2015"/>
      <c r="N19" s="2015"/>
      <c r="O19" s="2022"/>
      <c r="P19" s="3561"/>
      <c r="Q19" s="1505" t="str">
        <f>B19</f>
        <v>公共配套设施</v>
      </c>
      <c r="R19" s="1506" t="s">
        <v>11</v>
      </c>
      <c r="S19" s="1507">
        <f>F19</f>
        <v>100</v>
      </c>
      <c r="T19" s="1506" t="s">
        <v>11</v>
      </c>
      <c r="U19" s="1507">
        <f>H19</f>
        <v>100</v>
      </c>
      <c r="V19" s="1506" t="s">
        <v>11</v>
      </c>
      <c r="W19" s="1507">
        <f>J19</f>
        <v>100</v>
      </c>
      <c r="X19" s="1500"/>
      <c r="Y19" s="3561"/>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58"/>
      <c r="L20" s="2023"/>
      <c r="M20" s="2015"/>
      <c r="N20" s="2015"/>
      <c r="O20" s="2022"/>
      <c r="P20" s="3561"/>
      <c r="Q20" s="1505"/>
      <c r="R20" s="1506"/>
      <c r="S20" s="1507"/>
      <c r="T20" s="1506"/>
      <c r="U20" s="1507"/>
      <c r="V20" s="1506"/>
      <c r="W20" s="1507"/>
      <c r="X20" s="1500"/>
      <c r="Y20" s="3561"/>
      <c r="Z20" s="1508"/>
      <c r="AA20" s="1509">
        <v>1</v>
      </c>
      <c r="AB20" s="1509">
        <v>1</v>
      </c>
      <c r="AC20" s="1509">
        <v>1</v>
      </c>
    </row>
    <row r="21" spans="1:29" ht="28.5">
      <c r="A21" s="525"/>
      <c r="B21" s="2436"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3"/>
      <c r="M21" s="2015"/>
      <c r="N21" s="2015"/>
      <c r="O21" s="2022"/>
      <c r="P21" s="3561"/>
      <c r="Q21" s="2428" t="str">
        <f>B21</f>
        <v>基础设施水平</v>
      </c>
      <c r="R21" s="1506" t="s">
        <v>11</v>
      </c>
      <c r="S21" s="1507">
        <f>F21</f>
        <v>100</v>
      </c>
      <c r="T21" s="1506" t="s">
        <v>11</v>
      </c>
      <c r="U21" s="1507">
        <f>H21</f>
        <v>100</v>
      </c>
      <c r="V21" s="1506" t="s">
        <v>11</v>
      </c>
      <c r="W21" s="1507">
        <f>J21</f>
        <v>100</v>
      </c>
      <c r="X21" s="2430"/>
      <c r="Y21" s="3561"/>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2"/>
      <c r="L22" s="2023"/>
      <c r="M22" s="2015"/>
      <c r="N22" s="2015"/>
      <c r="O22" s="2022"/>
      <c r="P22" s="3561"/>
      <c r="Q22" s="2428"/>
      <c r="R22" s="1506"/>
      <c r="S22" s="1507"/>
      <c r="T22" s="1506"/>
      <c r="U22" s="1507"/>
      <c r="V22" s="1506"/>
      <c r="W22" s="1507"/>
      <c r="X22" s="2430"/>
      <c r="Y22" s="3561"/>
      <c r="Z22" s="2429"/>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c r="L23" s="2023"/>
      <c r="M23" s="2015"/>
      <c r="N23" s="2015"/>
      <c r="O23" s="2022"/>
      <c r="P23" s="3561"/>
      <c r="Q23" s="1505" t="str">
        <f>B23</f>
        <v>自然及人文环境</v>
      </c>
      <c r="R23" s="1506" t="s">
        <v>11</v>
      </c>
      <c r="S23" s="1507">
        <f>F23</f>
        <v>100</v>
      </c>
      <c r="T23" s="1506" t="s">
        <v>11</v>
      </c>
      <c r="U23" s="1507">
        <f>H23</f>
        <v>100</v>
      </c>
      <c r="V23" s="1506" t="s">
        <v>11</v>
      </c>
      <c r="W23" s="1507">
        <f>J23</f>
        <v>100</v>
      </c>
      <c r="X23" s="1500"/>
      <c r="Y23" s="3561"/>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58"/>
      <c r="L24" s="2023"/>
      <c r="M24" s="2015"/>
      <c r="N24" s="2015"/>
      <c r="O24" s="2022"/>
      <c r="P24" s="3561"/>
      <c r="Q24" s="1505"/>
      <c r="R24" s="1506"/>
      <c r="S24" s="1507"/>
      <c r="T24" s="1506"/>
      <c r="U24" s="1507"/>
      <c r="V24" s="1506"/>
      <c r="W24" s="1507"/>
      <c r="X24" s="1500"/>
      <c r="Y24" s="3561"/>
      <c r="Z24" s="1508"/>
      <c r="AA24" s="1509">
        <v>1</v>
      </c>
      <c r="AB24" s="1509">
        <v>1</v>
      </c>
      <c r="AC24" s="1509">
        <v>1</v>
      </c>
    </row>
    <row r="25" spans="1:29" ht="15">
      <c r="A25" s="525"/>
      <c r="B25" s="1808" t="s">
        <v>2244</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61"/>
      <c r="Q25" s="1505" t="str">
        <f t="shared" ref="Q25:Q46" si="11">B25</f>
        <v>楼层-1</v>
      </c>
      <c r="R25" s="1506" t="s">
        <v>11</v>
      </c>
      <c r="S25" s="1507">
        <f>F25</f>
        <v>100</v>
      </c>
      <c r="T25" s="1506" t="s">
        <v>11</v>
      </c>
      <c r="U25" s="1507">
        <f>H25</f>
        <v>100</v>
      </c>
      <c r="V25" s="1506" t="s">
        <v>11</v>
      </c>
      <c r="W25" s="1507">
        <f>J25</f>
        <v>100</v>
      </c>
      <c r="X25" s="1500"/>
      <c r="Y25" s="3561"/>
      <c r="Z25" s="1508" t="str">
        <f>Q25</f>
        <v>楼层-1</v>
      </c>
      <c r="AA25" s="1509">
        <f t="shared" si="3"/>
        <v>1</v>
      </c>
      <c r="AB25" s="1509">
        <f t="shared" si="4"/>
        <v>1</v>
      </c>
      <c r="AC25" s="1509">
        <f t="shared" si="5"/>
        <v>1</v>
      </c>
    </row>
    <row r="26" spans="1:29" ht="15">
      <c r="A26" s="525"/>
      <c r="B26" s="520" t="s">
        <v>716</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61"/>
      <c r="Q26" s="1505" t="str">
        <f t="shared" si="11"/>
        <v>朝向</v>
      </c>
      <c r="R26" s="1506" t="s">
        <v>11</v>
      </c>
      <c r="S26" s="1507">
        <f>F26</f>
        <v>100</v>
      </c>
      <c r="T26" s="1506" t="s">
        <v>11</v>
      </c>
      <c r="U26" s="1507">
        <f>H26</f>
        <v>100</v>
      </c>
      <c r="V26" s="1506" t="s">
        <v>11</v>
      </c>
      <c r="W26" s="1507">
        <f>J26</f>
        <v>100</v>
      </c>
      <c r="X26" s="1500"/>
      <c r="Y26" s="3561"/>
      <c r="Z26" s="1508" t="str">
        <f>Q26</f>
        <v>朝向</v>
      </c>
      <c r="AA26" s="1509">
        <f t="shared" si="3"/>
        <v>1</v>
      </c>
      <c r="AB26" s="1509">
        <f t="shared" si="4"/>
        <v>1</v>
      </c>
      <c r="AC26" s="1509">
        <f t="shared" si="5"/>
        <v>1</v>
      </c>
    </row>
    <row r="27" spans="1:29" s="1202" customFormat="1" ht="15">
      <c r="A27" s="529"/>
      <c r="B27" s="530" t="s">
        <v>717</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61"/>
      <c r="Q27" s="1133" t="str">
        <f t="shared" si="11"/>
        <v>道路级别</v>
      </c>
      <c r="R27" s="1501" t="s">
        <v>11</v>
      </c>
      <c r="S27" s="1502">
        <f>F27</f>
        <v>100</v>
      </c>
      <c r="T27" s="1501" t="s">
        <v>11</v>
      </c>
      <c r="U27" s="1502">
        <f>H27</f>
        <v>100</v>
      </c>
      <c r="V27" s="1501" t="s">
        <v>11</v>
      </c>
      <c r="W27" s="1502">
        <f>J27</f>
        <v>100</v>
      </c>
      <c r="X27" s="1503"/>
      <c r="Y27" s="3561"/>
      <c r="Z27" s="1132"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61"/>
      <c r="Q28" s="1505">
        <f t="shared" si="11"/>
        <v>111</v>
      </c>
      <c r="R28" s="1506" t="s">
        <v>11</v>
      </c>
      <c r="S28" s="1507">
        <f t="shared" ref="S28:S46" si="12">F28</f>
        <v>100</v>
      </c>
      <c r="T28" s="1506" t="s">
        <v>11</v>
      </c>
      <c r="U28" s="1507">
        <f t="shared" ref="U28:U46" si="13">H28</f>
        <v>100</v>
      </c>
      <c r="V28" s="1506" t="s">
        <v>11</v>
      </c>
      <c r="W28" s="1507">
        <f t="shared" ref="W28:W46" si="14">J28</f>
        <v>100</v>
      </c>
      <c r="X28" s="1500"/>
      <c r="Y28" s="3561"/>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61"/>
      <c r="Q29" s="1505">
        <f t="shared" si="11"/>
        <v>111</v>
      </c>
      <c r="R29" s="1506" t="s">
        <v>11</v>
      </c>
      <c r="S29" s="1507">
        <f t="shared" si="12"/>
        <v>100</v>
      </c>
      <c r="T29" s="1506" t="s">
        <v>11</v>
      </c>
      <c r="U29" s="1507">
        <f t="shared" si="13"/>
        <v>100</v>
      </c>
      <c r="V29" s="1506" t="s">
        <v>11</v>
      </c>
      <c r="W29" s="1507">
        <f t="shared" si="14"/>
        <v>100</v>
      </c>
      <c r="X29" s="1500"/>
      <c r="Y29" s="3561"/>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61"/>
      <c r="Q30" s="1505">
        <f t="shared" si="11"/>
        <v>111</v>
      </c>
      <c r="R30" s="1506" t="s">
        <v>11</v>
      </c>
      <c r="S30" s="1507">
        <f t="shared" si="12"/>
        <v>100</v>
      </c>
      <c r="T30" s="1506" t="s">
        <v>11</v>
      </c>
      <c r="U30" s="1507">
        <f t="shared" si="13"/>
        <v>100</v>
      </c>
      <c r="V30" s="1506" t="s">
        <v>11</v>
      </c>
      <c r="W30" s="1507">
        <f t="shared" si="14"/>
        <v>100</v>
      </c>
      <c r="X30" s="1500"/>
      <c r="Y30" s="3561"/>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61"/>
      <c r="Q31" s="1505">
        <f t="shared" si="11"/>
        <v>111</v>
      </c>
      <c r="R31" s="1506" t="s">
        <v>11</v>
      </c>
      <c r="S31" s="1507">
        <f t="shared" si="12"/>
        <v>100</v>
      </c>
      <c r="T31" s="1506" t="s">
        <v>11</v>
      </c>
      <c r="U31" s="1507">
        <f t="shared" si="13"/>
        <v>100</v>
      </c>
      <c r="V31" s="1506" t="s">
        <v>11</v>
      </c>
      <c r="W31" s="1507">
        <f t="shared" si="14"/>
        <v>100</v>
      </c>
      <c r="X31" s="1500"/>
      <c r="Y31" s="3561"/>
      <c r="Z31" s="1508">
        <f t="shared" si="15"/>
        <v>111</v>
      </c>
      <c r="AA31" s="1509">
        <f t="shared" si="3"/>
        <v>1</v>
      </c>
      <c r="AB31" s="1509">
        <f t="shared" si="4"/>
        <v>1</v>
      </c>
      <c r="AC31" s="1509">
        <f t="shared" si="5"/>
        <v>1</v>
      </c>
    </row>
    <row r="32" spans="1:29" ht="15">
      <c r="A32" s="2623" t="s">
        <v>2734</v>
      </c>
      <c r="B32" s="170" t="s">
        <v>718</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3"/>
      <c r="M32" s="2015"/>
      <c r="N32" s="2015"/>
      <c r="O32" s="2022"/>
      <c r="P32" s="3562" t="s">
        <v>543</v>
      </c>
      <c r="Q32" s="1505" t="str">
        <f t="shared" si="11"/>
        <v>建筑类型</v>
      </c>
      <c r="R32" s="1506" t="s">
        <v>11</v>
      </c>
      <c r="S32" s="1507">
        <f t="shared" si="12"/>
        <v>100</v>
      </c>
      <c r="T32" s="1506" t="s">
        <v>11</v>
      </c>
      <c r="U32" s="1507">
        <f t="shared" si="13"/>
        <v>100</v>
      </c>
      <c r="V32" s="1506" t="s">
        <v>11</v>
      </c>
      <c r="W32" s="1507">
        <f t="shared" si="14"/>
        <v>100</v>
      </c>
      <c r="X32" s="1500"/>
      <c r="Y32" s="3563" t="s">
        <v>543</v>
      </c>
      <c r="Z32" s="1508" t="str">
        <f t="shared" si="15"/>
        <v>建筑类型</v>
      </c>
      <c r="AA32" s="1509">
        <f t="shared" si="3"/>
        <v>1</v>
      </c>
      <c r="AB32" s="1509">
        <f t="shared" si="4"/>
        <v>1</v>
      </c>
      <c r="AC32" s="1509">
        <f t="shared" si="5"/>
        <v>1</v>
      </c>
    </row>
    <row r="33" spans="1:29" s="1292" customFormat="1" ht="15">
      <c r="A33" s="596"/>
      <c r="B33" s="520" t="s">
        <v>719</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1"/>
      <c r="M33" s="2051"/>
      <c r="N33" s="2051"/>
      <c r="O33" s="2024"/>
      <c r="P33" s="3563"/>
      <c r="Q33" s="1534" t="str">
        <f t="shared" si="11"/>
        <v>项目建筑规模</v>
      </c>
      <c r="R33" s="1510" t="s">
        <v>11</v>
      </c>
      <c r="S33" s="1511" t="e">
        <f t="shared" si="12"/>
        <v>#N/A</v>
      </c>
      <c r="T33" s="1510" t="s">
        <v>11</v>
      </c>
      <c r="U33" s="1511" t="e">
        <f t="shared" si="13"/>
        <v>#N/A</v>
      </c>
      <c r="V33" s="1510" t="s">
        <v>11</v>
      </c>
      <c r="W33" s="1511" t="e">
        <f t="shared" si="14"/>
        <v>#N/A</v>
      </c>
      <c r="X33" s="1512"/>
      <c r="Y33" s="3563"/>
      <c r="Z33" s="1513" t="str">
        <f t="shared" si="15"/>
        <v>项目建筑规模</v>
      </c>
      <c r="AA33" s="1509" t="e">
        <f t="shared" si="3"/>
        <v>#N/A</v>
      </c>
      <c r="AB33" s="1509" t="e">
        <f t="shared" si="4"/>
        <v>#N/A</v>
      </c>
      <c r="AC33" s="1509"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3"/>
      <c r="M34" s="2015"/>
      <c r="N34" s="2015"/>
      <c r="O34" s="2022"/>
      <c r="P34" s="3563"/>
      <c r="Q34" s="1505" t="str">
        <f t="shared" si="11"/>
        <v>建筑结构</v>
      </c>
      <c r="R34" s="1506" t="s">
        <v>11</v>
      </c>
      <c r="S34" s="1507">
        <f t="shared" si="12"/>
        <v>100</v>
      </c>
      <c r="T34" s="1506" t="s">
        <v>11</v>
      </c>
      <c r="U34" s="1507">
        <f t="shared" si="13"/>
        <v>100</v>
      </c>
      <c r="V34" s="1506" t="s">
        <v>11</v>
      </c>
      <c r="W34" s="1507">
        <f t="shared" si="14"/>
        <v>100</v>
      </c>
      <c r="X34" s="1500"/>
      <c r="Y34" s="3563"/>
      <c r="Z34" s="1508" t="str">
        <f t="shared" si="15"/>
        <v>建筑结构</v>
      </c>
      <c r="AA34" s="1509">
        <f t="shared" si="3"/>
        <v>1</v>
      </c>
      <c r="AB34" s="1509">
        <f t="shared" si="4"/>
        <v>1</v>
      </c>
      <c r="AC34" s="1509">
        <f t="shared" si="5"/>
        <v>1</v>
      </c>
    </row>
    <row r="35" spans="1:29" ht="15">
      <c r="A35" s="587"/>
      <c r="B35" s="520" t="s">
        <v>721</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3"/>
      <c r="M35" s="2015"/>
      <c r="N35" s="2015"/>
      <c r="O35" s="2022"/>
      <c r="P35" s="3563"/>
      <c r="Q35" s="1505" t="str">
        <f t="shared" si="11"/>
        <v>建筑品质</v>
      </c>
      <c r="R35" s="1506" t="s">
        <v>11</v>
      </c>
      <c r="S35" s="1507">
        <f t="shared" si="12"/>
        <v>100</v>
      </c>
      <c r="T35" s="1506" t="s">
        <v>11</v>
      </c>
      <c r="U35" s="1507">
        <f t="shared" si="13"/>
        <v>100</v>
      </c>
      <c r="V35" s="1506" t="s">
        <v>11</v>
      </c>
      <c r="W35" s="1507">
        <f t="shared" si="14"/>
        <v>100</v>
      </c>
      <c r="X35" s="1500"/>
      <c r="Y35" s="3563"/>
      <c r="Z35" s="1508" t="str">
        <f t="shared" si="15"/>
        <v>建筑品质</v>
      </c>
      <c r="AA35" s="1509">
        <f t="shared" si="3"/>
        <v>1</v>
      </c>
      <c r="AB35" s="1509">
        <f t="shared" si="4"/>
        <v>1</v>
      </c>
      <c r="AC35" s="1509">
        <f t="shared" si="5"/>
        <v>1</v>
      </c>
    </row>
    <row r="36" spans="1:29" ht="15">
      <c r="A36" s="587"/>
      <c r="B36" s="520" t="s">
        <v>722</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3"/>
      <c r="M36" s="2015"/>
      <c r="N36" s="2015"/>
      <c r="O36" s="2022"/>
      <c r="P36" s="3563"/>
      <c r="Q36" s="1505" t="str">
        <f t="shared" si="11"/>
        <v>公共部分装修</v>
      </c>
      <c r="R36" s="1506" t="s">
        <v>11</v>
      </c>
      <c r="S36" s="1507">
        <f t="shared" si="12"/>
        <v>100</v>
      </c>
      <c r="T36" s="1506" t="s">
        <v>11</v>
      </c>
      <c r="U36" s="1507">
        <f t="shared" si="13"/>
        <v>100</v>
      </c>
      <c r="V36" s="1506" t="s">
        <v>11</v>
      </c>
      <c r="W36" s="1507">
        <f t="shared" si="14"/>
        <v>100</v>
      </c>
      <c r="X36" s="1500"/>
      <c r="Y36" s="3563"/>
      <c r="Z36" s="1508" t="str">
        <f t="shared" si="15"/>
        <v>公共部分装修</v>
      </c>
      <c r="AA36" s="1509">
        <f t="shared" si="3"/>
        <v>1</v>
      </c>
      <c r="AB36" s="1509">
        <f t="shared" si="4"/>
        <v>1</v>
      </c>
      <c r="AC36" s="1509">
        <f t="shared" si="5"/>
        <v>1</v>
      </c>
    </row>
    <row r="37" spans="1:29" s="1202" customFormat="1" ht="15">
      <c r="A37" s="593"/>
      <c r="B37" s="520" t="s">
        <v>723</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6"/>
      <c r="M37" s="2017"/>
      <c r="N37" s="2017"/>
      <c r="O37" s="2018"/>
      <c r="P37" s="3563"/>
      <c r="Q37" s="1133" t="str">
        <f t="shared" si="11"/>
        <v>成新度</v>
      </c>
      <c r="R37" s="1501" t="s">
        <v>11</v>
      </c>
      <c r="S37" s="1502" t="e">
        <f t="shared" si="12"/>
        <v>#N/A</v>
      </c>
      <c r="T37" s="1501" t="s">
        <v>11</v>
      </c>
      <c r="U37" s="1502" t="e">
        <f t="shared" si="13"/>
        <v>#N/A</v>
      </c>
      <c r="V37" s="1501" t="s">
        <v>11</v>
      </c>
      <c r="W37" s="1502" t="e">
        <f t="shared" si="14"/>
        <v>#N/A</v>
      </c>
      <c r="X37" s="1503"/>
      <c r="Y37" s="3563"/>
      <c r="Z37" s="1132" t="str">
        <f t="shared" si="15"/>
        <v>成新度</v>
      </c>
      <c r="AA37" s="1504" t="e">
        <f t="shared" si="3"/>
        <v>#N/A</v>
      </c>
      <c r="AB37" s="1504" t="e">
        <f t="shared" si="4"/>
        <v>#N/A</v>
      </c>
      <c r="AC37" s="1504" t="e">
        <f t="shared" si="5"/>
        <v>#N/A</v>
      </c>
    </row>
    <row r="38" spans="1:29" ht="15">
      <c r="A38" s="587"/>
      <c r="B38" s="520" t="s">
        <v>724</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3"/>
      <c r="M38" s="2015"/>
      <c r="N38" s="2015"/>
      <c r="O38" s="2022"/>
      <c r="P38" s="3563" t="s">
        <v>543</v>
      </c>
      <c r="Q38" s="1505" t="str">
        <f t="shared" si="11"/>
        <v>物业管理</v>
      </c>
      <c r="R38" s="1506" t="s">
        <v>11</v>
      </c>
      <c r="S38" s="1507">
        <f t="shared" si="12"/>
        <v>100</v>
      </c>
      <c r="T38" s="1506" t="s">
        <v>11</v>
      </c>
      <c r="U38" s="1507">
        <f t="shared" si="13"/>
        <v>100</v>
      </c>
      <c r="V38" s="1506" t="s">
        <v>11</v>
      </c>
      <c r="W38" s="1507">
        <f t="shared" si="14"/>
        <v>100</v>
      </c>
      <c r="X38" s="1500"/>
      <c r="Y38" s="3563" t="s">
        <v>543</v>
      </c>
      <c r="Z38" s="1508" t="str">
        <f t="shared" si="15"/>
        <v>物业管理</v>
      </c>
      <c r="AA38" s="1509">
        <f t="shared" si="3"/>
        <v>1</v>
      </c>
      <c r="AB38" s="1509">
        <f t="shared" si="4"/>
        <v>1</v>
      </c>
      <c r="AC38" s="1509">
        <f t="shared" si="5"/>
        <v>1</v>
      </c>
    </row>
    <row r="39" spans="1:29" ht="15">
      <c r="A39" s="587"/>
      <c r="B39" s="1808" t="s">
        <v>2545</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3"/>
      <c r="M39" s="2015"/>
      <c r="N39" s="2015"/>
      <c r="O39" s="2022"/>
      <c r="P39" s="3563"/>
      <c r="Q39" s="1505" t="str">
        <f t="shared" si="11"/>
        <v>市政基础设施</v>
      </c>
      <c r="R39" s="1506" t="s">
        <v>11</v>
      </c>
      <c r="S39" s="1507">
        <f t="shared" si="12"/>
        <v>100</v>
      </c>
      <c r="T39" s="1506" t="s">
        <v>11</v>
      </c>
      <c r="U39" s="1507">
        <f t="shared" si="13"/>
        <v>100</v>
      </c>
      <c r="V39" s="1506" t="s">
        <v>11</v>
      </c>
      <c r="W39" s="1507">
        <f t="shared" si="14"/>
        <v>100</v>
      </c>
      <c r="X39" s="1500"/>
      <c r="Y39" s="3563"/>
      <c r="Z39" s="1508" t="str">
        <f t="shared" si="15"/>
        <v>市政基础设施</v>
      </c>
      <c r="AA39" s="1509">
        <f t="shared" si="3"/>
        <v>1</v>
      </c>
      <c r="AB39" s="1509">
        <f t="shared" si="4"/>
        <v>1</v>
      </c>
      <c r="AC39" s="1509">
        <f t="shared" si="5"/>
        <v>1</v>
      </c>
    </row>
    <row r="40" spans="1:29" ht="15">
      <c r="A40" s="587"/>
      <c r="B40" s="520" t="s">
        <v>725</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63"/>
      <c r="Q40" s="1505" t="str">
        <f t="shared" si="11"/>
        <v>房型</v>
      </c>
      <c r="R40" s="1506" t="s">
        <v>11</v>
      </c>
      <c r="S40" s="1507">
        <f t="shared" si="12"/>
        <v>100</v>
      </c>
      <c r="T40" s="1506" t="s">
        <v>11</v>
      </c>
      <c r="U40" s="1507">
        <f t="shared" si="13"/>
        <v>100</v>
      </c>
      <c r="V40" s="1506" t="s">
        <v>11</v>
      </c>
      <c r="W40" s="1507">
        <f t="shared" si="14"/>
        <v>100</v>
      </c>
      <c r="X40" s="1500"/>
      <c r="Y40" s="3563"/>
      <c r="Z40" s="1508" t="str">
        <f t="shared" si="15"/>
        <v>房型</v>
      </c>
      <c r="AA40" s="1509">
        <f t="shared" si="3"/>
        <v>1</v>
      </c>
      <c r="AB40" s="1509">
        <f t="shared" si="4"/>
        <v>1</v>
      </c>
      <c r="AC40" s="1509">
        <f t="shared" si="5"/>
        <v>1</v>
      </c>
    </row>
    <row r="41" spans="1:29" s="1292" customFormat="1" ht="28.5">
      <c r="A41" s="596"/>
      <c r="B41" s="520" t="s">
        <v>726</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563"/>
      <c r="Q41" s="1534" t="str">
        <f t="shared" si="11"/>
        <v>单套/主力户型建筑面积</v>
      </c>
      <c r="R41" s="1510" t="s">
        <v>11</v>
      </c>
      <c r="S41" s="1511">
        <f t="shared" si="12"/>
        <v>100</v>
      </c>
      <c r="T41" s="1510" t="s">
        <v>11</v>
      </c>
      <c r="U41" s="1511">
        <f t="shared" si="13"/>
        <v>100</v>
      </c>
      <c r="V41" s="1510" t="s">
        <v>11</v>
      </c>
      <c r="W41" s="1511">
        <f t="shared" si="14"/>
        <v>100</v>
      </c>
      <c r="X41" s="1512"/>
      <c r="Y41" s="3563"/>
      <c r="Z41" s="1513" t="str">
        <f t="shared" si="15"/>
        <v>单套/主力户型建筑面积</v>
      </c>
      <c r="AA41" s="1509">
        <f t="shared" si="3"/>
        <v>1</v>
      </c>
      <c r="AB41" s="1509">
        <f t="shared" si="4"/>
        <v>1</v>
      </c>
      <c r="AC41" s="1509">
        <f t="shared" si="5"/>
        <v>1</v>
      </c>
    </row>
    <row r="42" spans="1:29" ht="15">
      <c r="A42" s="587"/>
      <c r="B42" s="520" t="s">
        <v>727</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3"/>
      <c r="M42" s="2015"/>
      <c r="N42" s="2015"/>
      <c r="O42" s="2022"/>
      <c r="P42" s="3563"/>
      <c r="Q42" s="1505" t="str">
        <f t="shared" si="11"/>
        <v>内部装修</v>
      </c>
      <c r="R42" s="1506" t="s">
        <v>11</v>
      </c>
      <c r="S42" s="1507">
        <f t="shared" si="12"/>
        <v>100</v>
      </c>
      <c r="T42" s="1506" t="s">
        <v>11</v>
      </c>
      <c r="U42" s="1507">
        <f t="shared" si="13"/>
        <v>100</v>
      </c>
      <c r="V42" s="1506" t="s">
        <v>11</v>
      </c>
      <c r="W42" s="1507">
        <f t="shared" si="14"/>
        <v>100</v>
      </c>
      <c r="X42" s="1500"/>
      <c r="Y42" s="3563"/>
      <c r="Z42" s="1508" t="str">
        <f t="shared" si="15"/>
        <v>内部装修</v>
      </c>
      <c r="AA42" s="1509">
        <f t="shared" si="3"/>
        <v>1</v>
      </c>
      <c r="AB42" s="1509">
        <f t="shared" si="4"/>
        <v>1</v>
      </c>
      <c r="AC42" s="1509">
        <f t="shared" si="5"/>
        <v>1</v>
      </c>
    </row>
    <row r="43" spans="1:29" ht="27">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63"/>
      <c r="Q43" s="1505" t="str">
        <f t="shared" si="11"/>
        <v>内部装修维护情况</v>
      </c>
      <c r="R43" s="1506" t="s">
        <v>11</v>
      </c>
      <c r="S43" s="1507">
        <f t="shared" si="12"/>
        <v>100</v>
      </c>
      <c r="T43" s="1506" t="s">
        <v>11</v>
      </c>
      <c r="U43" s="1507">
        <f t="shared" si="13"/>
        <v>100</v>
      </c>
      <c r="V43" s="1506" t="s">
        <v>11</v>
      </c>
      <c r="W43" s="1507">
        <f t="shared" si="14"/>
        <v>100</v>
      </c>
      <c r="X43" s="1500"/>
      <c r="Y43" s="3563"/>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563"/>
      <c r="Q44" s="1133">
        <f t="shared" si="11"/>
        <v>111</v>
      </c>
      <c r="R44" s="1501" t="s">
        <v>11</v>
      </c>
      <c r="S44" s="1502">
        <f t="shared" si="12"/>
        <v>100</v>
      </c>
      <c r="T44" s="1501" t="s">
        <v>11</v>
      </c>
      <c r="U44" s="1502">
        <f t="shared" si="13"/>
        <v>100</v>
      </c>
      <c r="V44" s="1501" t="s">
        <v>11</v>
      </c>
      <c r="W44" s="1502">
        <f t="shared" si="14"/>
        <v>100</v>
      </c>
      <c r="X44" s="1503"/>
      <c r="Y44" s="3563"/>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63"/>
      <c r="Q45" s="1505">
        <f t="shared" si="11"/>
        <v>111</v>
      </c>
      <c r="R45" s="1506" t="s">
        <v>11</v>
      </c>
      <c r="S45" s="1507">
        <f t="shared" si="12"/>
        <v>100</v>
      </c>
      <c r="T45" s="1506" t="s">
        <v>11</v>
      </c>
      <c r="U45" s="1507">
        <f t="shared" si="13"/>
        <v>100</v>
      </c>
      <c r="V45" s="1506" t="s">
        <v>11</v>
      </c>
      <c r="W45" s="1507">
        <f t="shared" si="14"/>
        <v>100</v>
      </c>
      <c r="X45" s="1500"/>
      <c r="Y45" s="3563"/>
      <c r="Z45" s="1508">
        <f t="shared" si="15"/>
        <v>111</v>
      </c>
      <c r="AA45" s="1509">
        <f t="shared" si="3"/>
        <v>1</v>
      </c>
      <c r="AB45" s="1509">
        <f t="shared" si="4"/>
        <v>1</v>
      </c>
      <c r="AC45" s="1509">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670"/>
      <c r="Q46" s="1505">
        <f t="shared" si="11"/>
        <v>111</v>
      </c>
      <c r="R46" s="1506" t="s">
        <v>10</v>
      </c>
      <c r="S46" s="1507">
        <f t="shared" si="12"/>
        <v>100</v>
      </c>
      <c r="T46" s="1506" t="s">
        <v>10</v>
      </c>
      <c r="U46" s="1507">
        <f t="shared" si="13"/>
        <v>100</v>
      </c>
      <c r="V46" s="1506" t="s">
        <v>10</v>
      </c>
      <c r="W46" s="1507">
        <f t="shared" si="14"/>
        <v>100</v>
      </c>
      <c r="X46" s="1500"/>
      <c r="Y46" s="3670"/>
      <c r="Z46" s="1508">
        <f t="shared" si="15"/>
        <v>111</v>
      </c>
      <c r="AA46" s="1509">
        <f t="shared" si="3"/>
        <v>1</v>
      </c>
      <c r="AB46" s="1509">
        <f t="shared" si="4"/>
        <v>1</v>
      </c>
      <c r="AC46" s="1509">
        <f t="shared" si="5"/>
        <v>1</v>
      </c>
    </row>
    <row r="47" spans="1:29" ht="15">
      <c r="A47" s="600" t="s">
        <v>729</v>
      </c>
      <c r="B47" s="875"/>
      <c r="C47" s="2469" t="s">
        <v>9</v>
      </c>
      <c r="D47" s="2470"/>
      <c r="E47" s="2471"/>
      <c r="F47" s="2472"/>
      <c r="G47" s="2473"/>
      <c r="H47" s="2474"/>
      <c r="I47" s="2471"/>
      <c r="J47" s="2474"/>
      <c r="K47" s="1535"/>
      <c r="L47" s="2025"/>
      <c r="M47" s="2026"/>
      <c r="N47" s="2015"/>
      <c r="O47" s="2026"/>
      <c r="P47" s="3526" t="str">
        <f>A47</f>
        <v>成交单价（元/平方米）</v>
      </c>
      <c r="Q47" s="3526"/>
      <c r="R47" s="3669">
        <f>E47</f>
        <v>0</v>
      </c>
      <c r="S47" s="3669"/>
      <c r="T47" s="3669">
        <f>G47</f>
        <v>0</v>
      </c>
      <c r="U47" s="3669"/>
      <c r="V47" s="3669">
        <f>I47</f>
        <v>0</v>
      </c>
      <c r="W47" s="3669"/>
      <c r="X47" s="1495"/>
      <c r="Y47" s="1514"/>
      <c r="Z47" s="1495"/>
      <c r="AA47" s="1495"/>
      <c r="AB47" s="1495"/>
      <c r="AC47" s="1495"/>
    </row>
    <row r="48" spans="1:29" ht="15.75" thickBot="1">
      <c r="A48" s="608" t="s">
        <v>2739</v>
      </c>
      <c r="B48" s="876"/>
      <c r="C48" s="2475" t="e">
        <f>R49</f>
        <v>#DIV/0!</v>
      </c>
      <c r="D48" s="3012" t="s">
        <v>2970</v>
      </c>
      <c r="E48" s="2476" t="e">
        <f>R48</f>
        <v>#DIV/0!</v>
      </c>
      <c r="F48" s="3013"/>
      <c r="G48" s="2475" t="e">
        <f>T48</f>
        <v>#DIV/0!</v>
      </c>
      <c r="H48" s="3013"/>
      <c r="I48" s="2476" t="e">
        <f>V48</f>
        <v>#DIV/0!</v>
      </c>
      <c r="J48" s="3013"/>
      <c r="K48" s="3021">
        <f>F48+H48+J48</f>
        <v>0</v>
      </c>
      <c r="L48" s="2025"/>
      <c r="M48" s="2026"/>
      <c r="N48" s="2026"/>
      <c r="O48" s="2026"/>
      <c r="P48" s="3526" t="str">
        <f>A48</f>
        <v>比较价格（元/平方米）</v>
      </c>
      <c r="Q48" s="3526"/>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495"/>
      <c r="Y48" s="1495"/>
      <c r="Z48" s="1495"/>
      <c r="AA48" s="1495"/>
      <c r="AB48" s="1495"/>
      <c r="AC48" s="1495"/>
    </row>
    <row r="49" spans="1:29" ht="15.75" thickBot="1">
      <c r="A49" s="612" t="s">
        <v>2902</v>
      </c>
      <c r="B49" s="613"/>
      <c r="C49" s="2477" t="e">
        <f>R49</f>
        <v>#DIV/0!</v>
      </c>
      <c r="D49" s="2477"/>
      <c r="E49" s="2477"/>
      <c r="F49" s="2477"/>
      <c r="G49" s="2477"/>
      <c r="H49" s="2477"/>
      <c r="I49" s="2477"/>
      <c r="J49" s="2477"/>
      <c r="K49" s="1536"/>
      <c r="L49" s="2025"/>
      <c r="M49" s="2026"/>
      <c r="N49" s="2026"/>
      <c r="O49" s="2026"/>
      <c r="P49" s="3523" t="str">
        <f>A49</f>
        <v>估价对象XX用房的比较价格（楼面单价，元/平方米）</v>
      </c>
      <c r="Q49" s="3524"/>
      <c r="R49" s="3668" t="e">
        <f>IF(F1="售价",ROUND(IF(D48="简单平均",AVERAGE(R48:V48),R48*F48+T48*H48+V48*J48),0),ROUND(IF(D48="简单平均",AVERAGE(R48:V48),R48*F48+T48*H48+V48*J48),1))</f>
        <v>#DIV/0!</v>
      </c>
      <c r="S49" s="3668"/>
      <c r="T49" s="3668"/>
      <c r="U49" s="3668"/>
      <c r="V49" s="3668"/>
      <c r="W49" s="3668"/>
      <c r="X49" s="1495"/>
      <c r="Y49" s="1495"/>
      <c r="Z49" s="1495"/>
      <c r="AA49" s="1495"/>
      <c r="AB49" s="1495"/>
      <c r="AC49" s="1495"/>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550</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552</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567</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522</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568</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524</v>
      </c>
      <c r="B61" s="639"/>
      <c r="C61" s="651" t="s">
        <v>569</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570</v>
      </c>
      <c r="B63" s="656" t="s">
        <v>527</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531</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532</v>
      </c>
      <c r="B76" s="656" t="s">
        <v>571</v>
      </c>
      <c r="C76" s="694" t="s">
        <v>572</v>
      </c>
      <c r="D76" s="694" t="s">
        <v>573</v>
      </c>
      <c r="E76" s="694" t="s">
        <v>574</v>
      </c>
      <c r="F76" s="694" t="s">
        <v>575</v>
      </c>
      <c r="G76" s="694" t="s">
        <v>576</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579</v>
      </c>
      <c r="C78" s="699" t="s">
        <v>572</v>
      </c>
      <c r="D78" s="699" t="s">
        <v>573</v>
      </c>
      <c r="E78" s="699" t="s">
        <v>574</v>
      </c>
      <c r="F78" s="699" t="s">
        <v>575</v>
      </c>
      <c r="G78" s="699" t="s">
        <v>576</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2538</v>
      </c>
      <c r="C80" s="699" t="s">
        <v>572</v>
      </c>
      <c r="D80" s="699" t="s">
        <v>573</v>
      </c>
      <c r="E80" s="699" t="s">
        <v>574</v>
      </c>
      <c r="F80" s="699" t="s">
        <v>575</v>
      </c>
      <c r="G80" s="699" t="s">
        <v>576</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2539</v>
      </c>
      <c r="C82" s="2441" t="s">
        <v>2540</v>
      </c>
      <c r="D82" s="2441" t="s">
        <v>2541</v>
      </c>
      <c r="E82" s="2441" t="s">
        <v>2542</v>
      </c>
      <c r="F82" s="2441" t="s">
        <v>2543</v>
      </c>
      <c r="G82" s="2441" t="s">
        <v>2544</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737</v>
      </c>
      <c r="C84" s="699" t="s">
        <v>572</v>
      </c>
      <c r="D84" s="699" t="s">
        <v>573</v>
      </c>
      <c r="E84" s="699" t="s">
        <v>574</v>
      </c>
      <c r="F84" s="699" t="s">
        <v>575</v>
      </c>
      <c r="G84" s="699" t="s">
        <v>576</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739</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544</v>
      </c>
      <c r="B100" s="656" t="s">
        <v>740</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741</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742</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743</v>
      </c>
      <c r="C107" s="709"/>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744</v>
      </c>
      <c r="C109" s="679"/>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746</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2537</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747</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726</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748</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750</v>
      </c>
      <c r="C1" s="497" t="s">
        <v>713</v>
      </c>
      <c r="D1" s="2224"/>
      <c r="E1" s="499"/>
      <c r="F1" s="2523"/>
      <c r="G1" s="1530" t="s">
        <v>714</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460</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512</v>
      </c>
      <c r="B3" s="503" t="e">
        <f>C49</f>
        <v>#DIV/0!</v>
      </c>
      <c r="C3" s="840" t="s">
        <v>715</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514</v>
      </c>
      <c r="B4" s="506"/>
      <c r="C4" s="3532" t="s">
        <v>515</v>
      </c>
      <c r="D4" s="3533"/>
      <c r="E4" s="3587" t="s">
        <v>516</v>
      </c>
      <c r="F4" s="3588"/>
      <c r="G4" s="3532" t="s">
        <v>517</v>
      </c>
      <c r="H4" s="3533"/>
      <c r="I4" s="3532" t="s">
        <v>518</v>
      </c>
      <c r="J4" s="3533"/>
      <c r="K4" s="507" t="s">
        <v>519</v>
      </c>
      <c r="L4" s="2014"/>
      <c r="M4" s="2015"/>
      <c r="N4" s="2015"/>
      <c r="O4" s="2015"/>
      <c r="P4" s="3534" t="s">
        <v>520</v>
      </c>
      <c r="Q4" s="3535"/>
      <c r="R4" s="3540" t="s">
        <v>516</v>
      </c>
      <c r="S4" s="3541"/>
      <c r="T4" s="3540" t="s">
        <v>517</v>
      </c>
      <c r="U4" s="3541"/>
      <c r="V4" s="3527" t="s">
        <v>518</v>
      </c>
      <c r="W4" s="3527"/>
      <c r="X4" s="1500"/>
      <c r="Y4" s="3540" t="s">
        <v>520</v>
      </c>
      <c r="Z4" s="3541"/>
      <c r="AA4" s="3529" t="s">
        <v>516</v>
      </c>
      <c r="AB4" s="3527" t="s">
        <v>517</v>
      </c>
      <c r="AC4" s="3529" t="s">
        <v>518</v>
      </c>
    </row>
    <row r="5" spans="1:29" ht="15">
      <c r="A5" s="508"/>
      <c r="B5" s="509"/>
      <c r="C5" s="3548" t="s">
        <v>2896</v>
      </c>
      <c r="D5" s="3549"/>
      <c r="E5" s="3589" t="s">
        <v>2897</v>
      </c>
      <c r="F5" s="3590"/>
      <c r="G5" s="3548" t="s">
        <v>2898</v>
      </c>
      <c r="H5" s="3549"/>
      <c r="I5" s="3548" t="s">
        <v>2899</v>
      </c>
      <c r="J5" s="3549"/>
      <c r="K5" s="507"/>
      <c r="L5" s="2014"/>
      <c r="M5" s="2015"/>
      <c r="N5" s="2015"/>
      <c r="O5" s="2015"/>
      <c r="P5" s="3536"/>
      <c r="Q5" s="3537"/>
      <c r="R5" s="3542"/>
      <c r="S5" s="3543"/>
      <c r="T5" s="3542"/>
      <c r="U5" s="3543"/>
      <c r="V5" s="3527"/>
      <c r="W5" s="3527"/>
      <c r="X5" s="1500"/>
      <c r="Y5" s="3542"/>
      <c r="Z5" s="3543"/>
      <c r="AA5" s="3530"/>
      <c r="AB5" s="3527"/>
      <c r="AC5" s="3530"/>
    </row>
    <row r="6" spans="1:29" ht="15.75" thickBot="1">
      <c r="A6" s="510"/>
      <c r="B6" s="511"/>
      <c r="C6" s="3546" t="s">
        <v>2900</v>
      </c>
      <c r="D6" s="3547"/>
      <c r="E6" s="3585" t="s">
        <v>2900</v>
      </c>
      <c r="F6" s="3586"/>
      <c r="G6" s="3546" t="s">
        <v>2900</v>
      </c>
      <c r="H6" s="3547"/>
      <c r="I6" s="3546" t="s">
        <v>2900</v>
      </c>
      <c r="J6" s="3547"/>
      <c r="K6" s="507" t="s">
        <v>521</v>
      </c>
      <c r="L6" s="2014"/>
      <c r="M6" s="2015"/>
      <c r="N6" s="2015"/>
      <c r="O6" s="2015"/>
      <c r="P6" s="3538"/>
      <c r="Q6" s="3539"/>
      <c r="R6" s="3542"/>
      <c r="S6" s="3543"/>
      <c r="T6" s="3544"/>
      <c r="U6" s="3545"/>
      <c r="V6" s="3527"/>
      <c r="W6" s="3527"/>
      <c r="X6" s="1500"/>
      <c r="Y6" s="3544"/>
      <c r="Z6" s="3545"/>
      <c r="AA6" s="3531"/>
      <c r="AB6" s="3527"/>
      <c r="AC6" s="3531"/>
    </row>
    <row r="7" spans="1:29" s="1202" customFormat="1" ht="15.75" thickBot="1">
      <c r="A7" s="2627"/>
      <c r="B7" s="2634" t="s">
        <v>522</v>
      </c>
      <c r="C7" s="512">
        <f>'数据-取费表'!B2</f>
        <v>44202</v>
      </c>
      <c r="D7" s="513">
        <v>100</v>
      </c>
      <c r="E7" s="514"/>
      <c r="F7" s="515">
        <f>SUMIF(58:58,YEAR(E7)&amp;"-"&amp;MONTH(E7),59:59)</f>
        <v>0</v>
      </c>
      <c r="G7" s="514"/>
      <c r="H7" s="513">
        <f>SUMIF(58:58,YEAR(G7)&amp;"-"&amp;MONTH(G7),59:59)</f>
        <v>0</v>
      </c>
      <c r="I7" s="514"/>
      <c r="J7" s="513">
        <f>SUMIF(58:58,YEAR(I7)&amp;"-"&amp;MONTH(I7),59:59)</f>
        <v>0</v>
      </c>
      <c r="K7" s="517"/>
      <c r="L7" s="2016"/>
      <c r="M7" s="2017"/>
      <c r="N7" s="2017"/>
      <c r="O7" s="2017"/>
      <c r="P7" s="3557" t="s">
        <v>523</v>
      </c>
      <c r="Q7" s="3559"/>
      <c r="R7" s="1501" t="s">
        <v>8</v>
      </c>
      <c r="S7" s="1502">
        <f t="shared" ref="S7:S15" si="0">F7</f>
        <v>0</v>
      </c>
      <c r="T7" s="1501" t="s">
        <v>8</v>
      </c>
      <c r="U7" s="1502">
        <f t="shared" ref="U7:U15" si="1">H7</f>
        <v>0</v>
      </c>
      <c r="V7" s="1501" t="s">
        <v>8</v>
      </c>
      <c r="W7" s="1502">
        <f t="shared" ref="W7:W15" si="2">J7</f>
        <v>0</v>
      </c>
      <c r="X7" s="1503"/>
      <c r="Y7" s="3557" t="s">
        <v>523</v>
      </c>
      <c r="Z7" s="3558"/>
      <c r="AA7" s="1504" t="e">
        <f>D7/F7</f>
        <v>#DIV/0!</v>
      </c>
      <c r="AB7" s="1504" t="e">
        <f>D7/H7</f>
        <v>#DIV/0!</v>
      </c>
      <c r="AC7" s="1504" t="e">
        <f>D7/J7</f>
        <v>#DIV/0!</v>
      </c>
    </row>
    <row r="8" spans="1:29" s="1202" customFormat="1" ht="15.75" thickBot="1">
      <c r="A8" s="2628"/>
      <c r="B8" s="2635" t="s">
        <v>524</v>
      </c>
      <c r="C8" s="518" t="s">
        <v>569</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557" t="s">
        <v>526</v>
      </c>
      <c r="Q8" s="3558"/>
      <c r="R8" s="1501" t="s">
        <v>8</v>
      </c>
      <c r="S8" s="1502">
        <f t="shared" si="0"/>
        <v>0</v>
      </c>
      <c r="T8" s="1501" t="s">
        <v>8</v>
      </c>
      <c r="U8" s="1502">
        <f t="shared" si="1"/>
        <v>0</v>
      </c>
      <c r="V8" s="1501" t="s">
        <v>8</v>
      </c>
      <c r="W8" s="1502">
        <f t="shared" si="2"/>
        <v>0</v>
      </c>
      <c r="X8" s="1503"/>
      <c r="Y8" s="3557" t="s">
        <v>526</v>
      </c>
      <c r="Z8" s="3558"/>
      <c r="AA8" s="1504" t="e">
        <f t="shared" ref="AA8:AA46" si="3">D8/F8</f>
        <v>#DIV/0!</v>
      </c>
      <c r="AB8" s="1504" t="e">
        <f t="shared" ref="AB8:AB46" si="4">D8/H8</f>
        <v>#DIV/0!</v>
      </c>
      <c r="AC8" s="1504" t="e">
        <f t="shared" ref="AC8:AC46" si="5">D8/J8</f>
        <v>#DIV/0!</v>
      </c>
    </row>
    <row r="9" spans="1:29" s="1202" customFormat="1" ht="15">
      <c r="A9" s="2629"/>
      <c r="B9" s="2636" t="s">
        <v>2735</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526" t="s">
        <v>528</v>
      </c>
      <c r="Q9" s="1133" t="str">
        <f t="shared" ref="Q9:Q15" si="6">B9</f>
        <v>用途</v>
      </c>
      <c r="R9" s="1501" t="s">
        <v>8</v>
      </c>
      <c r="S9" s="1502">
        <f t="shared" si="0"/>
        <v>100</v>
      </c>
      <c r="T9" s="1501" t="s">
        <v>8</v>
      </c>
      <c r="U9" s="1502">
        <f t="shared" si="1"/>
        <v>100</v>
      </c>
      <c r="V9" s="1501" t="s">
        <v>8</v>
      </c>
      <c r="W9" s="1502">
        <f t="shared" si="2"/>
        <v>100</v>
      </c>
      <c r="X9" s="1503"/>
      <c r="Y9" s="3472"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526"/>
      <c r="Q10" s="1133" t="str">
        <f t="shared" si="6"/>
        <v>土地使用年限（年）</v>
      </c>
      <c r="R10" s="1501" t="s">
        <v>8</v>
      </c>
      <c r="S10" s="1502">
        <f t="shared" si="0"/>
        <v>100</v>
      </c>
      <c r="T10" s="1501" t="s">
        <v>8</v>
      </c>
      <c r="U10" s="1502">
        <f t="shared" si="1"/>
        <v>100</v>
      </c>
      <c r="V10" s="1501" t="s">
        <v>8</v>
      </c>
      <c r="W10" s="1502">
        <f t="shared" si="2"/>
        <v>100</v>
      </c>
      <c r="X10" s="1503"/>
      <c r="Y10" s="3472"/>
      <c r="Z10" s="1132" t="str">
        <f t="shared" si="7"/>
        <v>土地使用年限（年）</v>
      </c>
      <c r="AA10" s="1504">
        <f t="shared" si="3"/>
        <v>1</v>
      </c>
      <c r="AB10" s="1504">
        <f t="shared" si="4"/>
        <v>1</v>
      </c>
      <c r="AC10" s="1504">
        <f t="shared" si="5"/>
        <v>1</v>
      </c>
    </row>
    <row r="11" spans="1:29" ht="15">
      <c r="A11" s="2631"/>
      <c r="B11" s="2635" t="s">
        <v>2737</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526"/>
      <c r="Q11" s="1133" t="str">
        <f t="shared" si="6"/>
        <v>容积率</v>
      </c>
      <c r="R11" s="1501" t="s">
        <v>8</v>
      </c>
      <c r="S11" s="1502" t="e">
        <f t="shared" si="0"/>
        <v>#N/A</v>
      </c>
      <c r="T11" s="1501" t="s">
        <v>8</v>
      </c>
      <c r="U11" s="1502" t="e">
        <f t="shared" si="1"/>
        <v>#N/A</v>
      </c>
      <c r="V11" s="1501" t="s">
        <v>8</v>
      </c>
      <c r="W11" s="1502" t="e">
        <f t="shared" si="2"/>
        <v>#N/A</v>
      </c>
      <c r="X11" s="1503"/>
      <c r="Y11" s="347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526"/>
      <c r="Q12" s="1133">
        <f t="shared" si="6"/>
        <v>111</v>
      </c>
      <c r="R12" s="1501" t="s">
        <v>8</v>
      </c>
      <c r="S12" s="1502">
        <f t="shared" si="0"/>
        <v>100</v>
      </c>
      <c r="T12" s="1501" t="s">
        <v>8</v>
      </c>
      <c r="U12" s="1502">
        <f t="shared" si="1"/>
        <v>100</v>
      </c>
      <c r="V12" s="1501" t="s">
        <v>8</v>
      </c>
      <c r="W12" s="1502">
        <f t="shared" si="2"/>
        <v>100</v>
      </c>
      <c r="X12" s="1503"/>
      <c r="Y12" s="3472"/>
      <c r="Z12" s="1132">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526"/>
      <c r="Q13" s="1133">
        <f t="shared" si="6"/>
        <v>111</v>
      </c>
      <c r="R13" s="1501" t="s">
        <v>8</v>
      </c>
      <c r="S13" s="1502">
        <f t="shared" si="0"/>
        <v>100</v>
      </c>
      <c r="T13" s="1501" t="s">
        <v>8</v>
      </c>
      <c r="U13" s="1502">
        <f t="shared" si="1"/>
        <v>100</v>
      </c>
      <c r="V13" s="1501" t="s">
        <v>8</v>
      </c>
      <c r="W13" s="1502">
        <f t="shared" si="2"/>
        <v>100</v>
      </c>
      <c r="X13" s="1503"/>
      <c r="Y13" s="3472"/>
      <c r="Z13" s="1132">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526"/>
      <c r="Q14" s="1133">
        <f t="shared" si="6"/>
        <v>111</v>
      </c>
      <c r="R14" s="1501" t="s">
        <v>8</v>
      </c>
      <c r="S14" s="1502">
        <f t="shared" si="0"/>
        <v>100</v>
      </c>
      <c r="T14" s="1501" t="s">
        <v>8</v>
      </c>
      <c r="U14" s="1502">
        <f t="shared" si="1"/>
        <v>100</v>
      </c>
      <c r="V14" s="1501" t="s">
        <v>8</v>
      </c>
      <c r="W14" s="1502">
        <f t="shared" si="2"/>
        <v>100</v>
      </c>
      <c r="X14" s="1503"/>
      <c r="Y14" s="3472"/>
      <c r="Z14" s="1132">
        <f t="shared" si="7"/>
        <v>111</v>
      </c>
      <c r="AA14" s="1504">
        <f t="shared" si="3"/>
        <v>1</v>
      </c>
      <c r="AB14" s="1504">
        <f t="shared" si="4"/>
        <v>1</v>
      </c>
      <c r="AC14" s="1504">
        <f t="shared" si="5"/>
        <v>1</v>
      </c>
    </row>
    <row r="15" spans="1:29" ht="71.25">
      <c r="A15" s="2625" t="s">
        <v>2733</v>
      </c>
      <c r="B15" s="164" t="s">
        <v>534</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560" t="s">
        <v>533</v>
      </c>
      <c r="Q15" s="1505" t="str">
        <f t="shared" si="6"/>
        <v>商业繁华度</v>
      </c>
      <c r="R15" s="1506" t="s">
        <v>8</v>
      </c>
      <c r="S15" s="1507">
        <f t="shared" si="0"/>
        <v>100</v>
      </c>
      <c r="T15" s="1506" t="s">
        <v>8</v>
      </c>
      <c r="U15" s="1507">
        <f t="shared" si="1"/>
        <v>100</v>
      </c>
      <c r="V15" s="1506" t="s">
        <v>8</v>
      </c>
      <c r="W15" s="1507">
        <f t="shared" si="2"/>
        <v>100</v>
      </c>
      <c r="X15" s="1500"/>
      <c r="Y15" s="3560" t="s">
        <v>533</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561"/>
      <c r="Q16" s="1505"/>
      <c r="R16" s="1506"/>
      <c r="S16" s="1507"/>
      <c r="T16" s="1506"/>
      <c r="U16" s="1507"/>
      <c r="V16" s="1506"/>
      <c r="W16" s="1507"/>
      <c r="X16" s="1500"/>
      <c r="Y16" s="3561"/>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561"/>
      <c r="Q17" s="1505" t="str">
        <f>B17</f>
        <v>交通便捷度</v>
      </c>
      <c r="R17" s="1506" t="s">
        <v>8</v>
      </c>
      <c r="S17" s="1507">
        <f>F17</f>
        <v>100</v>
      </c>
      <c r="T17" s="1506" t="s">
        <v>8</v>
      </c>
      <c r="U17" s="1507">
        <f>H17</f>
        <v>100</v>
      </c>
      <c r="V17" s="1506" t="s">
        <v>8</v>
      </c>
      <c r="W17" s="1507">
        <f>J17</f>
        <v>100</v>
      </c>
      <c r="X17" s="1500"/>
      <c r="Y17" s="3561"/>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561"/>
      <c r="Q18" s="1505"/>
      <c r="R18" s="1506"/>
      <c r="S18" s="1507"/>
      <c r="T18" s="1506"/>
      <c r="U18" s="1507"/>
      <c r="V18" s="1506"/>
      <c r="W18" s="1507"/>
      <c r="X18" s="1500"/>
      <c r="Y18" s="3561"/>
      <c r="Z18" s="1508"/>
      <c r="AA18" s="1509">
        <v>1</v>
      </c>
      <c r="AB18" s="1509">
        <v>1</v>
      </c>
      <c r="AC18" s="1509">
        <v>1</v>
      </c>
    </row>
    <row r="19" spans="1:29" ht="42.75">
      <c r="A19" s="525"/>
      <c r="B19" s="2443"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561"/>
      <c r="Q19" s="1505" t="str">
        <f>B19</f>
        <v>公共配套设施</v>
      </c>
      <c r="R19" s="1506" t="s">
        <v>8</v>
      </c>
      <c r="S19" s="1507">
        <f>F19</f>
        <v>100</v>
      </c>
      <c r="T19" s="1506" t="s">
        <v>8</v>
      </c>
      <c r="U19" s="1507">
        <f>H19</f>
        <v>100</v>
      </c>
      <c r="V19" s="1506" t="s">
        <v>8</v>
      </c>
      <c r="W19" s="1507">
        <f>J19</f>
        <v>100</v>
      </c>
      <c r="X19" s="1500"/>
      <c r="Y19" s="3561"/>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3"/>
      <c r="M20" s="2015"/>
      <c r="N20" s="2015"/>
      <c r="O20" s="2022"/>
      <c r="P20" s="3561"/>
      <c r="Q20" s="1505"/>
      <c r="R20" s="1506"/>
      <c r="S20" s="1507"/>
      <c r="T20" s="1506"/>
      <c r="U20" s="1507"/>
      <c r="V20" s="1506"/>
      <c r="W20" s="1507"/>
      <c r="X20" s="1500"/>
      <c r="Y20" s="3561"/>
      <c r="Z20" s="1508"/>
      <c r="AA20" s="1509">
        <v>1</v>
      </c>
      <c r="AB20" s="1509">
        <v>1</v>
      </c>
      <c r="AC20" s="1509">
        <v>1</v>
      </c>
    </row>
    <row r="21" spans="1:29" ht="28.5">
      <c r="A21" s="525"/>
      <c r="B21" s="2436"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561"/>
      <c r="Q21" s="2428" t="str">
        <f>B21</f>
        <v>基础设施水平</v>
      </c>
      <c r="R21" s="1506" t="s">
        <v>8</v>
      </c>
      <c r="S21" s="1507">
        <f>F21</f>
        <v>100</v>
      </c>
      <c r="T21" s="1506" t="s">
        <v>8</v>
      </c>
      <c r="U21" s="1507">
        <f>H21</f>
        <v>100</v>
      </c>
      <c r="V21" s="1506" t="s">
        <v>8</v>
      </c>
      <c r="W21" s="1507">
        <f>J21</f>
        <v>100</v>
      </c>
      <c r="X21" s="2430"/>
      <c r="Y21" s="3561"/>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5"/>
      <c r="L22" s="2023"/>
      <c r="M22" s="2015"/>
      <c r="N22" s="2015"/>
      <c r="O22" s="2022"/>
      <c r="P22" s="3561"/>
      <c r="Q22" s="2428"/>
      <c r="R22" s="1506"/>
      <c r="S22" s="1507"/>
      <c r="T22" s="1506"/>
      <c r="U22" s="1507"/>
      <c r="V22" s="1506"/>
      <c r="W22" s="1507"/>
      <c r="X22" s="2430"/>
      <c r="Y22" s="3561"/>
      <c r="Z22" s="2429"/>
      <c r="AA22" s="1509">
        <v>1</v>
      </c>
      <c r="AB22" s="1509">
        <v>1</v>
      </c>
      <c r="AC22" s="1509">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561"/>
      <c r="Q23" s="1505" t="str">
        <f>B23</f>
        <v>自然及人文环境</v>
      </c>
      <c r="R23" s="1506" t="s">
        <v>8</v>
      </c>
      <c r="S23" s="1507">
        <f>F23</f>
        <v>100</v>
      </c>
      <c r="T23" s="1506" t="s">
        <v>8</v>
      </c>
      <c r="U23" s="1507">
        <f>H23</f>
        <v>100</v>
      </c>
      <c r="V23" s="1506" t="s">
        <v>8</v>
      </c>
      <c r="W23" s="1507">
        <f>J23</f>
        <v>100</v>
      </c>
      <c r="X23" s="1500"/>
      <c r="Y23" s="3561"/>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3"/>
      <c r="M24" s="2015"/>
      <c r="N24" s="2015"/>
      <c r="O24" s="2022"/>
      <c r="P24" s="3561"/>
      <c r="Q24" s="1505"/>
      <c r="R24" s="1506"/>
      <c r="S24" s="1507"/>
      <c r="T24" s="1506"/>
      <c r="U24" s="1507"/>
      <c r="V24" s="1506"/>
      <c r="W24" s="1507"/>
      <c r="X24" s="1500"/>
      <c r="Y24" s="3561"/>
      <c r="Z24" s="1508"/>
      <c r="AA24" s="1509">
        <v>1</v>
      </c>
      <c r="AB24" s="1509">
        <v>1</v>
      </c>
      <c r="AC24" s="1509">
        <v>1</v>
      </c>
    </row>
    <row r="25" spans="1:29" ht="15">
      <c r="A25" s="525"/>
      <c r="B25" s="520" t="s">
        <v>540</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61"/>
      <c r="Q25" s="1505" t="str">
        <f t="shared" ref="Q25:Q46" si="11">B25</f>
        <v>临街状况</v>
      </c>
      <c r="R25" s="1506" t="s">
        <v>8</v>
      </c>
      <c r="S25" s="1507">
        <f>F25</f>
        <v>100</v>
      </c>
      <c r="T25" s="1506" t="s">
        <v>8</v>
      </c>
      <c r="U25" s="1507">
        <f>H25</f>
        <v>100</v>
      </c>
      <c r="V25" s="1506" t="s">
        <v>8</v>
      </c>
      <c r="W25" s="1507">
        <f>J25</f>
        <v>100</v>
      </c>
      <c r="X25" s="1500"/>
      <c r="Y25" s="3561"/>
      <c r="Z25" s="1508" t="str">
        <f>Q25</f>
        <v>临街状况</v>
      </c>
      <c r="AA25" s="1509">
        <f t="shared" si="3"/>
        <v>1</v>
      </c>
      <c r="AB25" s="1509">
        <f t="shared" si="4"/>
        <v>1</v>
      </c>
      <c r="AC25" s="1509">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61"/>
      <c r="Q26" s="1505" t="str">
        <f t="shared" si="11"/>
        <v>平面位置/可视性</v>
      </c>
      <c r="R26" s="1506" t="s">
        <v>8</v>
      </c>
      <c r="S26" s="1507">
        <f>F26</f>
        <v>100</v>
      </c>
      <c r="T26" s="1506" t="s">
        <v>8</v>
      </c>
      <c r="U26" s="1507">
        <f>H26</f>
        <v>100</v>
      </c>
      <c r="V26" s="1506" t="s">
        <v>8</v>
      </c>
      <c r="W26" s="1507">
        <f>J26</f>
        <v>100</v>
      </c>
      <c r="X26" s="1500"/>
      <c r="Y26" s="3561"/>
      <c r="Z26" s="1508" t="str">
        <f>Q26</f>
        <v>平面位置/可视性</v>
      </c>
      <c r="AA26" s="1509">
        <f t="shared" si="3"/>
        <v>1</v>
      </c>
      <c r="AB26" s="1509">
        <f t="shared" si="4"/>
        <v>1</v>
      </c>
      <c r="AC26" s="1509">
        <f t="shared" si="5"/>
        <v>1</v>
      </c>
    </row>
    <row r="27" spans="1:29" s="1202" customFormat="1" ht="15">
      <c r="A27" s="529"/>
      <c r="B27" s="859" t="s">
        <v>752</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561"/>
      <c r="Q27" s="1133" t="str">
        <f t="shared" si="11"/>
        <v>人流量</v>
      </c>
      <c r="R27" s="1501" t="s">
        <v>8</v>
      </c>
      <c r="S27" s="1502">
        <f>F27</f>
        <v>100</v>
      </c>
      <c r="T27" s="1501" t="s">
        <v>8</v>
      </c>
      <c r="U27" s="1502">
        <f>H27</f>
        <v>100</v>
      </c>
      <c r="V27" s="1501" t="s">
        <v>8</v>
      </c>
      <c r="W27" s="1502">
        <f>J27</f>
        <v>100</v>
      </c>
      <c r="X27" s="1503"/>
      <c r="Y27" s="3561"/>
      <c r="Z27" s="1132" t="str">
        <f>Q27</f>
        <v>人流量</v>
      </c>
      <c r="AA27" s="1509">
        <f>D27/F27</f>
        <v>1</v>
      </c>
      <c r="AB27" s="1509">
        <f>D27/H27</f>
        <v>1</v>
      </c>
      <c r="AC27" s="1509">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6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61"/>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61"/>
      <c r="Q29" s="1505">
        <f t="shared" si="11"/>
        <v>111</v>
      </c>
      <c r="R29" s="1506" t="s">
        <v>8</v>
      </c>
      <c r="S29" s="1507">
        <f t="shared" si="12"/>
        <v>100</v>
      </c>
      <c r="T29" s="1506" t="s">
        <v>8</v>
      </c>
      <c r="U29" s="1507">
        <f t="shared" si="13"/>
        <v>100</v>
      </c>
      <c r="V29" s="1506" t="s">
        <v>8</v>
      </c>
      <c r="W29" s="1507">
        <f t="shared" si="14"/>
        <v>100</v>
      </c>
      <c r="X29" s="1500"/>
      <c r="Y29" s="3561"/>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61"/>
      <c r="Q30" s="1505">
        <f t="shared" si="11"/>
        <v>111</v>
      </c>
      <c r="R30" s="1506" t="s">
        <v>8</v>
      </c>
      <c r="S30" s="1507">
        <f t="shared" si="12"/>
        <v>100</v>
      </c>
      <c r="T30" s="1506" t="s">
        <v>8</v>
      </c>
      <c r="U30" s="1507">
        <f t="shared" si="13"/>
        <v>100</v>
      </c>
      <c r="V30" s="1506" t="s">
        <v>8</v>
      </c>
      <c r="W30" s="1507">
        <f t="shared" si="14"/>
        <v>100</v>
      </c>
      <c r="X30" s="1500"/>
      <c r="Y30" s="3561"/>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61"/>
      <c r="Q31" s="1505">
        <f t="shared" si="11"/>
        <v>111</v>
      </c>
      <c r="R31" s="1506" t="s">
        <v>8</v>
      </c>
      <c r="S31" s="1507">
        <f t="shared" si="12"/>
        <v>100</v>
      </c>
      <c r="T31" s="1506" t="s">
        <v>8</v>
      </c>
      <c r="U31" s="1507">
        <f t="shared" si="13"/>
        <v>100</v>
      </c>
      <c r="V31" s="1506" t="s">
        <v>8</v>
      </c>
      <c r="W31" s="1507">
        <f t="shared" si="14"/>
        <v>100</v>
      </c>
      <c r="X31" s="1500"/>
      <c r="Y31" s="3561"/>
      <c r="Z31" s="1508">
        <f t="shared" si="15"/>
        <v>111</v>
      </c>
      <c r="AA31" s="1509">
        <f t="shared" si="3"/>
        <v>1</v>
      </c>
      <c r="AB31" s="1509">
        <f t="shared" si="4"/>
        <v>1</v>
      </c>
      <c r="AC31" s="1509">
        <f t="shared" si="5"/>
        <v>1</v>
      </c>
    </row>
    <row r="32" spans="1:29" ht="15">
      <c r="A32" s="2623" t="s">
        <v>2734</v>
      </c>
      <c r="B32" s="170"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62" t="s">
        <v>543</v>
      </c>
      <c r="Q32" s="1505" t="str">
        <f t="shared" si="11"/>
        <v>商业类型</v>
      </c>
      <c r="R32" s="1506" t="s">
        <v>8</v>
      </c>
      <c r="S32" s="1507">
        <f t="shared" si="12"/>
        <v>100</v>
      </c>
      <c r="T32" s="1506" t="s">
        <v>8</v>
      </c>
      <c r="U32" s="1507">
        <f t="shared" si="13"/>
        <v>100</v>
      </c>
      <c r="V32" s="1506" t="s">
        <v>8</v>
      </c>
      <c r="W32" s="1507">
        <f t="shared" si="14"/>
        <v>100</v>
      </c>
      <c r="X32" s="1500"/>
      <c r="Y32" s="3563" t="s">
        <v>543</v>
      </c>
      <c r="Z32" s="1508" t="str">
        <f t="shared" si="15"/>
        <v>商业类型</v>
      </c>
      <c r="AA32" s="1509">
        <f t="shared" si="3"/>
        <v>1</v>
      </c>
      <c r="AB32" s="1509">
        <f t="shared" si="4"/>
        <v>1</v>
      </c>
      <c r="AC32" s="1509">
        <f t="shared" si="5"/>
        <v>1</v>
      </c>
    </row>
    <row r="33" spans="1:29" s="1292"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563"/>
      <c r="Q33" s="1534" t="str">
        <f t="shared" si="11"/>
        <v>项目建筑规模</v>
      </c>
      <c r="R33" s="1510" t="s">
        <v>8</v>
      </c>
      <c r="S33" s="1511" t="e">
        <f t="shared" si="12"/>
        <v>#N/A</v>
      </c>
      <c r="T33" s="1510" t="s">
        <v>8</v>
      </c>
      <c r="U33" s="1511" t="e">
        <f t="shared" si="13"/>
        <v>#N/A</v>
      </c>
      <c r="V33" s="1510" t="s">
        <v>8</v>
      </c>
      <c r="W33" s="1511" t="e">
        <f t="shared" si="14"/>
        <v>#N/A</v>
      </c>
      <c r="X33" s="1512"/>
      <c r="Y33" s="3563"/>
      <c r="Z33" s="1513" t="str">
        <f t="shared" si="15"/>
        <v>项目建筑规模</v>
      </c>
      <c r="AA33" s="1509" t="e">
        <f t="shared" si="3"/>
        <v>#N/A</v>
      </c>
      <c r="AB33" s="1509" t="e">
        <f t="shared" si="4"/>
        <v>#N/A</v>
      </c>
      <c r="AC33" s="1509"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563"/>
      <c r="Q34" s="1505" t="str">
        <f t="shared" si="11"/>
        <v>建筑结构</v>
      </c>
      <c r="R34" s="1506" t="s">
        <v>8</v>
      </c>
      <c r="S34" s="1507">
        <f t="shared" si="12"/>
        <v>100</v>
      </c>
      <c r="T34" s="1506" t="s">
        <v>8</v>
      </c>
      <c r="U34" s="1507">
        <f t="shared" si="13"/>
        <v>100</v>
      </c>
      <c r="V34" s="1506" t="s">
        <v>8</v>
      </c>
      <c r="W34" s="1507">
        <f t="shared" si="14"/>
        <v>100</v>
      </c>
      <c r="X34" s="1500"/>
      <c r="Y34" s="3563"/>
      <c r="Z34" s="1508" t="str">
        <f t="shared" si="15"/>
        <v>建筑结构</v>
      </c>
      <c r="AA34" s="1509">
        <f t="shared" si="3"/>
        <v>1</v>
      </c>
      <c r="AB34" s="1509">
        <f t="shared" si="4"/>
        <v>1</v>
      </c>
      <c r="AC34" s="1509">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63"/>
      <c r="Q35" s="1505" t="str">
        <f t="shared" si="11"/>
        <v>公共部分装修</v>
      </c>
      <c r="R35" s="1506" t="s">
        <v>8</v>
      </c>
      <c r="S35" s="1507">
        <f t="shared" si="12"/>
        <v>100</v>
      </c>
      <c r="T35" s="1506" t="s">
        <v>8</v>
      </c>
      <c r="U35" s="1507">
        <f t="shared" si="13"/>
        <v>100</v>
      </c>
      <c r="V35" s="1506" t="s">
        <v>8</v>
      </c>
      <c r="W35" s="1507">
        <f t="shared" si="14"/>
        <v>100</v>
      </c>
      <c r="X35" s="1500"/>
      <c r="Y35" s="3563"/>
      <c r="Z35" s="1508" t="str">
        <f t="shared" si="15"/>
        <v>公共部分装修</v>
      </c>
      <c r="AA35" s="1509">
        <f t="shared" si="3"/>
        <v>1</v>
      </c>
      <c r="AB35" s="1509">
        <f t="shared" si="4"/>
        <v>1</v>
      </c>
      <c r="AC35" s="1509">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563"/>
      <c r="Q36" s="1505" t="str">
        <f t="shared" si="11"/>
        <v>成新度</v>
      </c>
      <c r="R36" s="1506" t="s">
        <v>8</v>
      </c>
      <c r="S36" s="1507" t="e">
        <f t="shared" si="12"/>
        <v>#N/A</v>
      </c>
      <c r="T36" s="1506" t="s">
        <v>8</v>
      </c>
      <c r="U36" s="1507" t="e">
        <f t="shared" si="13"/>
        <v>#N/A</v>
      </c>
      <c r="V36" s="1506" t="s">
        <v>8</v>
      </c>
      <c r="W36" s="1507" t="e">
        <f t="shared" si="14"/>
        <v>#N/A</v>
      </c>
      <c r="X36" s="1500"/>
      <c r="Y36" s="3563"/>
      <c r="Z36" s="1508" t="str">
        <f t="shared" si="15"/>
        <v>成新度</v>
      </c>
      <c r="AA36" s="1509" t="e">
        <f t="shared" si="3"/>
        <v>#N/A</v>
      </c>
      <c r="AB36" s="1509" t="e">
        <f t="shared" si="4"/>
        <v>#N/A</v>
      </c>
      <c r="AC36" s="1509" t="e">
        <f t="shared" si="5"/>
        <v>#N/A</v>
      </c>
    </row>
    <row r="37" spans="1:29" s="1202" customFormat="1" ht="15">
      <c r="A37" s="593"/>
      <c r="B37" s="1808"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63"/>
      <c r="Q37" s="1133" t="str">
        <f t="shared" si="11"/>
        <v>市政基础设施</v>
      </c>
      <c r="R37" s="1501" t="s">
        <v>8</v>
      </c>
      <c r="S37" s="1502">
        <f t="shared" si="12"/>
        <v>100</v>
      </c>
      <c r="T37" s="1501" t="s">
        <v>8</v>
      </c>
      <c r="U37" s="1502">
        <f t="shared" si="13"/>
        <v>100</v>
      </c>
      <c r="V37" s="1501" t="s">
        <v>8</v>
      </c>
      <c r="W37" s="1502">
        <f t="shared" si="14"/>
        <v>100</v>
      </c>
      <c r="X37" s="1503"/>
      <c r="Y37" s="3563"/>
      <c r="Z37" s="1132" t="str">
        <f t="shared" si="15"/>
        <v>市政基础设施</v>
      </c>
      <c r="AA37" s="1504">
        <f t="shared" si="3"/>
        <v>1</v>
      </c>
      <c r="AB37" s="1504">
        <f t="shared" si="4"/>
        <v>1</v>
      </c>
      <c r="AC37" s="1504">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63" t="s">
        <v>759</v>
      </c>
      <c r="Q38" s="1505" t="str">
        <f t="shared" si="11"/>
        <v>业态</v>
      </c>
      <c r="R38" s="1506" t="s">
        <v>8</v>
      </c>
      <c r="S38" s="1507">
        <f t="shared" si="12"/>
        <v>100</v>
      </c>
      <c r="T38" s="1506" t="s">
        <v>8</v>
      </c>
      <c r="U38" s="1507">
        <f t="shared" si="13"/>
        <v>100</v>
      </c>
      <c r="V38" s="1506" t="s">
        <v>8</v>
      </c>
      <c r="W38" s="1507">
        <f t="shared" si="14"/>
        <v>100</v>
      </c>
      <c r="X38" s="1500"/>
      <c r="Y38" s="3563" t="s">
        <v>759</v>
      </c>
      <c r="Z38" s="1508" t="str">
        <f t="shared" si="15"/>
        <v>业态</v>
      </c>
      <c r="AA38" s="1509">
        <f t="shared" si="3"/>
        <v>1</v>
      </c>
      <c r="AB38" s="1509">
        <f t="shared" si="4"/>
        <v>1</v>
      </c>
      <c r="AC38" s="1509">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63"/>
      <c r="Q39" s="1505" t="str">
        <f t="shared" si="11"/>
        <v>层高</v>
      </c>
      <c r="R39" s="1506" t="s">
        <v>8</v>
      </c>
      <c r="S39" s="1507">
        <f t="shared" si="12"/>
        <v>100</v>
      </c>
      <c r="T39" s="1506" t="s">
        <v>8</v>
      </c>
      <c r="U39" s="1507">
        <f t="shared" si="13"/>
        <v>100</v>
      </c>
      <c r="V39" s="1506" t="s">
        <v>8</v>
      </c>
      <c r="W39" s="1507">
        <f t="shared" si="14"/>
        <v>100</v>
      </c>
      <c r="X39" s="1500"/>
      <c r="Y39" s="3563"/>
      <c r="Z39" s="1508" t="str">
        <f t="shared" si="15"/>
        <v>层高</v>
      </c>
      <c r="AA39" s="1509">
        <f t="shared" si="3"/>
        <v>1</v>
      </c>
      <c r="AB39" s="1509">
        <f t="shared" si="4"/>
        <v>1</v>
      </c>
      <c r="AC39" s="1509">
        <f t="shared" si="5"/>
        <v>1</v>
      </c>
    </row>
    <row r="40" spans="1:29" ht="15">
      <c r="A40" s="587"/>
      <c r="B40" s="520" t="s">
        <v>761</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63"/>
      <c r="Q40" s="1505" t="str">
        <f t="shared" si="11"/>
        <v>单套建筑面积</v>
      </c>
      <c r="R40" s="1506" t="s">
        <v>8</v>
      </c>
      <c r="S40" s="1507">
        <f t="shared" si="12"/>
        <v>100</v>
      </c>
      <c r="T40" s="1506" t="s">
        <v>8</v>
      </c>
      <c r="U40" s="1507">
        <f t="shared" si="13"/>
        <v>100</v>
      </c>
      <c r="V40" s="1506" t="s">
        <v>8</v>
      </c>
      <c r="W40" s="1507">
        <f t="shared" si="14"/>
        <v>100</v>
      </c>
      <c r="X40" s="1500"/>
      <c r="Y40" s="3563"/>
      <c r="Z40" s="1508" t="str">
        <f t="shared" si="15"/>
        <v>单套建筑面积</v>
      </c>
      <c r="AA40" s="1509">
        <f t="shared" si="3"/>
        <v>1</v>
      </c>
      <c r="AB40" s="1509">
        <f t="shared" si="4"/>
        <v>1</v>
      </c>
      <c r="AC40" s="1509">
        <f t="shared" si="5"/>
        <v>1</v>
      </c>
    </row>
    <row r="41" spans="1:29" s="1292" customFormat="1" ht="15">
      <c r="A41" s="596"/>
      <c r="B41" s="892"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63"/>
      <c r="Q41" s="1534" t="str">
        <f t="shared" si="11"/>
        <v>进深比</v>
      </c>
      <c r="R41" s="1510" t="s">
        <v>8</v>
      </c>
      <c r="S41" s="1511">
        <f t="shared" si="12"/>
        <v>100</v>
      </c>
      <c r="T41" s="1510" t="s">
        <v>8</v>
      </c>
      <c r="U41" s="1511">
        <f t="shared" si="13"/>
        <v>100</v>
      </c>
      <c r="V41" s="1510" t="s">
        <v>8</v>
      </c>
      <c r="W41" s="1511">
        <f t="shared" si="14"/>
        <v>100</v>
      </c>
      <c r="X41" s="1512"/>
      <c r="Y41" s="3563"/>
      <c r="Z41" s="1513" t="str">
        <f t="shared" si="15"/>
        <v>进深比</v>
      </c>
      <c r="AA41" s="1509">
        <f t="shared" si="3"/>
        <v>1</v>
      </c>
      <c r="AB41" s="1509">
        <f t="shared" si="4"/>
        <v>1</v>
      </c>
      <c r="AC41" s="1509">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63"/>
      <c r="Q42" s="1505" t="str">
        <f t="shared" si="11"/>
        <v>内部装修</v>
      </c>
      <c r="R42" s="1506" t="s">
        <v>8</v>
      </c>
      <c r="S42" s="1507">
        <f t="shared" si="12"/>
        <v>100</v>
      </c>
      <c r="T42" s="1506" t="s">
        <v>8</v>
      </c>
      <c r="U42" s="1507">
        <f t="shared" si="13"/>
        <v>100</v>
      </c>
      <c r="V42" s="1506" t="s">
        <v>8</v>
      </c>
      <c r="W42" s="1507">
        <f t="shared" si="14"/>
        <v>100</v>
      </c>
      <c r="X42" s="1500"/>
      <c r="Y42" s="3563"/>
      <c r="Z42" s="1508" t="str">
        <f t="shared" si="15"/>
        <v>内部装修</v>
      </c>
      <c r="AA42" s="1509">
        <f t="shared" si="3"/>
        <v>1</v>
      </c>
      <c r="AB42" s="1509">
        <f t="shared" si="4"/>
        <v>1</v>
      </c>
      <c r="AC42" s="1509">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63"/>
      <c r="Q43" s="1505" t="str">
        <f t="shared" si="11"/>
        <v>内部装修维护情况</v>
      </c>
      <c r="R43" s="1506" t="s">
        <v>8</v>
      </c>
      <c r="S43" s="1507">
        <f t="shared" si="12"/>
        <v>100</v>
      </c>
      <c r="T43" s="1506" t="s">
        <v>8</v>
      </c>
      <c r="U43" s="1507">
        <f t="shared" si="13"/>
        <v>100</v>
      </c>
      <c r="V43" s="1506" t="s">
        <v>8</v>
      </c>
      <c r="W43" s="1507">
        <f t="shared" si="14"/>
        <v>100</v>
      </c>
      <c r="X43" s="1500"/>
      <c r="Y43" s="3563"/>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563"/>
      <c r="Q44" s="1133">
        <f t="shared" si="11"/>
        <v>111</v>
      </c>
      <c r="R44" s="1501" t="s">
        <v>8</v>
      </c>
      <c r="S44" s="1502">
        <f t="shared" si="12"/>
        <v>100</v>
      </c>
      <c r="T44" s="1501" t="s">
        <v>8</v>
      </c>
      <c r="U44" s="1502">
        <f t="shared" si="13"/>
        <v>100</v>
      </c>
      <c r="V44" s="1501" t="s">
        <v>8</v>
      </c>
      <c r="W44" s="1502">
        <f t="shared" si="14"/>
        <v>100</v>
      </c>
      <c r="X44" s="1503"/>
      <c r="Y44" s="3563"/>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63"/>
      <c r="Q45" s="1505">
        <f t="shared" si="11"/>
        <v>111</v>
      </c>
      <c r="R45" s="1506" t="s">
        <v>8</v>
      </c>
      <c r="S45" s="1507">
        <f t="shared" si="12"/>
        <v>100</v>
      </c>
      <c r="T45" s="1506" t="s">
        <v>8</v>
      </c>
      <c r="U45" s="1507">
        <f t="shared" si="13"/>
        <v>100</v>
      </c>
      <c r="V45" s="1506" t="s">
        <v>8</v>
      </c>
      <c r="W45" s="1507">
        <f t="shared" si="14"/>
        <v>100</v>
      </c>
      <c r="X45" s="1500"/>
      <c r="Y45" s="3563"/>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670"/>
      <c r="Q46" s="1505">
        <f t="shared" si="11"/>
        <v>111</v>
      </c>
      <c r="R46" s="1506" t="s">
        <v>8</v>
      </c>
      <c r="S46" s="1507">
        <f t="shared" si="12"/>
        <v>100</v>
      </c>
      <c r="T46" s="1506" t="s">
        <v>8</v>
      </c>
      <c r="U46" s="1507">
        <f t="shared" si="13"/>
        <v>100</v>
      </c>
      <c r="V46" s="1506" t="s">
        <v>8</v>
      </c>
      <c r="W46" s="1507">
        <f t="shared" si="14"/>
        <v>100</v>
      </c>
      <c r="X46" s="1500"/>
      <c r="Y46" s="3670"/>
      <c r="Z46" s="1508">
        <f t="shared" si="15"/>
        <v>111</v>
      </c>
      <c r="AA46" s="1509">
        <f t="shared" si="3"/>
        <v>1</v>
      </c>
      <c r="AB46" s="1509">
        <f t="shared" si="4"/>
        <v>1</v>
      </c>
      <c r="AC46" s="1509">
        <f t="shared" si="5"/>
        <v>1</v>
      </c>
    </row>
    <row r="47" spans="1:29" ht="15">
      <c r="A47" s="600" t="s">
        <v>729</v>
      </c>
      <c r="B47" s="875"/>
      <c r="C47" s="2469" t="s">
        <v>1</v>
      </c>
      <c r="D47" s="2470"/>
      <c r="E47" s="2471"/>
      <c r="F47" s="2472"/>
      <c r="G47" s="2473"/>
      <c r="H47" s="2474"/>
      <c r="I47" s="2471"/>
      <c r="J47" s="2474"/>
      <c r="K47" s="1539"/>
      <c r="L47" s="2025"/>
      <c r="M47" s="2026"/>
      <c r="N47" s="2015"/>
      <c r="O47" s="2026"/>
      <c r="P47" s="3526" t="str">
        <f>A47</f>
        <v>成交单价（元/平方米）</v>
      </c>
      <c r="Q47" s="3526"/>
      <c r="R47" s="3669">
        <f>E47</f>
        <v>0</v>
      </c>
      <c r="S47" s="3669"/>
      <c r="T47" s="3669">
        <f>G47</f>
        <v>0</v>
      </c>
      <c r="U47" s="3669"/>
      <c r="V47" s="3669">
        <f>I47</f>
        <v>0</v>
      </c>
      <c r="W47" s="3669"/>
      <c r="X47" s="1495"/>
      <c r="Y47" s="1514"/>
      <c r="Z47" s="1495"/>
      <c r="AA47" s="1495"/>
      <c r="AB47" s="1495"/>
      <c r="AC47" s="1495"/>
    </row>
    <row r="48" spans="1:29" ht="15.75" thickBot="1">
      <c r="A48" s="608" t="s">
        <v>2739</v>
      </c>
      <c r="B48" s="876"/>
      <c r="C48" s="2475" t="e">
        <f>R49</f>
        <v>#DIV/0!</v>
      </c>
      <c r="D48" s="3012" t="s">
        <v>2970</v>
      </c>
      <c r="E48" s="2476" t="e">
        <f>R48</f>
        <v>#DIV/0!</v>
      </c>
      <c r="F48" s="3013"/>
      <c r="G48" s="2475" t="e">
        <f>T48</f>
        <v>#DIV/0!</v>
      </c>
      <c r="H48" s="3013"/>
      <c r="I48" s="2476" t="e">
        <f>V48</f>
        <v>#DIV/0!</v>
      </c>
      <c r="J48" s="3013"/>
      <c r="K48" s="3021">
        <f>F48+H48+J48</f>
        <v>0</v>
      </c>
      <c r="L48" s="2025"/>
      <c r="M48" s="2026"/>
      <c r="N48" s="2015"/>
      <c r="O48" s="2026"/>
      <c r="P48" s="3526" t="str">
        <f>A48</f>
        <v>比较价格（元/平方米）</v>
      </c>
      <c r="Q48" s="3526"/>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495"/>
      <c r="Y48" s="1495"/>
      <c r="Z48" s="1495"/>
      <c r="AA48" s="1495"/>
      <c r="AB48" s="1495"/>
      <c r="AC48" s="1495"/>
    </row>
    <row r="49" spans="1:29" ht="15.75" thickBot="1">
      <c r="A49" s="612" t="s">
        <v>2902</v>
      </c>
      <c r="B49" s="613"/>
      <c r="C49" s="2477" t="e">
        <f>R49</f>
        <v>#DIV/0!</v>
      </c>
      <c r="D49" s="2477"/>
      <c r="E49" s="2477"/>
      <c r="F49" s="2477"/>
      <c r="G49" s="2477"/>
      <c r="H49" s="2477"/>
      <c r="I49" s="2477"/>
      <c r="J49" s="2477"/>
      <c r="K49" s="1540"/>
      <c r="L49" s="2025"/>
      <c r="M49" s="2026"/>
      <c r="N49" s="2015"/>
      <c r="O49" s="2026"/>
      <c r="P49" s="3523" t="str">
        <f>A49</f>
        <v>估价对象XX用房的比较价格（楼面单价，元/平方米）</v>
      </c>
      <c r="Q49" s="3524"/>
      <c r="R49" s="3668" t="e">
        <f>IF(F1="售价",ROUND(IF(D48="简单平均",AVERAGE(R48:V48),R48*F48+T48*H48+V48*J48),0),ROUND(IF(D48="简单平均",AVERAGE(R48:V48),R48*F48+T48*H48+V48*J48),1))</f>
        <v>#DIV/0!</v>
      </c>
      <c r="S49" s="3668"/>
      <c r="T49" s="3668"/>
      <c r="U49" s="3668"/>
      <c r="V49" s="3668"/>
      <c r="W49" s="3668"/>
      <c r="X49" s="1495"/>
      <c r="Y49" s="1495"/>
      <c r="Z49" s="1495"/>
      <c r="AA49" s="1495"/>
      <c r="AB49" s="1495"/>
      <c r="AC49" s="1495"/>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550</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552</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567</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522</v>
      </c>
      <c r="B58" s="637"/>
      <c r="C58" s="2518"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568</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524</v>
      </c>
      <c r="B61" s="639"/>
      <c r="C61" s="651" t="s">
        <v>569</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570</v>
      </c>
      <c r="B63" s="656" t="s">
        <v>527</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531</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532</v>
      </c>
      <c r="B76" s="656" t="s">
        <v>571</v>
      </c>
      <c r="C76" s="694" t="s">
        <v>572</v>
      </c>
      <c r="D76" s="694" t="s">
        <v>573</v>
      </c>
      <c r="E76" s="694" t="s">
        <v>574</v>
      </c>
      <c r="F76" s="694" t="s">
        <v>575</v>
      </c>
      <c r="G76" s="694" t="s">
        <v>576</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579</v>
      </c>
      <c r="C78" s="699" t="s">
        <v>572</v>
      </c>
      <c r="D78" s="699" t="s">
        <v>573</v>
      </c>
      <c r="E78" s="699" t="s">
        <v>574</v>
      </c>
      <c r="F78" s="699" t="s">
        <v>575</v>
      </c>
      <c r="G78" s="699" t="s">
        <v>576</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2538</v>
      </c>
      <c r="C80" s="699" t="s">
        <v>572</v>
      </c>
      <c r="D80" s="699" t="s">
        <v>573</v>
      </c>
      <c r="E80" s="699" t="s">
        <v>574</v>
      </c>
      <c r="F80" s="699" t="s">
        <v>575</v>
      </c>
      <c r="G80" s="699" t="s">
        <v>576</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2539</v>
      </c>
      <c r="C82" s="2441" t="s">
        <v>2540</v>
      </c>
      <c r="D82" s="2441" t="s">
        <v>2541</v>
      </c>
      <c r="E82" s="2441" t="s">
        <v>2542</v>
      </c>
      <c r="F82" s="2441" t="s">
        <v>2543</v>
      </c>
      <c r="G82" s="2441" t="s">
        <v>2544</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737</v>
      </c>
      <c r="C84" s="699" t="s">
        <v>572</v>
      </c>
      <c r="D84" s="699" t="s">
        <v>573</v>
      </c>
      <c r="E84" s="699" t="s">
        <v>574</v>
      </c>
      <c r="F84" s="699" t="s">
        <v>575</v>
      </c>
      <c r="G84" s="699" t="s">
        <v>576</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544</v>
      </c>
      <c r="B100" s="656" t="s">
        <v>765</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742</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2537</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766</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767</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768</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769</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748</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770</v>
      </c>
      <c r="C1" s="497" t="s">
        <v>713</v>
      </c>
      <c r="D1" s="837"/>
      <c r="E1" s="499"/>
      <c r="F1" s="2523"/>
      <c r="G1" s="1530" t="s">
        <v>714</v>
      </c>
      <c r="H1" s="499"/>
      <c r="I1" s="499"/>
      <c r="J1" s="499"/>
      <c r="K1" s="500"/>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6" t="s">
        <v>460</v>
      </c>
      <c r="B2" s="838"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2" t="s">
        <v>512</v>
      </c>
      <c r="B3" s="503" t="e">
        <f>C50</f>
        <v>#DIV/0!</v>
      </c>
      <c r="C3" s="840" t="s">
        <v>715</v>
      </c>
      <c r="D3" s="839">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5" t="s">
        <v>514</v>
      </c>
      <c r="B4" s="506"/>
      <c r="C4" s="3532" t="s">
        <v>515</v>
      </c>
      <c r="D4" s="3533"/>
      <c r="E4" s="3587" t="s">
        <v>516</v>
      </c>
      <c r="F4" s="3588"/>
      <c r="G4" s="3532" t="s">
        <v>517</v>
      </c>
      <c r="H4" s="3533"/>
      <c r="I4" s="3532" t="s">
        <v>518</v>
      </c>
      <c r="J4" s="3533"/>
      <c r="K4" s="507" t="s">
        <v>519</v>
      </c>
      <c r="L4" s="2014"/>
      <c r="M4" s="2015"/>
      <c r="N4" s="2015"/>
      <c r="O4" s="2015"/>
      <c r="P4" s="3672" t="s">
        <v>520</v>
      </c>
      <c r="Q4" s="3535"/>
      <c r="R4" s="3540" t="s">
        <v>516</v>
      </c>
      <c r="S4" s="3541"/>
      <c r="T4" s="3540" t="s">
        <v>517</v>
      </c>
      <c r="U4" s="3541"/>
      <c r="V4" s="3527" t="s">
        <v>518</v>
      </c>
      <c r="W4" s="3527"/>
      <c r="X4" s="1500"/>
      <c r="Y4" s="3540" t="s">
        <v>520</v>
      </c>
      <c r="Z4" s="3541"/>
      <c r="AA4" s="3529" t="s">
        <v>516</v>
      </c>
      <c r="AB4" s="3529" t="s">
        <v>517</v>
      </c>
      <c r="AC4" s="3529" t="s">
        <v>518</v>
      </c>
    </row>
    <row r="5" spans="1:29" ht="15">
      <c r="A5" s="508"/>
      <c r="B5" s="509"/>
      <c r="C5" s="3548" t="s">
        <v>2896</v>
      </c>
      <c r="D5" s="3549"/>
      <c r="E5" s="3589" t="s">
        <v>2897</v>
      </c>
      <c r="F5" s="3590"/>
      <c r="G5" s="3548" t="s">
        <v>2898</v>
      </c>
      <c r="H5" s="3549"/>
      <c r="I5" s="3548" t="s">
        <v>2899</v>
      </c>
      <c r="J5" s="3549"/>
      <c r="K5" s="507"/>
      <c r="L5" s="2014"/>
      <c r="M5" s="2015"/>
      <c r="N5" s="2015"/>
      <c r="O5" s="2015"/>
      <c r="P5" s="3673"/>
      <c r="Q5" s="3537"/>
      <c r="R5" s="3542"/>
      <c r="S5" s="3543"/>
      <c r="T5" s="3542"/>
      <c r="U5" s="3543"/>
      <c r="V5" s="3527"/>
      <c r="W5" s="3527"/>
      <c r="X5" s="1500"/>
      <c r="Y5" s="3542"/>
      <c r="Z5" s="3543"/>
      <c r="AA5" s="3530"/>
      <c r="AB5" s="3530"/>
      <c r="AC5" s="3530"/>
    </row>
    <row r="6" spans="1:29" ht="15.75" thickBot="1">
      <c r="A6" s="510"/>
      <c r="B6" s="511"/>
      <c r="C6" s="3546" t="s">
        <v>2900</v>
      </c>
      <c r="D6" s="3547"/>
      <c r="E6" s="3585" t="s">
        <v>2900</v>
      </c>
      <c r="F6" s="3586"/>
      <c r="G6" s="3546" t="s">
        <v>2900</v>
      </c>
      <c r="H6" s="3547"/>
      <c r="I6" s="3546" t="s">
        <v>2900</v>
      </c>
      <c r="J6" s="3547"/>
      <c r="K6" s="507" t="s">
        <v>521</v>
      </c>
      <c r="L6" s="2014"/>
      <c r="M6" s="2015"/>
      <c r="N6" s="2015"/>
      <c r="O6" s="2015"/>
      <c r="P6" s="3674"/>
      <c r="Q6" s="3539"/>
      <c r="R6" s="3542"/>
      <c r="S6" s="3543"/>
      <c r="T6" s="3544"/>
      <c r="U6" s="3545"/>
      <c r="V6" s="3527"/>
      <c r="W6" s="3527"/>
      <c r="X6" s="1500"/>
      <c r="Y6" s="3544"/>
      <c r="Z6" s="3545"/>
      <c r="AA6" s="3531"/>
      <c r="AB6" s="3531"/>
      <c r="AC6" s="3531"/>
    </row>
    <row r="7" spans="1:29" s="1202" customFormat="1" ht="15.75" thickBot="1">
      <c r="A7" s="2627"/>
      <c r="B7" s="2634" t="s">
        <v>522</v>
      </c>
      <c r="C7" s="512">
        <f>'数据-取费表'!B2</f>
        <v>44202</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59" t="s">
        <v>523</v>
      </c>
      <c r="Q7" s="3559"/>
      <c r="R7" s="1501" t="s">
        <v>8</v>
      </c>
      <c r="S7" s="1502">
        <f t="shared" ref="S7:S15" si="0">F7</f>
        <v>0</v>
      </c>
      <c r="T7" s="1501" t="s">
        <v>8</v>
      </c>
      <c r="U7" s="1502">
        <f t="shared" ref="U7:U15" si="1">H7</f>
        <v>0</v>
      </c>
      <c r="V7" s="1501" t="s">
        <v>8</v>
      </c>
      <c r="W7" s="1502">
        <f t="shared" ref="W7:W15" si="2">J7</f>
        <v>0</v>
      </c>
      <c r="X7" s="1503"/>
      <c r="Y7" s="3557" t="s">
        <v>523</v>
      </c>
      <c r="Z7" s="3558"/>
      <c r="AA7" s="1504" t="e">
        <f>D7/F7</f>
        <v>#DIV/0!</v>
      </c>
      <c r="AB7" s="1504" t="e">
        <f>D7/H7</f>
        <v>#DIV/0!</v>
      </c>
      <c r="AC7" s="1504" t="e">
        <f>D7/J7</f>
        <v>#DIV/0!</v>
      </c>
    </row>
    <row r="8" spans="1:29" s="1202" customFormat="1" ht="15.75" thickBot="1">
      <c r="A8" s="2628"/>
      <c r="B8" s="2635" t="s">
        <v>524</v>
      </c>
      <c r="C8" s="518" t="s">
        <v>569</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59" t="s">
        <v>526</v>
      </c>
      <c r="Q8" s="3558"/>
      <c r="R8" s="1501" t="s">
        <v>8</v>
      </c>
      <c r="S8" s="1502">
        <f t="shared" si="0"/>
        <v>0</v>
      </c>
      <c r="T8" s="1501" t="s">
        <v>8</v>
      </c>
      <c r="U8" s="1502">
        <f t="shared" si="1"/>
        <v>0</v>
      </c>
      <c r="V8" s="1501" t="s">
        <v>8</v>
      </c>
      <c r="W8" s="1502">
        <f t="shared" si="2"/>
        <v>0</v>
      </c>
      <c r="X8" s="1503"/>
      <c r="Y8" s="3557" t="s">
        <v>526</v>
      </c>
      <c r="Z8" s="3558"/>
      <c r="AA8" s="1504" t="e">
        <f t="shared" ref="AA8:AA47" si="3">D8/F8</f>
        <v>#DIV/0!</v>
      </c>
      <c r="AB8" s="1504" t="e">
        <f t="shared" ref="AB8:AB47" si="4">D8/H8</f>
        <v>#DIV/0!</v>
      </c>
      <c r="AC8" s="1504" t="e">
        <f t="shared" ref="AC8:AC47" si="5">D8/J8</f>
        <v>#DIV/0!</v>
      </c>
    </row>
    <row r="9" spans="1:29" s="1202" customFormat="1" ht="15">
      <c r="A9" s="2629"/>
      <c r="B9" s="2636" t="s">
        <v>2735</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526" t="s">
        <v>528</v>
      </c>
      <c r="Q9" s="1133" t="str">
        <f t="shared" ref="Q9:Q15" si="6">B9</f>
        <v>用途</v>
      </c>
      <c r="R9" s="1501" t="s">
        <v>8</v>
      </c>
      <c r="S9" s="1502">
        <f t="shared" si="0"/>
        <v>100</v>
      </c>
      <c r="T9" s="1501" t="s">
        <v>8</v>
      </c>
      <c r="U9" s="1502">
        <f t="shared" si="1"/>
        <v>100</v>
      </c>
      <c r="V9" s="1501" t="s">
        <v>8</v>
      </c>
      <c r="W9" s="1502">
        <f t="shared" si="2"/>
        <v>100</v>
      </c>
      <c r="X9" s="1503"/>
      <c r="Y9" s="3472"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526"/>
      <c r="Q10" s="1133" t="str">
        <f t="shared" si="6"/>
        <v>土地使用年限（年）</v>
      </c>
      <c r="R10" s="1501" t="s">
        <v>8</v>
      </c>
      <c r="S10" s="1502">
        <f t="shared" si="0"/>
        <v>100</v>
      </c>
      <c r="T10" s="1501" t="s">
        <v>8</v>
      </c>
      <c r="U10" s="1502">
        <f t="shared" si="1"/>
        <v>100</v>
      </c>
      <c r="V10" s="1501" t="s">
        <v>8</v>
      </c>
      <c r="W10" s="1502">
        <f t="shared" si="2"/>
        <v>100</v>
      </c>
      <c r="X10" s="1503"/>
      <c r="Y10" s="3472"/>
      <c r="Z10" s="1132" t="str">
        <f t="shared" si="7"/>
        <v>土地使用年限（年）</v>
      </c>
      <c r="AA10" s="1504">
        <f t="shared" si="3"/>
        <v>1</v>
      </c>
      <c r="AB10" s="1504">
        <f t="shared" si="4"/>
        <v>1</v>
      </c>
      <c r="AC10" s="1504">
        <f t="shared" si="5"/>
        <v>1</v>
      </c>
    </row>
    <row r="11" spans="1:29" ht="15">
      <c r="A11" s="2631"/>
      <c r="B11" s="2635" t="s">
        <v>2737</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526"/>
      <c r="Q11" s="1133" t="str">
        <f t="shared" si="6"/>
        <v>容积率</v>
      </c>
      <c r="R11" s="1501" t="s">
        <v>8</v>
      </c>
      <c r="S11" s="1502" t="e">
        <f t="shared" si="0"/>
        <v>#N/A</v>
      </c>
      <c r="T11" s="1501" t="s">
        <v>8</v>
      </c>
      <c r="U11" s="1502" t="e">
        <f t="shared" si="1"/>
        <v>#N/A</v>
      </c>
      <c r="V11" s="1501" t="s">
        <v>8</v>
      </c>
      <c r="W11" s="1502" t="e">
        <f t="shared" si="2"/>
        <v>#N/A</v>
      </c>
      <c r="X11" s="1503"/>
      <c r="Y11" s="347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526"/>
      <c r="Q12" s="1133">
        <f t="shared" si="6"/>
        <v>111</v>
      </c>
      <c r="R12" s="1501" t="s">
        <v>8</v>
      </c>
      <c r="S12" s="1502">
        <f t="shared" si="0"/>
        <v>100</v>
      </c>
      <c r="T12" s="1501" t="s">
        <v>8</v>
      </c>
      <c r="U12" s="1502">
        <f t="shared" si="1"/>
        <v>100</v>
      </c>
      <c r="V12" s="1501" t="s">
        <v>8</v>
      </c>
      <c r="W12" s="1502">
        <f t="shared" si="2"/>
        <v>100</v>
      </c>
      <c r="X12" s="1503"/>
      <c r="Y12" s="3472"/>
      <c r="Z12" s="1132">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526"/>
      <c r="Q13" s="1133">
        <f t="shared" si="6"/>
        <v>111</v>
      </c>
      <c r="R13" s="1501" t="s">
        <v>8</v>
      </c>
      <c r="S13" s="1502">
        <f t="shared" si="0"/>
        <v>100</v>
      </c>
      <c r="T13" s="1501" t="s">
        <v>8</v>
      </c>
      <c r="U13" s="1502">
        <f t="shared" si="1"/>
        <v>100</v>
      </c>
      <c r="V13" s="1501" t="s">
        <v>8</v>
      </c>
      <c r="W13" s="1502">
        <f t="shared" si="2"/>
        <v>100</v>
      </c>
      <c r="X13" s="1503"/>
      <c r="Y13" s="3472"/>
      <c r="Z13" s="1132">
        <f t="shared" si="7"/>
        <v>111</v>
      </c>
      <c r="AA13" s="1504">
        <f t="shared" si="3"/>
        <v>1</v>
      </c>
      <c r="AB13" s="1504">
        <f t="shared" si="4"/>
        <v>1</v>
      </c>
      <c r="AC13" s="1504">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526"/>
      <c r="Q14" s="1133">
        <f t="shared" si="6"/>
        <v>111</v>
      </c>
      <c r="R14" s="1501" t="s">
        <v>8</v>
      </c>
      <c r="S14" s="1502">
        <f t="shared" si="0"/>
        <v>100</v>
      </c>
      <c r="T14" s="1501" t="s">
        <v>8</v>
      </c>
      <c r="U14" s="1502">
        <f t="shared" si="1"/>
        <v>100</v>
      </c>
      <c r="V14" s="1501" t="s">
        <v>8</v>
      </c>
      <c r="W14" s="1502">
        <f t="shared" si="2"/>
        <v>100</v>
      </c>
      <c r="X14" s="1503"/>
      <c r="Y14" s="3472"/>
      <c r="Z14" s="1132">
        <f t="shared" si="7"/>
        <v>111</v>
      </c>
      <c r="AA14" s="1504">
        <f t="shared" si="3"/>
        <v>1</v>
      </c>
      <c r="AB14" s="1504">
        <f t="shared" si="4"/>
        <v>1</v>
      </c>
      <c r="AC14" s="1504">
        <f t="shared" si="5"/>
        <v>1</v>
      </c>
    </row>
    <row r="15" spans="1:29" ht="71.25">
      <c r="A15" s="2625" t="s">
        <v>2733</v>
      </c>
      <c r="B15" s="540" t="s">
        <v>535</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560" t="s">
        <v>533</v>
      </c>
      <c r="Q15" s="1505" t="str">
        <f t="shared" si="6"/>
        <v>办公集聚程度</v>
      </c>
      <c r="R15" s="1506" t="s">
        <v>8</v>
      </c>
      <c r="S15" s="1507">
        <f t="shared" si="0"/>
        <v>100</v>
      </c>
      <c r="T15" s="1506" t="s">
        <v>8</v>
      </c>
      <c r="U15" s="1507">
        <f t="shared" si="1"/>
        <v>100</v>
      </c>
      <c r="V15" s="1506" t="s">
        <v>8</v>
      </c>
      <c r="W15" s="1507">
        <f t="shared" si="2"/>
        <v>100</v>
      </c>
      <c r="X15" s="1500"/>
      <c r="Y15" s="3560" t="s">
        <v>533</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3"/>
      <c r="M16" s="2015"/>
      <c r="N16" s="2015"/>
      <c r="O16" s="2015"/>
      <c r="P16" s="3561"/>
      <c r="Q16" s="1505"/>
      <c r="R16" s="1506"/>
      <c r="S16" s="1507"/>
      <c r="T16" s="1506"/>
      <c r="U16" s="1507"/>
      <c r="V16" s="1506"/>
      <c r="W16" s="1507"/>
      <c r="X16" s="1500"/>
      <c r="Y16" s="3561"/>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561"/>
      <c r="Q17" s="1505" t="str">
        <f>B17</f>
        <v>交通便捷度</v>
      </c>
      <c r="R17" s="1506" t="s">
        <v>8</v>
      </c>
      <c r="S17" s="1507">
        <f>F17</f>
        <v>100</v>
      </c>
      <c r="T17" s="1506" t="s">
        <v>8</v>
      </c>
      <c r="U17" s="1507">
        <f>H17</f>
        <v>100</v>
      </c>
      <c r="V17" s="1506" t="s">
        <v>8</v>
      </c>
      <c r="W17" s="1507">
        <f>J17</f>
        <v>100</v>
      </c>
      <c r="X17" s="1500"/>
      <c r="Y17" s="3561"/>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3"/>
      <c r="M18" s="2015"/>
      <c r="N18" s="2015"/>
      <c r="O18" s="2015"/>
      <c r="P18" s="3561"/>
      <c r="Q18" s="1505"/>
      <c r="R18" s="1506"/>
      <c r="S18" s="1507"/>
      <c r="T18" s="1506"/>
      <c r="U18" s="1507"/>
      <c r="V18" s="1506"/>
      <c r="W18" s="1507"/>
      <c r="X18" s="1500"/>
      <c r="Y18" s="3561"/>
      <c r="Z18" s="1508"/>
      <c r="AA18" s="1509">
        <v>1</v>
      </c>
      <c r="AB18" s="1509">
        <v>1</v>
      </c>
      <c r="AC18" s="1509">
        <v>1</v>
      </c>
    </row>
    <row r="19" spans="1:29" ht="42.75">
      <c r="A19" s="525"/>
      <c r="B19" s="2446"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561"/>
      <c r="Q19" s="1505" t="str">
        <f>B19</f>
        <v>公共配套设施</v>
      </c>
      <c r="R19" s="1506" t="s">
        <v>8</v>
      </c>
      <c r="S19" s="1507">
        <f>F19</f>
        <v>100</v>
      </c>
      <c r="T19" s="1506" t="s">
        <v>8</v>
      </c>
      <c r="U19" s="1507">
        <f>H19</f>
        <v>100</v>
      </c>
      <c r="V19" s="1506" t="s">
        <v>8</v>
      </c>
      <c r="W19" s="1507">
        <f>J19</f>
        <v>100</v>
      </c>
      <c r="X19" s="1500"/>
      <c r="Y19" s="3561"/>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3"/>
      <c r="M20" s="2015"/>
      <c r="N20" s="2015"/>
      <c r="O20" s="2015"/>
      <c r="P20" s="3561"/>
      <c r="Q20" s="1505"/>
      <c r="R20" s="1506"/>
      <c r="S20" s="1507"/>
      <c r="T20" s="1506"/>
      <c r="U20" s="1507"/>
      <c r="V20" s="1506"/>
      <c r="W20" s="1507"/>
      <c r="X20" s="1500"/>
      <c r="Y20" s="3561"/>
      <c r="Z20" s="1508"/>
      <c r="AA20" s="1509">
        <v>1</v>
      </c>
      <c r="AB20" s="1509">
        <v>1</v>
      </c>
      <c r="AC20" s="1509">
        <v>1</v>
      </c>
    </row>
    <row r="21" spans="1:29" ht="28.5">
      <c r="A21" s="525"/>
      <c r="B21" s="2434"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561"/>
      <c r="Q21" s="2428" t="str">
        <f>B21</f>
        <v>基础设施水平</v>
      </c>
      <c r="R21" s="1506" t="s">
        <v>8</v>
      </c>
      <c r="S21" s="1507">
        <f>F21</f>
        <v>100</v>
      </c>
      <c r="T21" s="1506" t="s">
        <v>8</v>
      </c>
      <c r="U21" s="1507">
        <f>H21</f>
        <v>100</v>
      </c>
      <c r="V21" s="1506" t="s">
        <v>8</v>
      </c>
      <c r="W21" s="1507">
        <f>J21</f>
        <v>100</v>
      </c>
      <c r="X21" s="2430"/>
      <c r="Y21" s="3561"/>
      <c r="Z21" s="2429"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5"/>
      <c r="L22" s="2023"/>
      <c r="M22" s="2015"/>
      <c r="N22" s="2015"/>
      <c r="O22" s="2015"/>
      <c r="P22" s="3561"/>
      <c r="Q22" s="2428"/>
      <c r="R22" s="1506"/>
      <c r="S22" s="1507"/>
      <c r="T22" s="1506"/>
      <c r="U22" s="1507"/>
      <c r="V22" s="1506"/>
      <c r="W22" s="1507"/>
      <c r="X22" s="2430"/>
      <c r="Y22" s="3561"/>
      <c r="Z22" s="2429"/>
      <c r="AA22" s="1509">
        <v>1</v>
      </c>
      <c r="AB22" s="1509">
        <v>1</v>
      </c>
      <c r="AC22" s="1509">
        <v>1</v>
      </c>
    </row>
    <row r="23" spans="1:29" ht="57">
      <c r="A23" s="525"/>
      <c r="B23" s="553" t="s">
        <v>771</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561"/>
      <c r="Q23" s="1505" t="str">
        <f>B23</f>
        <v>环境质量</v>
      </c>
      <c r="R23" s="1506" t="s">
        <v>8</v>
      </c>
      <c r="S23" s="1507">
        <f>F23</f>
        <v>100</v>
      </c>
      <c r="T23" s="1506" t="s">
        <v>8</v>
      </c>
      <c r="U23" s="1507">
        <f>H23</f>
        <v>100</v>
      </c>
      <c r="V23" s="1506" t="s">
        <v>8</v>
      </c>
      <c r="W23" s="1507">
        <f>J23</f>
        <v>100</v>
      </c>
      <c r="X23" s="1500"/>
      <c r="Y23" s="3561"/>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3"/>
      <c r="M24" s="2015"/>
      <c r="N24" s="2015"/>
      <c r="O24" s="2015"/>
      <c r="P24" s="3561"/>
      <c r="Q24" s="1505"/>
      <c r="R24" s="1506"/>
      <c r="S24" s="1507"/>
      <c r="T24" s="1506"/>
      <c r="U24" s="1507"/>
      <c r="V24" s="1506"/>
      <c r="W24" s="1507"/>
      <c r="X24" s="1500"/>
      <c r="Y24" s="3561"/>
      <c r="Z24" s="1508"/>
      <c r="AA24" s="1509">
        <v>1</v>
      </c>
      <c r="AB24" s="1509">
        <v>1</v>
      </c>
      <c r="AC24" s="1509">
        <v>1</v>
      </c>
    </row>
    <row r="25" spans="1:29" ht="27">
      <c r="A25" s="508"/>
      <c r="B25" s="553" t="s">
        <v>541</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561"/>
      <c r="Q25" s="1505" t="str">
        <f>B25</f>
        <v>毗邻道路的类型与等级</v>
      </c>
      <c r="R25" s="1506" t="s">
        <v>8</v>
      </c>
      <c r="S25" s="1507">
        <f>F25</f>
        <v>100</v>
      </c>
      <c r="T25" s="1506" t="s">
        <v>8</v>
      </c>
      <c r="U25" s="1507">
        <f>H25</f>
        <v>100</v>
      </c>
      <c r="V25" s="1506" t="s">
        <v>8</v>
      </c>
      <c r="W25" s="1507">
        <f>J25</f>
        <v>100</v>
      </c>
      <c r="X25" s="1500"/>
      <c r="Y25" s="3561"/>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3"/>
      <c r="M26" s="2015"/>
      <c r="N26" s="2015"/>
      <c r="O26" s="2015"/>
      <c r="P26" s="3561"/>
      <c r="Q26" s="1505"/>
      <c r="R26" s="1506"/>
      <c r="S26" s="1507"/>
      <c r="T26" s="1506"/>
      <c r="U26" s="1507"/>
      <c r="V26" s="1506"/>
      <c r="W26" s="1507"/>
      <c r="X26" s="1500"/>
      <c r="Y26" s="3561"/>
      <c r="Z26" s="1508"/>
      <c r="AA26" s="1509">
        <v>1</v>
      </c>
      <c r="AB26" s="1509">
        <v>1</v>
      </c>
      <c r="AC26" s="1509">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61"/>
      <c r="Q27" s="1505" t="str">
        <f t="shared" ref="Q27:Q47" si="11">B27</f>
        <v>楼层</v>
      </c>
      <c r="R27" s="1506" t="s">
        <v>8</v>
      </c>
      <c r="S27" s="1507">
        <f>F27</f>
        <v>100</v>
      </c>
      <c r="T27" s="1506" t="s">
        <v>8</v>
      </c>
      <c r="U27" s="1507">
        <f>H27</f>
        <v>100</v>
      </c>
      <c r="V27" s="1506" t="s">
        <v>8</v>
      </c>
      <c r="W27" s="1507">
        <f>J27</f>
        <v>100</v>
      </c>
      <c r="X27" s="1500"/>
      <c r="Y27" s="3561"/>
      <c r="Z27" s="1508" t="str">
        <f>Q27</f>
        <v>楼层</v>
      </c>
      <c r="AA27" s="1509">
        <f t="shared" si="3"/>
        <v>1</v>
      </c>
      <c r="AB27" s="1509">
        <f t="shared" si="4"/>
        <v>1</v>
      </c>
      <c r="AC27" s="1509">
        <f t="shared" si="5"/>
        <v>1</v>
      </c>
    </row>
    <row r="28" spans="1:29" s="1202" customFormat="1" ht="15">
      <c r="A28" s="529"/>
      <c r="B28" s="553" t="s">
        <v>772</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61"/>
      <c r="Q28" s="1133" t="str">
        <f t="shared" si="11"/>
        <v>朝向</v>
      </c>
      <c r="R28" s="1501" t="s">
        <v>8</v>
      </c>
      <c r="S28" s="1502">
        <f>F28</f>
        <v>100</v>
      </c>
      <c r="T28" s="1501" t="s">
        <v>8</v>
      </c>
      <c r="U28" s="1502">
        <f>H28</f>
        <v>100</v>
      </c>
      <c r="V28" s="1501" t="s">
        <v>8</v>
      </c>
      <c r="W28" s="1502">
        <f>J28</f>
        <v>100</v>
      </c>
      <c r="X28" s="1503"/>
      <c r="Y28" s="3561"/>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61"/>
      <c r="Q29" s="1505">
        <f t="shared" si="11"/>
        <v>111</v>
      </c>
      <c r="R29" s="1506" t="s">
        <v>8</v>
      </c>
      <c r="S29" s="1507">
        <f t="shared" ref="S29:S47" si="12">F29</f>
        <v>100</v>
      </c>
      <c r="T29" s="1506" t="s">
        <v>8</v>
      </c>
      <c r="U29" s="1507">
        <f t="shared" ref="U29:U47" si="13">H29</f>
        <v>100</v>
      </c>
      <c r="V29" s="1506" t="s">
        <v>8</v>
      </c>
      <c r="W29" s="1507">
        <f t="shared" ref="W29:W47" si="14">J29</f>
        <v>100</v>
      </c>
      <c r="X29" s="1500"/>
      <c r="Y29" s="3561"/>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61"/>
      <c r="Q30" s="1505">
        <f t="shared" si="11"/>
        <v>111</v>
      </c>
      <c r="R30" s="1506" t="s">
        <v>8</v>
      </c>
      <c r="S30" s="1507">
        <f t="shared" si="12"/>
        <v>100</v>
      </c>
      <c r="T30" s="1506" t="s">
        <v>8</v>
      </c>
      <c r="U30" s="1507">
        <f t="shared" si="13"/>
        <v>100</v>
      </c>
      <c r="V30" s="1506" t="s">
        <v>8</v>
      </c>
      <c r="W30" s="1507">
        <f t="shared" si="14"/>
        <v>100</v>
      </c>
      <c r="X30" s="1500"/>
      <c r="Y30" s="3561"/>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61"/>
      <c r="Q31" s="1505">
        <f t="shared" si="11"/>
        <v>111</v>
      </c>
      <c r="R31" s="1506" t="s">
        <v>8</v>
      </c>
      <c r="S31" s="1507">
        <f t="shared" si="12"/>
        <v>100</v>
      </c>
      <c r="T31" s="1506" t="s">
        <v>8</v>
      </c>
      <c r="U31" s="1507">
        <f t="shared" si="13"/>
        <v>100</v>
      </c>
      <c r="V31" s="1506" t="s">
        <v>8</v>
      </c>
      <c r="W31" s="1507">
        <f t="shared" si="14"/>
        <v>100</v>
      </c>
      <c r="X31" s="1500"/>
      <c r="Y31" s="3561"/>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61"/>
      <c r="Q32" s="1505">
        <f t="shared" si="11"/>
        <v>111</v>
      </c>
      <c r="R32" s="1506" t="s">
        <v>8</v>
      </c>
      <c r="S32" s="1507">
        <f t="shared" si="12"/>
        <v>100</v>
      </c>
      <c r="T32" s="1506" t="s">
        <v>8</v>
      </c>
      <c r="U32" s="1507">
        <f t="shared" si="13"/>
        <v>100</v>
      </c>
      <c r="V32" s="1506" t="s">
        <v>8</v>
      </c>
      <c r="W32" s="1507">
        <f t="shared" si="14"/>
        <v>100</v>
      </c>
      <c r="X32" s="1500"/>
      <c r="Y32" s="3561"/>
      <c r="Z32" s="1508">
        <f t="shared" si="15"/>
        <v>111</v>
      </c>
      <c r="AA32" s="1509">
        <f t="shared" si="3"/>
        <v>1</v>
      </c>
      <c r="AB32" s="1509">
        <f t="shared" si="4"/>
        <v>1</v>
      </c>
      <c r="AC32" s="1509">
        <f t="shared" si="5"/>
        <v>1</v>
      </c>
    </row>
    <row r="33" spans="1:29" ht="15">
      <c r="A33" s="2623" t="s">
        <v>2734</v>
      </c>
      <c r="B33" s="170" t="s">
        <v>773</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562" t="s">
        <v>543</v>
      </c>
      <c r="Q33" s="1505" t="str">
        <f t="shared" si="11"/>
        <v>建筑类型</v>
      </c>
      <c r="R33" s="1506" t="s">
        <v>8</v>
      </c>
      <c r="S33" s="1507">
        <f t="shared" si="12"/>
        <v>100</v>
      </c>
      <c r="T33" s="1506" t="s">
        <v>8</v>
      </c>
      <c r="U33" s="1507">
        <f t="shared" si="13"/>
        <v>100</v>
      </c>
      <c r="V33" s="1506" t="s">
        <v>8</v>
      </c>
      <c r="W33" s="1507">
        <f t="shared" si="14"/>
        <v>100</v>
      </c>
      <c r="X33" s="1500"/>
      <c r="Y33" s="3563" t="s">
        <v>543</v>
      </c>
      <c r="Z33" s="1508" t="str">
        <f t="shared" si="15"/>
        <v>建筑类型</v>
      </c>
      <c r="AA33" s="1509">
        <f t="shared" si="3"/>
        <v>1</v>
      </c>
      <c r="AB33" s="1509">
        <f t="shared" si="4"/>
        <v>1</v>
      </c>
      <c r="AC33" s="1509">
        <f t="shared" si="5"/>
        <v>1</v>
      </c>
    </row>
    <row r="34" spans="1:29" s="1292"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563"/>
      <c r="Q34" s="1534" t="str">
        <f t="shared" si="11"/>
        <v>项目建筑规模</v>
      </c>
      <c r="R34" s="1510" t="s">
        <v>8</v>
      </c>
      <c r="S34" s="1511" t="e">
        <f t="shared" si="12"/>
        <v>#N/A</v>
      </c>
      <c r="T34" s="1510" t="s">
        <v>8</v>
      </c>
      <c r="U34" s="1511" t="e">
        <f t="shared" si="13"/>
        <v>#N/A</v>
      </c>
      <c r="V34" s="1510" t="s">
        <v>8</v>
      </c>
      <c r="W34" s="1511" t="e">
        <f t="shared" si="14"/>
        <v>#N/A</v>
      </c>
      <c r="X34" s="1512"/>
      <c r="Y34" s="3563"/>
      <c r="Z34" s="1513" t="str">
        <f t="shared" si="15"/>
        <v>项目建筑规模</v>
      </c>
      <c r="AA34" s="1509" t="e">
        <f t="shared" si="3"/>
        <v>#N/A</v>
      </c>
      <c r="AB34" s="1509" t="e">
        <f t="shared" si="4"/>
        <v>#N/A</v>
      </c>
      <c r="AC34" s="1509"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63"/>
      <c r="Q35" s="1505" t="str">
        <f t="shared" si="11"/>
        <v>建筑结构</v>
      </c>
      <c r="R35" s="1506" t="s">
        <v>8</v>
      </c>
      <c r="S35" s="1507">
        <f t="shared" si="12"/>
        <v>100</v>
      </c>
      <c r="T35" s="1506" t="s">
        <v>8</v>
      </c>
      <c r="U35" s="1507">
        <f t="shared" si="13"/>
        <v>100</v>
      </c>
      <c r="V35" s="1506" t="s">
        <v>8</v>
      </c>
      <c r="W35" s="1507">
        <f t="shared" si="14"/>
        <v>100</v>
      </c>
      <c r="X35" s="1500"/>
      <c r="Y35" s="3563"/>
      <c r="Z35" s="1508" t="str">
        <f t="shared" si="15"/>
        <v>建筑结构</v>
      </c>
      <c r="AA35" s="1509">
        <f t="shared" si="3"/>
        <v>1</v>
      </c>
      <c r="AB35" s="1509">
        <f t="shared" si="4"/>
        <v>1</v>
      </c>
      <c r="AC35" s="1509">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63"/>
      <c r="Q36" s="1505" t="str">
        <f t="shared" si="11"/>
        <v>公共部分装修</v>
      </c>
      <c r="R36" s="1506" t="s">
        <v>8</v>
      </c>
      <c r="S36" s="1507">
        <f t="shared" si="12"/>
        <v>100</v>
      </c>
      <c r="T36" s="1506" t="s">
        <v>8</v>
      </c>
      <c r="U36" s="1507">
        <f t="shared" si="13"/>
        <v>100</v>
      </c>
      <c r="V36" s="1506" t="s">
        <v>8</v>
      </c>
      <c r="W36" s="1507">
        <f t="shared" si="14"/>
        <v>100</v>
      </c>
      <c r="X36" s="1500"/>
      <c r="Y36" s="3563"/>
      <c r="Z36" s="1508" t="str">
        <f t="shared" si="15"/>
        <v>公共部分装修</v>
      </c>
      <c r="AA36" s="1509">
        <f t="shared" si="3"/>
        <v>1</v>
      </c>
      <c r="AB36" s="1509">
        <f t="shared" si="4"/>
        <v>1</v>
      </c>
      <c r="AC36" s="1509">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563"/>
      <c r="Q37" s="1505" t="str">
        <f t="shared" si="11"/>
        <v>成新度</v>
      </c>
      <c r="R37" s="1506" t="s">
        <v>8</v>
      </c>
      <c r="S37" s="1507" t="e">
        <f t="shared" si="12"/>
        <v>#N/A</v>
      </c>
      <c r="T37" s="1506" t="s">
        <v>8</v>
      </c>
      <c r="U37" s="1507" t="e">
        <f t="shared" si="13"/>
        <v>#N/A</v>
      </c>
      <c r="V37" s="1506" t="s">
        <v>8</v>
      </c>
      <c r="W37" s="1507" t="e">
        <f t="shared" si="14"/>
        <v>#N/A</v>
      </c>
      <c r="X37" s="1500"/>
      <c r="Y37" s="3563"/>
      <c r="Z37" s="1508" t="str">
        <f t="shared" si="15"/>
        <v>成新度</v>
      </c>
      <c r="AA37" s="1509" t="e">
        <f t="shared" si="3"/>
        <v>#N/A</v>
      </c>
      <c r="AB37" s="1509" t="e">
        <f t="shared" si="4"/>
        <v>#N/A</v>
      </c>
      <c r="AC37" s="1509" t="e">
        <f t="shared" si="5"/>
        <v>#N/A</v>
      </c>
    </row>
    <row r="38" spans="1:29" s="1202"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63"/>
      <c r="Q38" s="1133" t="str">
        <f t="shared" si="11"/>
        <v>写字楼等级</v>
      </c>
      <c r="R38" s="1501" t="s">
        <v>8</v>
      </c>
      <c r="S38" s="1502">
        <f t="shared" si="12"/>
        <v>100</v>
      </c>
      <c r="T38" s="1501" t="s">
        <v>8</v>
      </c>
      <c r="U38" s="1502">
        <f t="shared" si="13"/>
        <v>100</v>
      </c>
      <c r="V38" s="1501" t="s">
        <v>8</v>
      </c>
      <c r="W38" s="1502">
        <f t="shared" si="14"/>
        <v>100</v>
      </c>
      <c r="X38" s="1503"/>
      <c r="Y38" s="3563"/>
      <c r="Z38" s="1132" t="str">
        <f t="shared" si="15"/>
        <v>写字楼等级</v>
      </c>
      <c r="AA38" s="1504">
        <f t="shared" si="3"/>
        <v>1</v>
      </c>
      <c r="AB38" s="1504">
        <f t="shared" si="4"/>
        <v>1</v>
      </c>
      <c r="AC38" s="1504">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63" t="s">
        <v>543</v>
      </c>
      <c r="Q39" s="1505" t="str">
        <f t="shared" si="11"/>
        <v>物业管理</v>
      </c>
      <c r="R39" s="1506" t="s">
        <v>8</v>
      </c>
      <c r="S39" s="1507">
        <f t="shared" si="12"/>
        <v>100</v>
      </c>
      <c r="T39" s="1506" t="s">
        <v>8</v>
      </c>
      <c r="U39" s="1507">
        <f t="shared" si="13"/>
        <v>100</v>
      </c>
      <c r="V39" s="1506" t="s">
        <v>8</v>
      </c>
      <c r="W39" s="1507">
        <f t="shared" si="14"/>
        <v>100</v>
      </c>
      <c r="X39" s="1500"/>
      <c r="Y39" s="3563" t="s">
        <v>543</v>
      </c>
      <c r="Z39" s="1508" t="str">
        <f t="shared" si="15"/>
        <v>物业管理</v>
      </c>
      <c r="AA39" s="1509">
        <f t="shared" si="3"/>
        <v>1</v>
      </c>
      <c r="AB39" s="1509">
        <f t="shared" si="4"/>
        <v>1</v>
      </c>
      <c r="AC39" s="1509">
        <f t="shared" si="5"/>
        <v>1</v>
      </c>
    </row>
    <row r="40" spans="1:29" ht="15">
      <c r="A40" s="587"/>
      <c r="B40" s="1808"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63"/>
      <c r="Q40" s="1505" t="str">
        <f t="shared" si="11"/>
        <v>市政基础设施</v>
      </c>
      <c r="R40" s="1506" t="s">
        <v>8</v>
      </c>
      <c r="S40" s="1507">
        <f t="shared" si="12"/>
        <v>100</v>
      </c>
      <c r="T40" s="1506" t="s">
        <v>8</v>
      </c>
      <c r="U40" s="1507">
        <f t="shared" si="13"/>
        <v>100</v>
      </c>
      <c r="V40" s="1506" t="s">
        <v>8</v>
      </c>
      <c r="W40" s="1507">
        <f t="shared" si="14"/>
        <v>100</v>
      </c>
      <c r="X40" s="1500"/>
      <c r="Y40" s="3563"/>
      <c r="Z40" s="1508" t="str">
        <f t="shared" si="15"/>
        <v>市政基础设施</v>
      </c>
      <c r="AA40" s="1509">
        <f t="shared" si="3"/>
        <v>1</v>
      </c>
      <c r="AB40" s="1509">
        <f t="shared" si="4"/>
        <v>1</v>
      </c>
      <c r="AC40" s="1509">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63"/>
      <c r="Q41" s="1505" t="str">
        <f t="shared" si="11"/>
        <v>层高</v>
      </c>
      <c r="R41" s="1506" t="s">
        <v>8</v>
      </c>
      <c r="S41" s="1507">
        <f t="shared" si="12"/>
        <v>100</v>
      </c>
      <c r="T41" s="1506" t="s">
        <v>8</v>
      </c>
      <c r="U41" s="1507">
        <f t="shared" si="13"/>
        <v>100</v>
      </c>
      <c r="V41" s="1506" t="s">
        <v>8</v>
      </c>
      <c r="W41" s="1507">
        <f t="shared" si="14"/>
        <v>100</v>
      </c>
      <c r="X41" s="1500"/>
      <c r="Y41" s="3563"/>
      <c r="Z41" s="1508" t="str">
        <f t="shared" si="15"/>
        <v>层高</v>
      </c>
      <c r="AA41" s="1509">
        <f t="shared" si="3"/>
        <v>1</v>
      </c>
      <c r="AB41" s="1509">
        <f t="shared" si="4"/>
        <v>1</v>
      </c>
      <c r="AC41" s="1509">
        <f t="shared" si="5"/>
        <v>1</v>
      </c>
    </row>
    <row r="42" spans="1:29" s="1292" customFormat="1" ht="15">
      <c r="A42" s="596"/>
      <c r="B42" s="892"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63"/>
      <c r="Q42" s="1534" t="str">
        <f t="shared" si="11"/>
        <v>单套建筑面积</v>
      </c>
      <c r="R42" s="1510" t="s">
        <v>8</v>
      </c>
      <c r="S42" s="1511">
        <f t="shared" si="12"/>
        <v>100</v>
      </c>
      <c r="T42" s="1510" t="s">
        <v>8</v>
      </c>
      <c r="U42" s="1511">
        <f t="shared" si="13"/>
        <v>100</v>
      </c>
      <c r="V42" s="1510" t="s">
        <v>8</v>
      </c>
      <c r="W42" s="1511">
        <f t="shared" si="14"/>
        <v>100</v>
      </c>
      <c r="X42" s="1512"/>
      <c r="Y42" s="3563"/>
      <c r="Z42" s="1513" t="str">
        <f t="shared" si="15"/>
        <v>单套建筑面积</v>
      </c>
      <c r="AA42" s="1509">
        <f t="shared" si="3"/>
        <v>1</v>
      </c>
      <c r="AB42" s="1509">
        <f t="shared" si="4"/>
        <v>1</v>
      </c>
      <c r="AC42" s="1509">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63"/>
      <c r="Q43" s="1505" t="str">
        <f t="shared" si="11"/>
        <v>内部装修</v>
      </c>
      <c r="R43" s="1506" t="s">
        <v>8</v>
      </c>
      <c r="S43" s="1507">
        <f t="shared" si="12"/>
        <v>100</v>
      </c>
      <c r="T43" s="1506" t="s">
        <v>8</v>
      </c>
      <c r="U43" s="1507">
        <f t="shared" si="13"/>
        <v>100</v>
      </c>
      <c r="V43" s="1506" t="s">
        <v>8</v>
      </c>
      <c r="W43" s="1507">
        <f t="shared" si="14"/>
        <v>100</v>
      </c>
      <c r="X43" s="1500"/>
      <c r="Y43" s="3563"/>
      <c r="Z43" s="1508" t="str">
        <f t="shared" si="15"/>
        <v>内部装修</v>
      </c>
      <c r="AA43" s="1509">
        <f t="shared" si="3"/>
        <v>1</v>
      </c>
      <c r="AB43" s="1509">
        <f t="shared" si="4"/>
        <v>1</v>
      </c>
      <c r="AC43" s="1509">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63"/>
      <c r="Q44" s="1505" t="str">
        <f t="shared" si="11"/>
        <v>内部装修维护情况</v>
      </c>
      <c r="R44" s="1506" t="s">
        <v>8</v>
      </c>
      <c r="S44" s="1507">
        <f t="shared" si="12"/>
        <v>100</v>
      </c>
      <c r="T44" s="1506" t="s">
        <v>8</v>
      </c>
      <c r="U44" s="1507">
        <f t="shared" si="13"/>
        <v>100</v>
      </c>
      <c r="V44" s="1506" t="s">
        <v>8</v>
      </c>
      <c r="W44" s="1507">
        <f t="shared" si="14"/>
        <v>100</v>
      </c>
      <c r="X44" s="1500"/>
      <c r="Y44" s="3563"/>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563"/>
      <c r="Q45" s="1133">
        <f t="shared" si="11"/>
        <v>111</v>
      </c>
      <c r="R45" s="1501" t="s">
        <v>8</v>
      </c>
      <c r="S45" s="1502">
        <f t="shared" si="12"/>
        <v>100</v>
      </c>
      <c r="T45" s="1501" t="s">
        <v>8</v>
      </c>
      <c r="U45" s="1502">
        <f t="shared" si="13"/>
        <v>100</v>
      </c>
      <c r="V45" s="1501" t="s">
        <v>8</v>
      </c>
      <c r="W45" s="1502">
        <f t="shared" si="14"/>
        <v>100</v>
      </c>
      <c r="X45" s="1503"/>
      <c r="Y45" s="3563"/>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63"/>
      <c r="Q46" s="1505">
        <f t="shared" si="11"/>
        <v>111</v>
      </c>
      <c r="R46" s="1506" t="s">
        <v>8</v>
      </c>
      <c r="S46" s="1507">
        <f t="shared" si="12"/>
        <v>100</v>
      </c>
      <c r="T46" s="1506" t="s">
        <v>8</v>
      </c>
      <c r="U46" s="1507">
        <f t="shared" si="13"/>
        <v>100</v>
      </c>
      <c r="V46" s="1506" t="s">
        <v>8</v>
      </c>
      <c r="W46" s="1507">
        <f t="shared" si="14"/>
        <v>100</v>
      </c>
      <c r="X46" s="1500"/>
      <c r="Y46" s="3563"/>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670"/>
      <c r="Q47" s="1505">
        <f t="shared" si="11"/>
        <v>111</v>
      </c>
      <c r="R47" s="1506" t="s">
        <v>8</v>
      </c>
      <c r="S47" s="1507">
        <f t="shared" si="12"/>
        <v>100</v>
      </c>
      <c r="T47" s="1506" t="s">
        <v>8</v>
      </c>
      <c r="U47" s="1507">
        <f t="shared" si="13"/>
        <v>100</v>
      </c>
      <c r="V47" s="1506" t="s">
        <v>8</v>
      </c>
      <c r="W47" s="1507">
        <f t="shared" si="14"/>
        <v>100</v>
      </c>
      <c r="X47" s="1500"/>
      <c r="Y47" s="3670"/>
      <c r="Z47" s="1508">
        <f t="shared" si="15"/>
        <v>111</v>
      </c>
      <c r="AA47" s="1509">
        <f t="shared" si="3"/>
        <v>1</v>
      </c>
      <c r="AB47" s="1509">
        <f t="shared" si="4"/>
        <v>1</v>
      </c>
      <c r="AC47" s="1509">
        <f t="shared" si="5"/>
        <v>1</v>
      </c>
    </row>
    <row r="48" spans="1:29" ht="15">
      <c r="A48" s="600" t="s">
        <v>729</v>
      </c>
      <c r="B48" s="875"/>
      <c r="C48" s="2469" t="s">
        <v>1</v>
      </c>
      <c r="D48" s="2470"/>
      <c r="E48" s="2471"/>
      <c r="F48" s="2472"/>
      <c r="G48" s="2473"/>
      <c r="H48" s="2474"/>
      <c r="I48" s="2471"/>
      <c r="J48" s="2474"/>
      <c r="K48" s="1539"/>
      <c r="L48" s="2025"/>
      <c r="M48" s="2015"/>
      <c r="N48" s="2015"/>
      <c r="O48" s="2015"/>
      <c r="P48" s="3524" t="str">
        <f>A48</f>
        <v>成交单价（元/平方米）</v>
      </c>
      <c r="Q48" s="3526"/>
      <c r="R48" s="3669">
        <f>E48</f>
        <v>0</v>
      </c>
      <c r="S48" s="3669"/>
      <c r="T48" s="3669">
        <f>G48</f>
        <v>0</v>
      </c>
      <c r="U48" s="3669"/>
      <c r="V48" s="3669">
        <f>I48</f>
        <v>0</v>
      </c>
      <c r="W48" s="3669"/>
      <c r="X48" s="1495"/>
      <c r="Y48" s="1514"/>
      <c r="Z48" s="1495"/>
      <c r="AA48" s="1495"/>
      <c r="AB48" s="1495"/>
      <c r="AC48" s="1495"/>
    </row>
    <row r="49" spans="1:29" ht="15.75" thickBot="1">
      <c r="A49" s="608" t="s">
        <v>2739</v>
      </c>
      <c r="B49" s="876"/>
      <c r="C49" s="2475" t="e">
        <f>R50</f>
        <v>#DIV/0!</v>
      </c>
      <c r="D49" s="3012" t="s">
        <v>2970</v>
      </c>
      <c r="E49" s="2476" t="e">
        <f>R49</f>
        <v>#DIV/0!</v>
      </c>
      <c r="F49" s="3013"/>
      <c r="G49" s="2475" t="e">
        <f>T49</f>
        <v>#DIV/0!</v>
      </c>
      <c r="H49" s="3013"/>
      <c r="I49" s="2476" t="e">
        <f>V49</f>
        <v>#DIV/0!</v>
      </c>
      <c r="J49" s="3013"/>
      <c r="K49" s="3021">
        <f>F49+H49+J49</f>
        <v>0</v>
      </c>
      <c r="L49" s="2025"/>
      <c r="M49" s="2015"/>
      <c r="N49" s="2015"/>
      <c r="O49" s="2015"/>
      <c r="P49" s="3524" t="str">
        <f>A49</f>
        <v>比较价格（元/平方米）</v>
      </c>
      <c r="Q49" s="3526"/>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495"/>
      <c r="Y49" s="1495"/>
      <c r="Z49" s="1495"/>
      <c r="AA49" s="1495"/>
      <c r="AB49" s="1495"/>
      <c r="AC49" s="1495"/>
    </row>
    <row r="50" spans="1:29" ht="15.75" thickBot="1">
      <c r="A50" s="612" t="s">
        <v>2902</v>
      </c>
      <c r="B50" s="613"/>
      <c r="C50" s="2477" t="e">
        <f>R50</f>
        <v>#DIV/0!</v>
      </c>
      <c r="D50" s="2477"/>
      <c r="E50" s="2477"/>
      <c r="F50" s="2477"/>
      <c r="G50" s="2477"/>
      <c r="H50" s="2477"/>
      <c r="I50" s="2477"/>
      <c r="J50" s="2477"/>
      <c r="K50" s="1540"/>
      <c r="L50" s="2025"/>
      <c r="M50" s="2015"/>
      <c r="N50" s="2015"/>
      <c r="O50" s="2015"/>
      <c r="P50" s="3671" t="str">
        <f>A50</f>
        <v>估价对象XX用房的比较价格（楼面单价，元/平方米）</v>
      </c>
      <c r="Q50" s="3524"/>
      <c r="R50" s="3668" t="e">
        <f>IF(F1="售价",ROUND(IF(D49="简单平均",AVERAGE(R49:V49),R49*F49+T49*H49+V49*J49),0),ROUND(IF(D49="简单平均",AVERAGE(R49:V49),R49*F49+T49*H49+V49*J49),1))</f>
        <v>#DIV/0!</v>
      </c>
      <c r="S50" s="3668"/>
      <c r="T50" s="3668"/>
      <c r="U50" s="3668"/>
      <c r="V50" s="3668"/>
      <c r="W50" s="3668"/>
      <c r="X50" s="1495"/>
      <c r="Y50" s="1495"/>
      <c r="Z50" s="1495"/>
      <c r="AA50" s="1495"/>
      <c r="AB50" s="1495"/>
      <c r="AC50" s="1495"/>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5" t="s">
        <v>550</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5" t="s">
        <v>551</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5" t="s">
        <v>552</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567</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6" t="s">
        <v>522</v>
      </c>
      <c r="B59" s="637"/>
      <c r="C59" s="2518" t="str">
        <f>YEAR(C7)&amp;"-"&amp;MONTH(C7)</f>
        <v>2021-1</v>
      </c>
      <c r="D59" s="2520">
        <f>EDATE(C59,-1)</f>
        <v>44166</v>
      </c>
      <c r="E59" s="2520">
        <f t="shared" ref="E59:O59" si="16">EDATE(D59,-1)</f>
        <v>44136</v>
      </c>
      <c r="F59" s="2520">
        <f t="shared" si="16"/>
        <v>44105</v>
      </c>
      <c r="G59" s="2520">
        <f t="shared" si="16"/>
        <v>44075</v>
      </c>
      <c r="H59" s="2520">
        <f t="shared" si="16"/>
        <v>44044</v>
      </c>
      <c r="I59" s="2520">
        <f t="shared" si="16"/>
        <v>44013</v>
      </c>
      <c r="J59" s="2520">
        <f t="shared" si="16"/>
        <v>43983</v>
      </c>
      <c r="K59" s="2520">
        <f t="shared" si="16"/>
        <v>43952</v>
      </c>
      <c r="L59" s="2520">
        <f t="shared" si="16"/>
        <v>43922</v>
      </c>
      <c r="M59" s="2520">
        <f t="shared" si="16"/>
        <v>43891</v>
      </c>
      <c r="N59" s="2520">
        <f t="shared" si="16"/>
        <v>43862</v>
      </c>
      <c r="O59" s="2520">
        <f t="shared" si="16"/>
        <v>43831</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568</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524</v>
      </c>
      <c r="B62" s="639"/>
      <c r="C62" s="651" t="s">
        <v>569</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570</v>
      </c>
      <c r="B64" s="656" t="s">
        <v>527</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530</v>
      </c>
      <c r="C66" s="665" t="s">
        <v>730</v>
      </c>
      <c r="D66" s="665" t="s">
        <v>731</v>
      </c>
      <c r="E66" s="665" t="s">
        <v>732</v>
      </c>
      <c r="F66" s="665" t="s">
        <v>733</v>
      </c>
      <c r="G66" s="665" t="s">
        <v>734</v>
      </c>
      <c r="H66" s="665" t="s">
        <v>735</v>
      </c>
      <c r="I66" s="665" t="s">
        <v>736</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531</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532</v>
      </c>
      <c r="B77" s="656" t="s">
        <v>578</v>
      </c>
      <c r="C77" s="694" t="s">
        <v>572</v>
      </c>
      <c r="D77" s="694" t="s">
        <v>573</v>
      </c>
      <c r="E77" s="694" t="s">
        <v>574</v>
      </c>
      <c r="F77" s="694" t="s">
        <v>575</v>
      </c>
      <c r="G77" s="694" t="s">
        <v>576</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579</v>
      </c>
      <c r="C79" s="699" t="s">
        <v>572</v>
      </c>
      <c r="D79" s="699" t="s">
        <v>573</v>
      </c>
      <c r="E79" s="699" t="s">
        <v>574</v>
      </c>
      <c r="F79" s="699" t="s">
        <v>575</v>
      </c>
      <c r="G79" s="699" t="s">
        <v>576</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2538</v>
      </c>
      <c r="C81" s="699" t="s">
        <v>572</v>
      </c>
      <c r="D81" s="699" t="s">
        <v>573</v>
      </c>
      <c r="E81" s="699" t="s">
        <v>574</v>
      </c>
      <c r="F81" s="699" t="s">
        <v>575</v>
      </c>
      <c r="G81" s="699" t="s">
        <v>576</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2539</v>
      </c>
      <c r="C83" s="2441" t="s">
        <v>2540</v>
      </c>
      <c r="D83" s="2441" t="s">
        <v>2541</v>
      </c>
      <c r="E83" s="2441" t="s">
        <v>2542</v>
      </c>
      <c r="F83" s="2441" t="s">
        <v>2543</v>
      </c>
      <c r="G83" s="2441" t="s">
        <v>2544</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777</v>
      </c>
      <c r="C85" s="699" t="s">
        <v>572</v>
      </c>
      <c r="D85" s="699" t="s">
        <v>573</v>
      </c>
      <c r="E85" s="699" t="s">
        <v>574</v>
      </c>
      <c r="F85" s="699" t="s">
        <v>575</v>
      </c>
      <c r="G85" s="699" t="s">
        <v>576</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778</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544</v>
      </c>
      <c r="B101" s="656" t="s">
        <v>740</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742</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744</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779</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746</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2537</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780</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768</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748</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749</v>
      </c>
      <c r="C125" s="699" t="s">
        <v>572</v>
      </c>
      <c r="D125" s="699" t="s">
        <v>573</v>
      </c>
      <c r="E125" s="699" t="s">
        <v>574</v>
      </c>
      <c r="F125" s="699" t="s">
        <v>575</v>
      </c>
      <c r="G125" s="699" t="s">
        <v>576</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781</v>
      </c>
      <c r="C1" s="497" t="s">
        <v>713</v>
      </c>
      <c r="D1" s="837"/>
      <c r="E1" s="499"/>
      <c r="F1" s="2523"/>
      <c r="G1" s="1530" t="s">
        <v>714</v>
      </c>
      <c r="H1" s="499"/>
      <c r="I1" s="499"/>
      <c r="J1" s="499"/>
      <c r="K1" s="500"/>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6" t="s">
        <v>460</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512</v>
      </c>
      <c r="B3" s="503" t="e">
        <f>C43</f>
        <v>#DIV/0!</v>
      </c>
      <c r="C3" s="840" t="s">
        <v>715</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514</v>
      </c>
      <c r="B4" s="506"/>
      <c r="C4" s="3532" t="s">
        <v>515</v>
      </c>
      <c r="D4" s="3533"/>
      <c r="E4" s="3587" t="s">
        <v>516</v>
      </c>
      <c r="F4" s="3588"/>
      <c r="G4" s="3532" t="s">
        <v>517</v>
      </c>
      <c r="H4" s="3533"/>
      <c r="I4" s="3532" t="s">
        <v>518</v>
      </c>
      <c r="J4" s="3533"/>
      <c r="K4" s="507" t="s">
        <v>519</v>
      </c>
      <c r="L4" s="2014"/>
      <c r="M4" s="2015"/>
      <c r="N4" s="2015"/>
      <c r="O4" s="2015"/>
      <c r="P4" s="3534" t="s">
        <v>520</v>
      </c>
      <c r="Q4" s="3535"/>
      <c r="R4" s="3540" t="s">
        <v>516</v>
      </c>
      <c r="S4" s="3541"/>
      <c r="T4" s="3540" t="s">
        <v>517</v>
      </c>
      <c r="U4" s="3541"/>
      <c r="V4" s="3527" t="s">
        <v>518</v>
      </c>
      <c r="W4" s="3527"/>
      <c r="X4" s="1500"/>
      <c r="Y4" s="3540" t="s">
        <v>520</v>
      </c>
      <c r="Z4" s="3541"/>
      <c r="AA4" s="3529" t="s">
        <v>516</v>
      </c>
      <c r="AB4" s="3530" t="s">
        <v>517</v>
      </c>
      <c r="AC4" s="3529" t="s">
        <v>518</v>
      </c>
    </row>
    <row r="5" spans="1:29" ht="15">
      <c r="A5" s="508"/>
      <c r="B5" s="509"/>
      <c r="C5" s="3548" t="s">
        <v>2896</v>
      </c>
      <c r="D5" s="3549"/>
      <c r="E5" s="3589" t="s">
        <v>2897</v>
      </c>
      <c r="F5" s="3590"/>
      <c r="G5" s="3548" t="s">
        <v>2898</v>
      </c>
      <c r="H5" s="3549"/>
      <c r="I5" s="3548" t="s">
        <v>2899</v>
      </c>
      <c r="J5" s="3549"/>
      <c r="K5" s="507"/>
      <c r="L5" s="2014"/>
      <c r="M5" s="2015"/>
      <c r="N5" s="2015"/>
      <c r="O5" s="2015"/>
      <c r="P5" s="3536"/>
      <c r="Q5" s="3537"/>
      <c r="R5" s="3542"/>
      <c r="S5" s="3543"/>
      <c r="T5" s="3542"/>
      <c r="U5" s="3543"/>
      <c r="V5" s="3527"/>
      <c r="W5" s="3527"/>
      <c r="X5" s="1500"/>
      <c r="Y5" s="3542"/>
      <c r="Z5" s="3543"/>
      <c r="AA5" s="3530"/>
      <c r="AB5" s="3530"/>
      <c r="AC5" s="3530"/>
    </row>
    <row r="6" spans="1:29" ht="15.75" thickBot="1">
      <c r="A6" s="510"/>
      <c r="B6" s="511"/>
      <c r="C6" s="3546" t="s">
        <v>2900</v>
      </c>
      <c r="D6" s="3547"/>
      <c r="E6" s="3585" t="s">
        <v>2900</v>
      </c>
      <c r="F6" s="3586"/>
      <c r="G6" s="3546" t="s">
        <v>2900</v>
      </c>
      <c r="H6" s="3547"/>
      <c r="I6" s="3546" t="s">
        <v>2900</v>
      </c>
      <c r="J6" s="3547"/>
      <c r="K6" s="507" t="s">
        <v>521</v>
      </c>
      <c r="L6" s="2014"/>
      <c r="M6" s="2015"/>
      <c r="N6" s="2015"/>
      <c r="O6" s="2015"/>
      <c r="P6" s="3538"/>
      <c r="Q6" s="3539"/>
      <c r="R6" s="3542"/>
      <c r="S6" s="3543"/>
      <c r="T6" s="3544"/>
      <c r="U6" s="3545"/>
      <c r="V6" s="3527"/>
      <c r="W6" s="3527"/>
      <c r="X6" s="1500"/>
      <c r="Y6" s="3544"/>
      <c r="Z6" s="3545"/>
      <c r="AA6" s="3531"/>
      <c r="AB6" s="3531"/>
      <c r="AC6" s="3531"/>
    </row>
    <row r="7" spans="1:29" s="1202" customFormat="1" ht="15.75" thickBot="1">
      <c r="A7" s="2627"/>
      <c r="B7" s="2634" t="s">
        <v>522</v>
      </c>
      <c r="C7" s="512">
        <f>'数据-取费表'!B2</f>
        <v>44202</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57" t="s">
        <v>523</v>
      </c>
      <c r="Q7" s="3559"/>
      <c r="R7" s="1501" t="s">
        <v>8</v>
      </c>
      <c r="S7" s="1502">
        <f t="shared" ref="S7:S15" si="0">F7</f>
        <v>0</v>
      </c>
      <c r="T7" s="1501" t="s">
        <v>8</v>
      </c>
      <c r="U7" s="1502">
        <f t="shared" ref="U7:U15" si="1">H7</f>
        <v>0</v>
      </c>
      <c r="V7" s="1501" t="s">
        <v>8</v>
      </c>
      <c r="W7" s="1502">
        <f t="shared" ref="W7:W15" si="2">J7</f>
        <v>0</v>
      </c>
      <c r="X7" s="1503"/>
      <c r="Y7" s="3557" t="s">
        <v>523</v>
      </c>
      <c r="Z7" s="3558"/>
      <c r="AA7" s="1504" t="e">
        <f>D7/F7</f>
        <v>#DIV/0!</v>
      </c>
      <c r="AB7" s="1504" t="e">
        <f>D7/H7</f>
        <v>#DIV/0!</v>
      </c>
      <c r="AC7" s="1504" t="e">
        <f>D7/J7</f>
        <v>#DIV/0!</v>
      </c>
    </row>
    <row r="8" spans="1:29" s="1202" customFormat="1" ht="15.75" thickBot="1">
      <c r="A8" s="2628"/>
      <c r="B8" s="2635" t="s">
        <v>524</v>
      </c>
      <c r="C8" s="518" t="s">
        <v>569</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57" t="s">
        <v>526</v>
      </c>
      <c r="Q8" s="3558"/>
      <c r="R8" s="1501" t="s">
        <v>8</v>
      </c>
      <c r="S8" s="1502">
        <f t="shared" si="0"/>
        <v>0</v>
      </c>
      <c r="T8" s="1501" t="s">
        <v>8</v>
      </c>
      <c r="U8" s="1502">
        <f t="shared" si="1"/>
        <v>0</v>
      </c>
      <c r="V8" s="1501" t="s">
        <v>8</v>
      </c>
      <c r="W8" s="1502">
        <f t="shared" si="2"/>
        <v>0</v>
      </c>
      <c r="X8" s="1503"/>
      <c r="Y8" s="3557" t="s">
        <v>526</v>
      </c>
      <c r="Z8" s="3558"/>
      <c r="AA8" s="1504" t="e">
        <f t="shared" ref="AA8:AA40" si="3">D8/F8</f>
        <v>#DIV/0!</v>
      </c>
      <c r="AB8" s="1504" t="e">
        <f t="shared" ref="AB8:AB40" si="4">D8/H8</f>
        <v>#DIV/0!</v>
      </c>
      <c r="AC8" s="1504" t="e">
        <f t="shared" ref="AC8:AC40" si="5">D8/J8</f>
        <v>#DIV/0!</v>
      </c>
    </row>
    <row r="9" spans="1:29" s="1202" customFormat="1" ht="15">
      <c r="A9" s="2629"/>
      <c r="B9" s="2636" t="s">
        <v>2735</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526" t="s">
        <v>528</v>
      </c>
      <c r="Q9" s="1133" t="str">
        <f t="shared" ref="Q9:Q15" si="6">B9</f>
        <v>用途</v>
      </c>
      <c r="R9" s="1501" t="s">
        <v>8</v>
      </c>
      <c r="S9" s="1502">
        <f t="shared" si="0"/>
        <v>100</v>
      </c>
      <c r="T9" s="1501" t="s">
        <v>8</v>
      </c>
      <c r="U9" s="1502">
        <f t="shared" si="1"/>
        <v>100</v>
      </c>
      <c r="V9" s="1501" t="s">
        <v>8</v>
      </c>
      <c r="W9" s="1502">
        <f t="shared" si="2"/>
        <v>100</v>
      </c>
      <c r="X9" s="1503"/>
      <c r="Y9" s="3472"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526"/>
      <c r="Q10" s="1133" t="str">
        <f t="shared" si="6"/>
        <v>土地使用年限（年）</v>
      </c>
      <c r="R10" s="1501" t="s">
        <v>8</v>
      </c>
      <c r="S10" s="1502">
        <f t="shared" si="0"/>
        <v>100</v>
      </c>
      <c r="T10" s="1501" t="s">
        <v>8</v>
      </c>
      <c r="U10" s="1502">
        <f t="shared" si="1"/>
        <v>100</v>
      </c>
      <c r="V10" s="1501" t="s">
        <v>8</v>
      </c>
      <c r="W10" s="1502">
        <f t="shared" si="2"/>
        <v>100</v>
      </c>
      <c r="X10" s="1503"/>
      <c r="Y10" s="3472"/>
      <c r="Z10" s="1132" t="str">
        <f t="shared" si="7"/>
        <v>土地使用年限（年）</v>
      </c>
      <c r="AA10" s="1504">
        <f t="shared" si="3"/>
        <v>1</v>
      </c>
      <c r="AB10" s="1504">
        <f t="shared" si="4"/>
        <v>1</v>
      </c>
      <c r="AC10" s="1504">
        <f t="shared" si="5"/>
        <v>1</v>
      </c>
    </row>
    <row r="11" spans="1:29" ht="15">
      <c r="A11" s="2631"/>
      <c r="B11" s="2635" t="s">
        <v>2737</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526"/>
      <c r="Q11" s="1133" t="str">
        <f t="shared" si="6"/>
        <v>容积率</v>
      </c>
      <c r="R11" s="1501" t="s">
        <v>8</v>
      </c>
      <c r="S11" s="1502" t="e">
        <f t="shared" si="0"/>
        <v>#N/A</v>
      </c>
      <c r="T11" s="1501" t="s">
        <v>8</v>
      </c>
      <c r="U11" s="1502" t="e">
        <f t="shared" si="1"/>
        <v>#N/A</v>
      </c>
      <c r="V11" s="1501" t="s">
        <v>8</v>
      </c>
      <c r="W11" s="1502" t="e">
        <f t="shared" si="2"/>
        <v>#N/A</v>
      </c>
      <c r="X11" s="1503"/>
      <c r="Y11" s="347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526"/>
      <c r="Q12" s="1133">
        <f t="shared" si="6"/>
        <v>111</v>
      </c>
      <c r="R12" s="1501" t="s">
        <v>8</v>
      </c>
      <c r="S12" s="1502">
        <f t="shared" si="0"/>
        <v>100</v>
      </c>
      <c r="T12" s="1501" t="s">
        <v>8</v>
      </c>
      <c r="U12" s="1502">
        <f t="shared" si="1"/>
        <v>100</v>
      </c>
      <c r="V12" s="1501" t="s">
        <v>8</v>
      </c>
      <c r="W12" s="1502">
        <f t="shared" si="2"/>
        <v>100</v>
      </c>
      <c r="X12" s="1503"/>
      <c r="Y12" s="3472"/>
      <c r="Z12" s="1132">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526"/>
      <c r="Q13" s="1133">
        <f t="shared" si="6"/>
        <v>111</v>
      </c>
      <c r="R13" s="1501" t="s">
        <v>8</v>
      </c>
      <c r="S13" s="1502">
        <f t="shared" si="0"/>
        <v>100</v>
      </c>
      <c r="T13" s="1501" t="s">
        <v>8</v>
      </c>
      <c r="U13" s="1502">
        <f t="shared" si="1"/>
        <v>100</v>
      </c>
      <c r="V13" s="1501" t="s">
        <v>8</v>
      </c>
      <c r="W13" s="1502">
        <f t="shared" si="2"/>
        <v>100</v>
      </c>
      <c r="X13" s="1503"/>
      <c r="Y13" s="3472"/>
      <c r="Z13" s="1132">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526"/>
      <c r="Q14" s="1133">
        <f t="shared" si="6"/>
        <v>111</v>
      </c>
      <c r="R14" s="1501" t="s">
        <v>8</v>
      </c>
      <c r="S14" s="1502">
        <f t="shared" si="0"/>
        <v>100</v>
      </c>
      <c r="T14" s="1501" t="s">
        <v>8</v>
      </c>
      <c r="U14" s="1502">
        <f t="shared" si="1"/>
        <v>100</v>
      </c>
      <c r="V14" s="1501" t="s">
        <v>8</v>
      </c>
      <c r="W14" s="1502">
        <f t="shared" si="2"/>
        <v>100</v>
      </c>
      <c r="X14" s="1503"/>
      <c r="Y14" s="3472"/>
      <c r="Z14" s="1132">
        <f t="shared" si="7"/>
        <v>111</v>
      </c>
      <c r="AA14" s="1504">
        <f t="shared" si="3"/>
        <v>1</v>
      </c>
      <c r="AB14" s="1504">
        <f t="shared" si="4"/>
        <v>1</v>
      </c>
      <c r="AC14" s="1504">
        <f t="shared" si="5"/>
        <v>1</v>
      </c>
    </row>
    <row r="15" spans="1:29" ht="57">
      <c r="A15" s="2625" t="s">
        <v>2733</v>
      </c>
      <c r="B15" s="164" t="s">
        <v>782</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60" t="s">
        <v>533</v>
      </c>
      <c r="Q15" s="1505" t="str">
        <f t="shared" si="6"/>
        <v>产业集聚程度</v>
      </c>
      <c r="R15" s="1506" t="s">
        <v>8</v>
      </c>
      <c r="S15" s="1507">
        <f t="shared" si="0"/>
        <v>100</v>
      </c>
      <c r="T15" s="1506" t="s">
        <v>8</v>
      </c>
      <c r="U15" s="1507">
        <f t="shared" si="1"/>
        <v>100</v>
      </c>
      <c r="V15" s="1506" t="s">
        <v>8</v>
      </c>
      <c r="W15" s="1507">
        <f t="shared" si="2"/>
        <v>100</v>
      </c>
      <c r="X15" s="1500"/>
      <c r="Y15" s="3560" t="s">
        <v>533</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561"/>
      <c r="Q16" s="1505"/>
      <c r="R16" s="1506"/>
      <c r="S16" s="1507"/>
      <c r="T16" s="1506"/>
      <c r="U16" s="1507"/>
      <c r="V16" s="1506"/>
      <c r="W16" s="1507"/>
      <c r="X16" s="1500"/>
      <c r="Y16" s="3561"/>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61"/>
      <c r="Q17" s="1505" t="str">
        <f>B17</f>
        <v>交通便捷度</v>
      </c>
      <c r="R17" s="1506" t="s">
        <v>8</v>
      </c>
      <c r="S17" s="1507">
        <f>F17</f>
        <v>100</v>
      </c>
      <c r="T17" s="1506" t="s">
        <v>8</v>
      </c>
      <c r="U17" s="1507">
        <f>H17</f>
        <v>100</v>
      </c>
      <c r="V17" s="1506" t="s">
        <v>8</v>
      </c>
      <c r="W17" s="1507">
        <f>J17</f>
        <v>100</v>
      </c>
      <c r="X17" s="1500"/>
      <c r="Y17" s="3561"/>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561"/>
      <c r="Q18" s="1505"/>
      <c r="R18" s="1506"/>
      <c r="S18" s="1507"/>
      <c r="T18" s="1506"/>
      <c r="U18" s="1507"/>
      <c r="V18" s="1506"/>
      <c r="W18" s="1507"/>
      <c r="X18" s="1500"/>
      <c r="Y18" s="3561"/>
      <c r="Z18" s="1508"/>
      <c r="AA18" s="1509">
        <v>1</v>
      </c>
      <c r="AB18" s="1509">
        <v>1</v>
      </c>
      <c r="AC18" s="1509">
        <v>1</v>
      </c>
    </row>
    <row r="19" spans="1:29" ht="42.75">
      <c r="A19" s="525"/>
      <c r="B19" s="2446"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61"/>
      <c r="Q19" s="1505" t="str">
        <f>B19</f>
        <v>公共配套设施</v>
      </c>
      <c r="R19" s="1506" t="s">
        <v>8</v>
      </c>
      <c r="S19" s="1507">
        <f>F19</f>
        <v>100</v>
      </c>
      <c r="T19" s="1506" t="s">
        <v>8</v>
      </c>
      <c r="U19" s="1507">
        <f>H19</f>
        <v>100</v>
      </c>
      <c r="V19" s="1506" t="s">
        <v>8</v>
      </c>
      <c r="W19" s="1507">
        <f>J19</f>
        <v>100</v>
      </c>
      <c r="X19" s="1500"/>
      <c r="Y19" s="3561"/>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3"/>
      <c r="M20" s="2015"/>
      <c r="N20" s="2015"/>
      <c r="O20" s="2022"/>
      <c r="P20" s="3561"/>
      <c r="Q20" s="1505"/>
      <c r="R20" s="1506"/>
      <c r="S20" s="1507"/>
      <c r="T20" s="1506"/>
      <c r="U20" s="1507"/>
      <c r="V20" s="1506"/>
      <c r="W20" s="1507"/>
      <c r="X20" s="1500"/>
      <c r="Y20" s="3561"/>
      <c r="Z20" s="1508"/>
      <c r="AA20" s="1509">
        <v>1</v>
      </c>
      <c r="AB20" s="1509">
        <v>1</v>
      </c>
      <c r="AC20" s="1509">
        <v>1</v>
      </c>
    </row>
    <row r="21" spans="1:29" ht="28.5">
      <c r="A21" s="525"/>
      <c r="B21" s="2434"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61"/>
      <c r="Q21" s="2428" t="str">
        <f>B21</f>
        <v>基础设施水平</v>
      </c>
      <c r="R21" s="1506" t="s">
        <v>8</v>
      </c>
      <c r="S21" s="1507">
        <f>F21</f>
        <v>100</v>
      </c>
      <c r="T21" s="1506" t="s">
        <v>8</v>
      </c>
      <c r="U21" s="1507">
        <f>H21</f>
        <v>100</v>
      </c>
      <c r="V21" s="1506" t="s">
        <v>8</v>
      </c>
      <c r="W21" s="1507">
        <f>J21</f>
        <v>100</v>
      </c>
      <c r="X21" s="2430"/>
      <c r="Y21" s="3561"/>
      <c r="Z21" s="2429"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5"/>
      <c r="L22" s="2023"/>
      <c r="M22" s="2015"/>
      <c r="N22" s="2015"/>
      <c r="O22" s="2022"/>
      <c r="P22" s="3561"/>
      <c r="Q22" s="2428"/>
      <c r="R22" s="1506"/>
      <c r="S22" s="1507"/>
      <c r="T22" s="1506"/>
      <c r="U22" s="1507"/>
      <c r="V22" s="1506"/>
      <c r="W22" s="1507"/>
      <c r="X22" s="2430"/>
      <c r="Y22" s="3561"/>
      <c r="Z22" s="2429"/>
      <c r="AA22" s="1509">
        <v>1</v>
      </c>
      <c r="AB22" s="1509">
        <v>1</v>
      </c>
      <c r="AC22" s="1509">
        <v>1</v>
      </c>
    </row>
    <row r="23" spans="1:29" ht="71.25">
      <c r="A23" s="525"/>
      <c r="B23" s="859" t="s">
        <v>771</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61"/>
      <c r="Q23" s="1505" t="str">
        <f>B23</f>
        <v>环境质量</v>
      </c>
      <c r="R23" s="1506" t="s">
        <v>8</v>
      </c>
      <c r="S23" s="1507">
        <f>F23</f>
        <v>100</v>
      </c>
      <c r="T23" s="1506" t="s">
        <v>8</v>
      </c>
      <c r="U23" s="1507">
        <f>H23</f>
        <v>100</v>
      </c>
      <c r="V23" s="1506" t="s">
        <v>8</v>
      </c>
      <c r="W23" s="1507">
        <f>J23</f>
        <v>100</v>
      </c>
      <c r="X23" s="1500"/>
      <c r="Y23" s="3561"/>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3"/>
      <c r="M24" s="2015"/>
      <c r="N24" s="2015"/>
      <c r="O24" s="2022"/>
      <c r="P24" s="3561"/>
      <c r="Q24" s="1505"/>
      <c r="R24" s="1506"/>
      <c r="S24" s="1507"/>
      <c r="T24" s="1506"/>
      <c r="U24" s="1507"/>
      <c r="V24" s="1506"/>
      <c r="W24" s="1507"/>
      <c r="X24" s="1500"/>
      <c r="Y24" s="3561"/>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61"/>
      <c r="Q25" s="1505">
        <f>B25</f>
        <v>111</v>
      </c>
      <c r="R25" s="1506" t="s">
        <v>8</v>
      </c>
      <c r="S25" s="1507">
        <f>F25</f>
        <v>100</v>
      </c>
      <c r="T25" s="1506" t="s">
        <v>8</v>
      </c>
      <c r="U25" s="1507">
        <f>H25</f>
        <v>100</v>
      </c>
      <c r="V25" s="1506" t="s">
        <v>8</v>
      </c>
      <c r="W25" s="1507">
        <f>J25</f>
        <v>100</v>
      </c>
      <c r="X25" s="1500"/>
      <c r="Y25" s="3561"/>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61"/>
      <c r="Q26" s="1505">
        <f t="shared" ref="Q26:Q40" si="11">B26</f>
        <v>111</v>
      </c>
      <c r="R26" s="1506" t="s">
        <v>8</v>
      </c>
      <c r="S26" s="1507">
        <f>F26</f>
        <v>100</v>
      </c>
      <c r="T26" s="1506" t="s">
        <v>8</v>
      </c>
      <c r="U26" s="1507">
        <f>H26</f>
        <v>100</v>
      </c>
      <c r="V26" s="1506" t="s">
        <v>8</v>
      </c>
      <c r="W26" s="1507">
        <f>J26</f>
        <v>100</v>
      </c>
      <c r="X26" s="1500"/>
      <c r="Y26" s="3561"/>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61"/>
      <c r="Q27" s="1133">
        <f t="shared" si="11"/>
        <v>111</v>
      </c>
      <c r="R27" s="1501" t="s">
        <v>8</v>
      </c>
      <c r="S27" s="1502">
        <f>F27</f>
        <v>100</v>
      </c>
      <c r="T27" s="1501" t="s">
        <v>8</v>
      </c>
      <c r="U27" s="1502">
        <f>H27</f>
        <v>100</v>
      </c>
      <c r="V27" s="1501" t="s">
        <v>8</v>
      </c>
      <c r="W27" s="1502">
        <f>J27</f>
        <v>100</v>
      </c>
      <c r="X27" s="1503"/>
      <c r="Y27" s="3561"/>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61"/>
      <c r="Q28" s="1505">
        <f t="shared" si="11"/>
        <v>111</v>
      </c>
      <c r="R28" s="1506" t="s">
        <v>8</v>
      </c>
      <c r="S28" s="1507">
        <f t="shared" ref="S28:S40" si="12">F28</f>
        <v>100</v>
      </c>
      <c r="T28" s="1506" t="s">
        <v>8</v>
      </c>
      <c r="U28" s="1507">
        <f t="shared" ref="U28:U40" si="13">H28</f>
        <v>100</v>
      </c>
      <c r="V28" s="1506" t="s">
        <v>8</v>
      </c>
      <c r="W28" s="1507">
        <f t="shared" ref="W28:W40" si="14">J28</f>
        <v>100</v>
      </c>
      <c r="X28" s="1500"/>
      <c r="Y28" s="3561"/>
      <c r="Z28" s="1508">
        <f t="shared" ref="Z28:Z40" si="15">Q28</f>
        <v>111</v>
      </c>
      <c r="AA28" s="1509">
        <f t="shared" si="3"/>
        <v>1</v>
      </c>
      <c r="AB28" s="1509">
        <f t="shared" si="4"/>
        <v>1</v>
      </c>
      <c r="AC28" s="1509">
        <f t="shared" si="5"/>
        <v>1</v>
      </c>
    </row>
    <row r="29" spans="1:29" ht="15">
      <c r="A29" s="2623" t="s">
        <v>2734</v>
      </c>
      <c r="B29" s="170" t="s">
        <v>773</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62" t="s">
        <v>543</v>
      </c>
      <c r="Q29" s="1505" t="str">
        <f t="shared" si="11"/>
        <v>建筑类型</v>
      </c>
      <c r="R29" s="1506" t="s">
        <v>8</v>
      </c>
      <c r="S29" s="1507">
        <f t="shared" si="12"/>
        <v>100</v>
      </c>
      <c r="T29" s="1506" t="s">
        <v>8</v>
      </c>
      <c r="U29" s="1507">
        <f t="shared" si="13"/>
        <v>100</v>
      </c>
      <c r="V29" s="1506" t="s">
        <v>8</v>
      </c>
      <c r="W29" s="1507">
        <f t="shared" si="14"/>
        <v>100</v>
      </c>
      <c r="X29" s="1500"/>
      <c r="Y29" s="3563" t="s">
        <v>543</v>
      </c>
      <c r="Z29" s="1508" t="str">
        <f t="shared" si="15"/>
        <v>建筑类型</v>
      </c>
      <c r="AA29" s="1509">
        <f t="shared" si="3"/>
        <v>1</v>
      </c>
      <c r="AB29" s="1509">
        <f t="shared" si="4"/>
        <v>1</v>
      </c>
      <c r="AC29" s="1509">
        <f t="shared" si="5"/>
        <v>1</v>
      </c>
    </row>
    <row r="30" spans="1:29" s="1292"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563"/>
      <c r="Q30" s="1534" t="str">
        <f t="shared" si="11"/>
        <v>项目建筑规模</v>
      </c>
      <c r="R30" s="1510" t="s">
        <v>8</v>
      </c>
      <c r="S30" s="1511" t="e">
        <f t="shared" si="12"/>
        <v>#N/A</v>
      </c>
      <c r="T30" s="1510" t="s">
        <v>8</v>
      </c>
      <c r="U30" s="1511" t="e">
        <f t="shared" si="13"/>
        <v>#N/A</v>
      </c>
      <c r="V30" s="1510" t="s">
        <v>8</v>
      </c>
      <c r="W30" s="1511" t="e">
        <f t="shared" si="14"/>
        <v>#N/A</v>
      </c>
      <c r="X30" s="1512"/>
      <c r="Y30" s="3563"/>
      <c r="Z30" s="1513" t="str">
        <f t="shared" si="15"/>
        <v>项目建筑规模</v>
      </c>
      <c r="AA30" s="1509" t="e">
        <f t="shared" si="3"/>
        <v>#N/A</v>
      </c>
      <c r="AB30" s="1509" t="e">
        <f t="shared" si="4"/>
        <v>#N/A</v>
      </c>
      <c r="AC30" s="1509"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63"/>
      <c r="Q31" s="1505" t="str">
        <f t="shared" si="11"/>
        <v>建筑结构</v>
      </c>
      <c r="R31" s="1506" t="s">
        <v>8</v>
      </c>
      <c r="S31" s="1507">
        <f t="shared" si="12"/>
        <v>100</v>
      </c>
      <c r="T31" s="1506" t="s">
        <v>8</v>
      </c>
      <c r="U31" s="1507">
        <f t="shared" si="13"/>
        <v>100</v>
      </c>
      <c r="V31" s="1506" t="s">
        <v>8</v>
      </c>
      <c r="W31" s="1507">
        <f t="shared" si="14"/>
        <v>100</v>
      </c>
      <c r="X31" s="1500"/>
      <c r="Y31" s="3563"/>
      <c r="Z31" s="1508" t="str">
        <f t="shared" si="15"/>
        <v>建筑结构</v>
      </c>
      <c r="AA31" s="1509">
        <f t="shared" si="3"/>
        <v>1</v>
      </c>
      <c r="AB31" s="1509">
        <f t="shared" si="4"/>
        <v>1</v>
      </c>
      <c r="AC31" s="1509">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63"/>
      <c r="Q32" s="1505" t="str">
        <f t="shared" si="11"/>
        <v>公共部分装修</v>
      </c>
      <c r="R32" s="1506" t="s">
        <v>8</v>
      </c>
      <c r="S32" s="1507">
        <f t="shared" si="12"/>
        <v>100</v>
      </c>
      <c r="T32" s="1506" t="s">
        <v>8</v>
      </c>
      <c r="U32" s="1507">
        <f t="shared" si="13"/>
        <v>100</v>
      </c>
      <c r="V32" s="1506" t="s">
        <v>8</v>
      </c>
      <c r="W32" s="1507">
        <f t="shared" si="14"/>
        <v>100</v>
      </c>
      <c r="X32" s="1500"/>
      <c r="Y32" s="3563"/>
      <c r="Z32" s="1508" t="str">
        <f t="shared" si="15"/>
        <v>公共部分装修</v>
      </c>
      <c r="AA32" s="1509">
        <f t="shared" si="3"/>
        <v>1</v>
      </c>
      <c r="AB32" s="1509">
        <f t="shared" si="4"/>
        <v>1</v>
      </c>
      <c r="AC32" s="1509">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63"/>
      <c r="Q33" s="1505" t="str">
        <f t="shared" si="11"/>
        <v>成新度</v>
      </c>
      <c r="R33" s="1506" t="s">
        <v>8</v>
      </c>
      <c r="S33" s="1507" t="e">
        <f t="shared" si="12"/>
        <v>#N/A</v>
      </c>
      <c r="T33" s="1506" t="s">
        <v>8</v>
      </c>
      <c r="U33" s="1507" t="e">
        <f t="shared" si="13"/>
        <v>#N/A</v>
      </c>
      <c r="V33" s="1506" t="s">
        <v>8</v>
      </c>
      <c r="W33" s="1507" t="e">
        <f t="shared" si="14"/>
        <v>#N/A</v>
      </c>
      <c r="X33" s="1500"/>
      <c r="Y33" s="3563"/>
      <c r="Z33" s="1508" t="str">
        <f t="shared" si="15"/>
        <v>成新度</v>
      </c>
      <c r="AA33" s="1509" t="e">
        <f t="shared" si="3"/>
        <v>#N/A</v>
      </c>
      <c r="AB33" s="1509" t="e">
        <f t="shared" si="4"/>
        <v>#N/A</v>
      </c>
      <c r="AC33" s="1509" t="e">
        <f t="shared" si="5"/>
        <v>#N/A</v>
      </c>
    </row>
    <row r="34" spans="1:29" s="1202"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63"/>
      <c r="Q34" s="1133" t="str">
        <f t="shared" si="11"/>
        <v>物业管理</v>
      </c>
      <c r="R34" s="1501" t="s">
        <v>8</v>
      </c>
      <c r="S34" s="1502">
        <f t="shared" si="12"/>
        <v>100</v>
      </c>
      <c r="T34" s="1501" t="s">
        <v>8</v>
      </c>
      <c r="U34" s="1502">
        <f t="shared" si="13"/>
        <v>100</v>
      </c>
      <c r="V34" s="1501" t="s">
        <v>8</v>
      </c>
      <c r="W34" s="1502">
        <f t="shared" si="14"/>
        <v>100</v>
      </c>
      <c r="X34" s="1503"/>
      <c r="Y34" s="3563"/>
      <c r="Z34" s="1132" t="str">
        <f t="shared" si="15"/>
        <v>物业管理</v>
      </c>
      <c r="AA34" s="1504">
        <f t="shared" si="3"/>
        <v>1</v>
      </c>
      <c r="AB34" s="1504">
        <f t="shared" si="4"/>
        <v>1</v>
      </c>
      <c r="AC34" s="1504">
        <f t="shared" si="5"/>
        <v>1</v>
      </c>
    </row>
    <row r="35" spans="1:29" ht="15">
      <c r="A35" s="587"/>
      <c r="B35" s="1808"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63" t="s">
        <v>543</v>
      </c>
      <c r="Q35" s="1505" t="str">
        <f t="shared" si="11"/>
        <v>市政基础设施</v>
      </c>
      <c r="R35" s="1506" t="s">
        <v>8</v>
      </c>
      <c r="S35" s="1507">
        <f t="shared" si="12"/>
        <v>100</v>
      </c>
      <c r="T35" s="1506" t="s">
        <v>8</v>
      </c>
      <c r="U35" s="1507">
        <f t="shared" si="13"/>
        <v>100</v>
      </c>
      <c r="V35" s="1506" t="s">
        <v>8</v>
      </c>
      <c r="W35" s="1507">
        <f t="shared" si="14"/>
        <v>100</v>
      </c>
      <c r="X35" s="1500"/>
      <c r="Y35" s="3563" t="s">
        <v>543</v>
      </c>
      <c r="Z35" s="1508" t="str">
        <f t="shared" si="15"/>
        <v>市政基础设施</v>
      </c>
      <c r="AA35" s="1509">
        <f t="shared" si="3"/>
        <v>1</v>
      </c>
      <c r="AB35" s="1509">
        <f t="shared" si="4"/>
        <v>1</v>
      </c>
      <c r="AC35" s="1509">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63"/>
      <c r="Q36" s="1505" t="str">
        <f t="shared" si="11"/>
        <v>内部装修</v>
      </c>
      <c r="R36" s="1506" t="s">
        <v>8</v>
      </c>
      <c r="S36" s="1507">
        <f t="shared" si="12"/>
        <v>100</v>
      </c>
      <c r="T36" s="1506" t="s">
        <v>8</v>
      </c>
      <c r="U36" s="1507">
        <f t="shared" si="13"/>
        <v>100</v>
      </c>
      <c r="V36" s="1506" t="s">
        <v>8</v>
      </c>
      <c r="W36" s="1507">
        <f t="shared" si="14"/>
        <v>100</v>
      </c>
      <c r="X36" s="1500"/>
      <c r="Y36" s="3563"/>
      <c r="Z36" s="1508" t="str">
        <f t="shared" si="15"/>
        <v>内部装修</v>
      </c>
      <c r="AA36" s="1509">
        <f t="shared" si="3"/>
        <v>1</v>
      </c>
      <c r="AB36" s="1509">
        <f t="shared" si="4"/>
        <v>1</v>
      </c>
      <c r="AC36" s="1509">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63"/>
      <c r="Q37" s="1505" t="str">
        <f t="shared" si="11"/>
        <v>内部装修状况</v>
      </c>
      <c r="R37" s="1506" t="s">
        <v>8</v>
      </c>
      <c r="S37" s="1507">
        <f t="shared" si="12"/>
        <v>100</v>
      </c>
      <c r="T37" s="1506" t="s">
        <v>8</v>
      </c>
      <c r="U37" s="1507">
        <f t="shared" si="13"/>
        <v>100</v>
      </c>
      <c r="V37" s="1506" t="s">
        <v>8</v>
      </c>
      <c r="W37" s="1507">
        <f t="shared" si="14"/>
        <v>100</v>
      </c>
      <c r="X37" s="1500"/>
      <c r="Y37" s="3563"/>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63"/>
      <c r="Q38" s="1534">
        <f t="shared" si="11"/>
        <v>111</v>
      </c>
      <c r="R38" s="1510" t="s">
        <v>8</v>
      </c>
      <c r="S38" s="1511">
        <f t="shared" si="12"/>
        <v>100</v>
      </c>
      <c r="T38" s="1510" t="s">
        <v>8</v>
      </c>
      <c r="U38" s="1511">
        <f t="shared" si="13"/>
        <v>100</v>
      </c>
      <c r="V38" s="1510" t="s">
        <v>8</v>
      </c>
      <c r="W38" s="1511">
        <f t="shared" si="14"/>
        <v>100</v>
      </c>
      <c r="X38" s="1512"/>
      <c r="Y38" s="3563"/>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63"/>
      <c r="Q39" s="1505">
        <f t="shared" si="11"/>
        <v>111</v>
      </c>
      <c r="R39" s="1506" t="s">
        <v>8</v>
      </c>
      <c r="S39" s="1507">
        <f t="shared" si="12"/>
        <v>100</v>
      </c>
      <c r="T39" s="1506" t="s">
        <v>8</v>
      </c>
      <c r="U39" s="1507">
        <f t="shared" si="13"/>
        <v>100</v>
      </c>
      <c r="V39" s="1506" t="s">
        <v>8</v>
      </c>
      <c r="W39" s="1507">
        <f t="shared" si="14"/>
        <v>100</v>
      </c>
      <c r="X39" s="1500"/>
      <c r="Y39" s="3563"/>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670"/>
      <c r="Q40" s="1505">
        <f t="shared" si="11"/>
        <v>111</v>
      </c>
      <c r="R40" s="1506" t="s">
        <v>8</v>
      </c>
      <c r="S40" s="1507">
        <f t="shared" si="12"/>
        <v>100</v>
      </c>
      <c r="T40" s="1506" t="s">
        <v>8</v>
      </c>
      <c r="U40" s="1507">
        <f t="shared" si="13"/>
        <v>100</v>
      </c>
      <c r="V40" s="1506" t="s">
        <v>8</v>
      </c>
      <c r="W40" s="1507">
        <f t="shared" si="14"/>
        <v>100</v>
      </c>
      <c r="X40" s="1500"/>
      <c r="Y40" s="3670"/>
      <c r="Z40" s="1508">
        <f t="shared" si="15"/>
        <v>111</v>
      </c>
      <c r="AA40" s="1509">
        <f t="shared" si="3"/>
        <v>1</v>
      </c>
      <c r="AB40" s="1509">
        <f t="shared" si="4"/>
        <v>1</v>
      </c>
      <c r="AC40" s="1509">
        <f t="shared" si="5"/>
        <v>1</v>
      </c>
    </row>
    <row r="41" spans="1:29" ht="15">
      <c r="A41" s="600" t="s">
        <v>729</v>
      </c>
      <c r="B41" s="875"/>
      <c r="C41" s="2469" t="s">
        <v>1</v>
      </c>
      <c r="D41" s="2470"/>
      <c r="E41" s="2471"/>
      <c r="F41" s="2472"/>
      <c r="G41" s="2473"/>
      <c r="H41" s="2474"/>
      <c r="I41" s="2471"/>
      <c r="J41" s="2474"/>
      <c r="K41" s="1539"/>
      <c r="L41" s="2025"/>
      <c r="M41" s="2026"/>
      <c r="N41" s="2015"/>
      <c r="O41" s="2026"/>
      <c r="P41" s="3526" t="str">
        <f>A41</f>
        <v>成交单价（元/平方米）</v>
      </c>
      <c r="Q41" s="3526"/>
      <c r="R41" s="3669">
        <f>E41</f>
        <v>0</v>
      </c>
      <c r="S41" s="3669"/>
      <c r="T41" s="3669">
        <f>G41</f>
        <v>0</v>
      </c>
      <c r="U41" s="3669"/>
      <c r="V41" s="3669">
        <f>I41</f>
        <v>0</v>
      </c>
      <c r="W41" s="3669"/>
      <c r="X41" s="1495"/>
      <c r="Y41" s="1514"/>
      <c r="Z41" s="1495"/>
      <c r="AA41" s="1495"/>
      <c r="AB41" s="1495"/>
      <c r="AC41" s="1495"/>
    </row>
    <row r="42" spans="1:29" ht="15.75" thickBot="1">
      <c r="A42" s="608" t="s">
        <v>2739</v>
      </c>
      <c r="B42" s="876"/>
      <c r="C42" s="2475" t="e">
        <f>R43</f>
        <v>#DIV/0!</v>
      </c>
      <c r="D42" s="3012" t="s">
        <v>2970</v>
      </c>
      <c r="E42" s="2476" t="e">
        <f>R42</f>
        <v>#DIV/0!</v>
      </c>
      <c r="F42" s="3013"/>
      <c r="G42" s="2475" t="e">
        <f>T42</f>
        <v>#DIV/0!</v>
      </c>
      <c r="H42" s="3013"/>
      <c r="I42" s="2476" t="e">
        <f>V42</f>
        <v>#DIV/0!</v>
      </c>
      <c r="J42" s="3013"/>
      <c r="K42" s="3021">
        <f>F42+H42+J42</f>
        <v>0</v>
      </c>
      <c r="L42" s="2025"/>
      <c r="M42" s="2026"/>
      <c r="N42" s="2015"/>
      <c r="O42" s="2026"/>
      <c r="P42" s="3526" t="str">
        <f>A42</f>
        <v>比较价格（元/平方米）</v>
      </c>
      <c r="Q42" s="3526"/>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495"/>
      <c r="Y42" s="1495"/>
      <c r="Z42" s="1495"/>
      <c r="AA42" s="1495"/>
      <c r="AB42" s="1495"/>
      <c r="AC42" s="1495"/>
    </row>
    <row r="43" spans="1:29" ht="15.75" thickBot="1">
      <c r="A43" s="612" t="s">
        <v>2902</v>
      </c>
      <c r="B43" s="613"/>
      <c r="C43" s="2477" t="e">
        <f>R43</f>
        <v>#DIV/0!</v>
      </c>
      <c r="D43" s="2477"/>
      <c r="E43" s="2477"/>
      <c r="F43" s="2477"/>
      <c r="G43" s="2477"/>
      <c r="H43" s="2477"/>
      <c r="I43" s="2477"/>
      <c r="J43" s="2477"/>
      <c r="K43" s="1540"/>
      <c r="L43" s="2025"/>
      <c r="M43" s="2026"/>
      <c r="N43" s="2026"/>
      <c r="O43" s="2026"/>
      <c r="P43" s="3523" t="str">
        <f>A43</f>
        <v>估价对象XX用房的比较价格（楼面单价，元/平方米）</v>
      </c>
      <c r="Q43" s="3524"/>
      <c r="R43" s="3668" t="e">
        <f>IF(F1="售价",ROUND(IF(D42="简单平均",AVERAGE(R42:V42),R42*F42+T42*H42+V42*J42),0),ROUND(IF(D42="简单平均",AVERAGE(R42:V42),R42*F42+T42*H42+V42*J42),1))</f>
        <v>#DIV/0!</v>
      </c>
      <c r="S43" s="3668"/>
      <c r="T43" s="3668"/>
      <c r="U43" s="3668"/>
      <c r="V43" s="3668"/>
      <c r="W43" s="3668"/>
      <c r="X43" s="1495"/>
      <c r="Y43" s="1495"/>
      <c r="Z43" s="1495"/>
      <c r="AA43" s="1495"/>
      <c r="AB43" s="1495"/>
      <c r="AC43" s="1495"/>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5" t="s">
        <v>550</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5" t="s">
        <v>551</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5" t="s">
        <v>552</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567</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6" t="s">
        <v>522</v>
      </c>
      <c r="B52" s="637"/>
      <c r="C52" s="2518" t="str">
        <f>YEAR(C7)&amp;"-"&amp;MONTH(C7)</f>
        <v>2021-1</v>
      </c>
      <c r="D52" s="2520">
        <f>EDATE(C52,-1)</f>
        <v>44166</v>
      </c>
      <c r="E52" s="2520">
        <f t="shared" ref="E52:O52" si="16">EDATE(D52,-1)</f>
        <v>44136</v>
      </c>
      <c r="F52" s="2520">
        <f t="shared" si="16"/>
        <v>44105</v>
      </c>
      <c r="G52" s="2520">
        <f t="shared" si="16"/>
        <v>44075</v>
      </c>
      <c r="H52" s="2520">
        <f t="shared" si="16"/>
        <v>44044</v>
      </c>
      <c r="I52" s="2520">
        <f t="shared" si="16"/>
        <v>44013</v>
      </c>
      <c r="J52" s="2520">
        <f t="shared" si="16"/>
        <v>43983</v>
      </c>
      <c r="K52" s="2520">
        <f t="shared" si="16"/>
        <v>43952</v>
      </c>
      <c r="L52" s="2520">
        <f t="shared" si="16"/>
        <v>43922</v>
      </c>
      <c r="M52" s="2520">
        <f t="shared" si="16"/>
        <v>43891</v>
      </c>
      <c r="N52" s="2520">
        <f t="shared" si="16"/>
        <v>43862</v>
      </c>
      <c r="O52" s="2520">
        <f t="shared" si="16"/>
        <v>43831</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568</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524</v>
      </c>
      <c r="B55" s="639"/>
      <c r="C55" s="651" t="s">
        <v>569</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570</v>
      </c>
      <c r="B57" s="656" t="s">
        <v>527</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530</v>
      </c>
      <c r="C59" s="665" t="s">
        <v>730</v>
      </c>
      <c r="D59" s="665" t="s">
        <v>731</v>
      </c>
      <c r="E59" s="665" t="s">
        <v>732</v>
      </c>
      <c r="F59" s="665" t="s">
        <v>733</v>
      </c>
      <c r="G59" s="665" t="s">
        <v>734</v>
      </c>
      <c r="H59" s="665" t="s">
        <v>735</v>
      </c>
      <c r="I59" s="665" t="s">
        <v>736</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531</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532</v>
      </c>
      <c r="B70" s="656" t="s">
        <v>578</v>
      </c>
      <c r="C70" s="694" t="s">
        <v>572</v>
      </c>
      <c r="D70" s="694" t="s">
        <v>573</v>
      </c>
      <c r="E70" s="694" t="s">
        <v>574</v>
      </c>
      <c r="F70" s="694" t="s">
        <v>575</v>
      </c>
      <c r="G70" s="694" t="s">
        <v>576</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579</v>
      </c>
      <c r="C72" s="699" t="s">
        <v>572</v>
      </c>
      <c r="D72" s="699" t="s">
        <v>573</v>
      </c>
      <c r="E72" s="699" t="s">
        <v>574</v>
      </c>
      <c r="F72" s="699" t="s">
        <v>575</v>
      </c>
      <c r="G72" s="699" t="s">
        <v>576</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2538</v>
      </c>
      <c r="C74" s="699" t="s">
        <v>572</v>
      </c>
      <c r="D74" s="699" t="s">
        <v>573</v>
      </c>
      <c r="E74" s="699" t="s">
        <v>574</v>
      </c>
      <c r="F74" s="699" t="s">
        <v>575</v>
      </c>
      <c r="G74" s="699" t="s">
        <v>576</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2539</v>
      </c>
      <c r="C76" s="2441" t="s">
        <v>2540</v>
      </c>
      <c r="D76" s="2441" t="s">
        <v>2541</v>
      </c>
      <c r="E76" s="2441" t="s">
        <v>2542</v>
      </c>
      <c r="F76" s="2441" t="s">
        <v>2543</v>
      </c>
      <c r="G76" s="2441" t="s">
        <v>2544</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777</v>
      </c>
      <c r="C78" s="699" t="s">
        <v>572</v>
      </c>
      <c r="D78" s="699" t="s">
        <v>573</v>
      </c>
      <c r="E78" s="699" t="s">
        <v>574</v>
      </c>
      <c r="F78" s="699" t="s">
        <v>575</v>
      </c>
      <c r="G78" s="699" t="s">
        <v>576</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544</v>
      </c>
      <c r="B88" s="656" t="s">
        <v>740</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742</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744</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746</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2537</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748</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784</v>
      </c>
      <c r="C106" s="699" t="s">
        <v>572</v>
      </c>
      <c r="D106" s="699" t="s">
        <v>573</v>
      </c>
      <c r="E106" s="699" t="s">
        <v>574</v>
      </c>
      <c r="F106" s="699" t="s">
        <v>575</v>
      </c>
      <c r="G106" s="699" t="s">
        <v>576</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911"/>
      <c r="C1" s="497" t="s">
        <v>785</v>
      </c>
      <c r="D1" s="837"/>
      <c r="E1" s="499"/>
      <c r="F1" s="2523"/>
      <c r="G1" s="1530" t="s">
        <v>786</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787</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788</v>
      </c>
      <c r="B3" s="503" t="e">
        <f>IF(B37="元/平方米",C39,ROUND(B2*10000/D3,0))</f>
        <v>#DIV/0!</v>
      </c>
      <c r="C3" s="840" t="s">
        <v>789</v>
      </c>
      <c r="D3" s="839">
        <f>SUMIF('数据-汇总表'!$C19:$C33,D1,'数据-汇总表'!$E19:$E33)</f>
        <v>0</v>
      </c>
      <c r="E3" s="1761" t="s">
        <v>2064</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790</v>
      </c>
      <c r="B4" s="506"/>
      <c r="C4" s="3532" t="s">
        <v>791</v>
      </c>
      <c r="D4" s="3533"/>
      <c r="E4" s="3532" t="s">
        <v>792</v>
      </c>
      <c r="F4" s="3533"/>
      <c r="G4" s="3532" t="s">
        <v>793</v>
      </c>
      <c r="H4" s="3533"/>
      <c r="I4" s="3532" t="s">
        <v>794</v>
      </c>
      <c r="J4" s="3533"/>
      <c r="K4" s="507" t="s">
        <v>795</v>
      </c>
      <c r="L4" s="2014"/>
      <c r="M4" s="2015"/>
      <c r="N4" s="2015"/>
      <c r="O4" s="2015"/>
      <c r="P4" s="3534" t="s">
        <v>796</v>
      </c>
      <c r="Q4" s="3535"/>
      <c r="R4" s="3540" t="s">
        <v>792</v>
      </c>
      <c r="S4" s="3541"/>
      <c r="T4" s="3540" t="s">
        <v>793</v>
      </c>
      <c r="U4" s="3541"/>
      <c r="V4" s="3527" t="s">
        <v>794</v>
      </c>
      <c r="W4" s="3527"/>
      <c r="X4" s="1500"/>
      <c r="Y4" s="3540" t="s">
        <v>796</v>
      </c>
      <c r="Z4" s="3541"/>
      <c r="AA4" s="3529" t="s">
        <v>792</v>
      </c>
      <c r="AB4" s="3530" t="s">
        <v>793</v>
      </c>
      <c r="AC4" s="3529" t="s">
        <v>794</v>
      </c>
    </row>
    <row r="5" spans="1:29" ht="15">
      <c r="A5" s="508"/>
      <c r="B5" s="509"/>
      <c r="C5" s="3548" t="s">
        <v>2896</v>
      </c>
      <c r="D5" s="3549"/>
      <c r="E5" s="3548" t="s">
        <v>2897</v>
      </c>
      <c r="F5" s="3549"/>
      <c r="G5" s="3548" t="s">
        <v>2898</v>
      </c>
      <c r="H5" s="3549"/>
      <c r="I5" s="3548" t="s">
        <v>2899</v>
      </c>
      <c r="J5" s="3549"/>
      <c r="K5" s="507"/>
      <c r="L5" s="2014"/>
      <c r="M5" s="2015"/>
      <c r="N5" s="2015"/>
      <c r="O5" s="2015"/>
      <c r="P5" s="3536"/>
      <c r="Q5" s="3537"/>
      <c r="R5" s="3542"/>
      <c r="S5" s="3543"/>
      <c r="T5" s="3542"/>
      <c r="U5" s="3543"/>
      <c r="V5" s="3527"/>
      <c r="W5" s="3527"/>
      <c r="X5" s="1500"/>
      <c r="Y5" s="3542"/>
      <c r="Z5" s="3543"/>
      <c r="AA5" s="3530"/>
      <c r="AB5" s="3530"/>
      <c r="AC5" s="3530"/>
    </row>
    <row r="6" spans="1:29" ht="15.75" thickBot="1">
      <c r="A6" s="510"/>
      <c r="B6" s="511"/>
      <c r="C6" s="3546" t="s">
        <v>2900</v>
      </c>
      <c r="D6" s="3547"/>
      <c r="E6" s="3550" t="s">
        <v>2900</v>
      </c>
      <c r="F6" s="3551"/>
      <c r="G6" s="3546" t="s">
        <v>2900</v>
      </c>
      <c r="H6" s="3547"/>
      <c r="I6" s="3546" t="s">
        <v>2900</v>
      </c>
      <c r="J6" s="3547"/>
      <c r="K6" s="507" t="s">
        <v>521</v>
      </c>
      <c r="L6" s="2014"/>
      <c r="M6" s="2015"/>
      <c r="N6" s="2015"/>
      <c r="O6" s="2015"/>
      <c r="P6" s="3538"/>
      <c r="Q6" s="3539"/>
      <c r="R6" s="3542"/>
      <c r="S6" s="3543"/>
      <c r="T6" s="3544"/>
      <c r="U6" s="3545"/>
      <c r="V6" s="3527"/>
      <c r="W6" s="3527"/>
      <c r="X6" s="1500"/>
      <c r="Y6" s="3544"/>
      <c r="Z6" s="3545"/>
      <c r="AA6" s="3531"/>
      <c r="AB6" s="3531"/>
      <c r="AC6" s="3531"/>
    </row>
    <row r="7" spans="1:29" s="1202" customFormat="1" ht="15.75" thickBot="1">
      <c r="A7" s="2627"/>
      <c r="B7" s="2634" t="s">
        <v>522</v>
      </c>
      <c r="C7" s="512">
        <f>'数据-取费表'!B2</f>
        <v>44202</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57" t="s">
        <v>523</v>
      </c>
      <c r="Q7" s="3559"/>
      <c r="R7" s="1501" t="s">
        <v>8</v>
      </c>
      <c r="S7" s="1502">
        <f t="shared" ref="S7:S14" si="0">F7</f>
        <v>0</v>
      </c>
      <c r="T7" s="1501" t="s">
        <v>8</v>
      </c>
      <c r="U7" s="1502">
        <f t="shared" ref="U7:U14" si="1">H7</f>
        <v>0</v>
      </c>
      <c r="V7" s="1501" t="s">
        <v>8</v>
      </c>
      <c r="W7" s="1502">
        <f t="shared" ref="W7:W14" si="2">J7</f>
        <v>0</v>
      </c>
      <c r="X7" s="1503"/>
      <c r="Y7" s="3557" t="s">
        <v>523</v>
      </c>
      <c r="Z7" s="3558"/>
      <c r="AA7" s="1504" t="e">
        <f>D7/F7</f>
        <v>#DIV/0!</v>
      </c>
      <c r="AB7" s="1504" t="e">
        <f>D7/H7</f>
        <v>#DIV/0!</v>
      </c>
      <c r="AC7" s="1504" t="e">
        <f>D7/J7</f>
        <v>#DIV/0!</v>
      </c>
    </row>
    <row r="8" spans="1:29" s="1202" customFormat="1" ht="15.75" thickBot="1">
      <c r="A8" s="2628"/>
      <c r="B8" s="2635" t="s">
        <v>524</v>
      </c>
      <c r="C8" s="518" t="s">
        <v>569</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57" t="s">
        <v>526</v>
      </c>
      <c r="Q8" s="3558"/>
      <c r="R8" s="1501" t="s">
        <v>8</v>
      </c>
      <c r="S8" s="1502">
        <f t="shared" si="0"/>
        <v>0</v>
      </c>
      <c r="T8" s="1501" t="s">
        <v>8</v>
      </c>
      <c r="U8" s="1502">
        <f t="shared" si="1"/>
        <v>0</v>
      </c>
      <c r="V8" s="1501" t="s">
        <v>8</v>
      </c>
      <c r="W8" s="1502">
        <f t="shared" si="2"/>
        <v>0</v>
      </c>
      <c r="X8" s="1503"/>
      <c r="Y8" s="3557" t="s">
        <v>526</v>
      </c>
      <c r="Z8" s="3558"/>
      <c r="AA8" s="1504" t="e">
        <f t="shared" ref="AA8:AA36" si="3">D8/F8</f>
        <v>#DIV/0!</v>
      </c>
      <c r="AB8" s="1504" t="e">
        <f t="shared" ref="AB8:AB36" si="4">D8/H8</f>
        <v>#DIV/0!</v>
      </c>
      <c r="AC8" s="1504" t="e">
        <f t="shared" ref="AC8:AC36" si="5">D8/J8</f>
        <v>#DIV/0!</v>
      </c>
    </row>
    <row r="9" spans="1:29" s="1202" customFormat="1" ht="15">
      <c r="A9" s="2629"/>
      <c r="B9" s="2636" t="s">
        <v>2735</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526" t="s">
        <v>528</v>
      </c>
      <c r="Q9" s="1133" t="str">
        <f t="shared" ref="Q9:Q14" si="6">B9</f>
        <v>用途</v>
      </c>
      <c r="R9" s="1501" t="s">
        <v>8</v>
      </c>
      <c r="S9" s="1502">
        <f t="shared" si="0"/>
        <v>100</v>
      </c>
      <c r="T9" s="1501" t="s">
        <v>8</v>
      </c>
      <c r="U9" s="1502">
        <f t="shared" si="1"/>
        <v>100</v>
      </c>
      <c r="V9" s="1501" t="s">
        <v>8</v>
      </c>
      <c r="W9" s="1502">
        <f t="shared" si="2"/>
        <v>100</v>
      </c>
      <c r="X9" s="1503"/>
      <c r="Y9" s="3472" t="s">
        <v>529</v>
      </c>
      <c r="Z9" s="1132" t="str">
        <f t="shared" ref="Z9:Z14" si="7">Q9</f>
        <v>用途</v>
      </c>
      <c r="AA9" s="1504">
        <f t="shared" si="3"/>
        <v>1</v>
      </c>
      <c r="AB9" s="1504">
        <f t="shared" si="4"/>
        <v>1</v>
      </c>
      <c r="AC9" s="1504">
        <f t="shared" si="5"/>
        <v>1</v>
      </c>
    </row>
    <row r="10" spans="1:29" s="1291" customFormat="1" ht="27">
      <c r="A10" s="2630"/>
      <c r="B10" s="2635" t="s">
        <v>2736</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526"/>
      <c r="Q10" s="1133" t="str">
        <f t="shared" si="6"/>
        <v>土地使用年限（年）</v>
      </c>
      <c r="R10" s="1501" t="s">
        <v>8</v>
      </c>
      <c r="S10" s="1502">
        <f t="shared" si="0"/>
        <v>100</v>
      </c>
      <c r="T10" s="1501" t="s">
        <v>8</v>
      </c>
      <c r="U10" s="1502">
        <f t="shared" si="1"/>
        <v>100</v>
      </c>
      <c r="V10" s="1501" t="s">
        <v>8</v>
      </c>
      <c r="W10" s="1502">
        <f t="shared" si="2"/>
        <v>100</v>
      </c>
      <c r="X10" s="1503"/>
      <c r="Y10" s="3472"/>
      <c r="Z10" s="1132"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526"/>
      <c r="Q11" s="1133">
        <f t="shared" si="6"/>
        <v>111</v>
      </c>
      <c r="R11" s="1501" t="s">
        <v>8</v>
      </c>
      <c r="S11" s="1502">
        <f t="shared" si="0"/>
        <v>100</v>
      </c>
      <c r="T11" s="1501" t="s">
        <v>8</v>
      </c>
      <c r="U11" s="1502">
        <f t="shared" si="1"/>
        <v>100</v>
      </c>
      <c r="V11" s="1501" t="s">
        <v>8</v>
      </c>
      <c r="W11" s="1502">
        <f t="shared" si="2"/>
        <v>100</v>
      </c>
      <c r="X11" s="1503"/>
      <c r="Y11" s="3472"/>
      <c r="Z11" s="1132">
        <f t="shared" si="7"/>
        <v>111</v>
      </c>
      <c r="AA11" s="1504">
        <f t="shared" si="3"/>
        <v>1</v>
      </c>
      <c r="AB11" s="1504">
        <f t="shared" si="4"/>
        <v>1</v>
      </c>
      <c r="AC11" s="1504">
        <f t="shared" si="5"/>
        <v>1</v>
      </c>
    </row>
    <row r="12" spans="1:29" s="1202"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526"/>
      <c r="Q12" s="1133">
        <f t="shared" si="6"/>
        <v>111</v>
      </c>
      <c r="R12" s="1501" t="s">
        <v>8</v>
      </c>
      <c r="S12" s="1502">
        <f t="shared" si="0"/>
        <v>100</v>
      </c>
      <c r="T12" s="1501" t="s">
        <v>8</v>
      </c>
      <c r="U12" s="1502">
        <f t="shared" si="1"/>
        <v>100</v>
      </c>
      <c r="V12" s="1501" t="s">
        <v>8</v>
      </c>
      <c r="W12" s="1502">
        <f t="shared" si="2"/>
        <v>100</v>
      </c>
      <c r="X12" s="1503"/>
      <c r="Y12" s="3472"/>
      <c r="Z12" s="1132">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526"/>
      <c r="Q13" s="1133">
        <f t="shared" si="6"/>
        <v>111</v>
      </c>
      <c r="R13" s="1501" t="s">
        <v>8</v>
      </c>
      <c r="S13" s="1502">
        <f t="shared" si="0"/>
        <v>100</v>
      </c>
      <c r="T13" s="1501" t="s">
        <v>8</v>
      </c>
      <c r="U13" s="1502">
        <f t="shared" si="1"/>
        <v>100</v>
      </c>
      <c r="V13" s="1501" t="s">
        <v>8</v>
      </c>
      <c r="W13" s="1502">
        <f t="shared" si="2"/>
        <v>100</v>
      </c>
      <c r="X13" s="1503"/>
      <c r="Y13" s="3472"/>
      <c r="Z13" s="1132">
        <f t="shared" si="7"/>
        <v>111</v>
      </c>
      <c r="AA13" s="1504">
        <f t="shared" si="3"/>
        <v>1</v>
      </c>
      <c r="AB13" s="1504">
        <f t="shared" si="4"/>
        <v>1</v>
      </c>
      <c r="AC13" s="1504">
        <f t="shared" si="5"/>
        <v>1</v>
      </c>
    </row>
    <row r="14" spans="1:29" ht="85.5">
      <c r="A14" s="2625" t="s">
        <v>2733</v>
      </c>
      <c r="B14" s="540" t="s">
        <v>536</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60" t="s">
        <v>533</v>
      </c>
      <c r="Q14" s="1505" t="str">
        <f t="shared" si="6"/>
        <v>交通便捷度</v>
      </c>
      <c r="R14" s="1506" t="s">
        <v>8</v>
      </c>
      <c r="S14" s="1507">
        <f t="shared" si="0"/>
        <v>100</v>
      </c>
      <c r="T14" s="1506" t="s">
        <v>8</v>
      </c>
      <c r="U14" s="1507">
        <f t="shared" si="1"/>
        <v>100</v>
      </c>
      <c r="V14" s="1506" t="s">
        <v>8</v>
      </c>
      <c r="W14" s="1507">
        <f t="shared" si="2"/>
        <v>100</v>
      </c>
      <c r="X14" s="1500"/>
      <c r="Y14" s="3560" t="s">
        <v>533</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3"/>
      <c r="M15" s="2015"/>
      <c r="N15" s="2015"/>
      <c r="O15" s="2022"/>
      <c r="P15" s="3561"/>
      <c r="Q15" s="1505"/>
      <c r="R15" s="1506"/>
      <c r="S15" s="1507"/>
      <c r="T15" s="1506"/>
      <c r="U15" s="1507"/>
      <c r="V15" s="1506"/>
      <c r="W15" s="1507"/>
      <c r="X15" s="1500"/>
      <c r="Y15" s="3561"/>
      <c r="Z15" s="1508"/>
      <c r="AA15" s="1509">
        <v>1</v>
      </c>
      <c r="AB15" s="1509">
        <v>1</v>
      </c>
      <c r="AC15" s="1509">
        <v>1</v>
      </c>
    </row>
    <row r="16" spans="1:29" ht="42.75">
      <c r="A16" s="508"/>
      <c r="B16" s="2446"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61"/>
      <c r="Q16" s="1505" t="str">
        <f>B16</f>
        <v>公共配套设施</v>
      </c>
      <c r="R16" s="1506" t="s">
        <v>8</v>
      </c>
      <c r="S16" s="1507">
        <f>F16</f>
        <v>100</v>
      </c>
      <c r="T16" s="1506" t="s">
        <v>8</v>
      </c>
      <c r="U16" s="1507">
        <f>H16</f>
        <v>100</v>
      </c>
      <c r="V16" s="1506" t="s">
        <v>8</v>
      </c>
      <c r="W16" s="1507">
        <f>J16</f>
        <v>100</v>
      </c>
      <c r="X16" s="1500"/>
      <c r="Y16" s="3561"/>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3"/>
      <c r="M17" s="2015"/>
      <c r="N17" s="2015"/>
      <c r="O17" s="2022"/>
      <c r="P17" s="3561"/>
      <c r="Q17" s="1505"/>
      <c r="R17" s="1506"/>
      <c r="S17" s="1507"/>
      <c r="T17" s="1506"/>
      <c r="U17" s="1507"/>
      <c r="V17" s="1506"/>
      <c r="W17" s="1507"/>
      <c r="X17" s="1500"/>
      <c r="Y17" s="3561"/>
      <c r="Z17" s="1508"/>
      <c r="AA17" s="1509">
        <v>1</v>
      </c>
      <c r="AB17" s="1509">
        <v>1</v>
      </c>
      <c r="AC17" s="1509">
        <v>1</v>
      </c>
    </row>
    <row r="18" spans="1:29" ht="28.5">
      <c r="A18" s="508"/>
      <c r="B18" s="2434"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61"/>
      <c r="Q18" s="2428" t="str">
        <f>B18</f>
        <v>基础设施水平</v>
      </c>
      <c r="R18" s="1506" t="s">
        <v>8</v>
      </c>
      <c r="S18" s="1507">
        <f>F18</f>
        <v>100</v>
      </c>
      <c r="T18" s="1506" t="s">
        <v>8</v>
      </c>
      <c r="U18" s="1507">
        <f>H18</f>
        <v>100</v>
      </c>
      <c r="V18" s="1506" t="s">
        <v>8</v>
      </c>
      <c r="W18" s="1507">
        <f>J18</f>
        <v>100</v>
      </c>
      <c r="X18" s="2430"/>
      <c r="Y18" s="3561"/>
      <c r="Z18" s="2429"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5"/>
      <c r="L19" s="2023"/>
      <c r="M19" s="2015"/>
      <c r="N19" s="2015"/>
      <c r="O19" s="2022"/>
      <c r="P19" s="3561"/>
      <c r="Q19" s="2428"/>
      <c r="R19" s="1506"/>
      <c r="S19" s="1507"/>
      <c r="T19" s="1506"/>
      <c r="U19" s="1507"/>
      <c r="V19" s="1506"/>
      <c r="W19" s="1507"/>
      <c r="X19" s="2430"/>
      <c r="Y19" s="3561"/>
      <c r="Z19" s="2429"/>
      <c r="AA19" s="1509">
        <v>1</v>
      </c>
      <c r="AB19" s="1509">
        <v>1</v>
      </c>
      <c r="AC19" s="1509">
        <v>1</v>
      </c>
    </row>
    <row r="20" spans="1:29" ht="57">
      <c r="A20" s="508"/>
      <c r="B20" s="553" t="s">
        <v>797</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61"/>
      <c r="Q20" s="1505" t="str">
        <f>B20</f>
        <v>自然及人文环境</v>
      </c>
      <c r="R20" s="1506" t="s">
        <v>8</v>
      </c>
      <c r="S20" s="1507">
        <f>F20</f>
        <v>100</v>
      </c>
      <c r="T20" s="1506" t="s">
        <v>8</v>
      </c>
      <c r="U20" s="1507">
        <f>H20</f>
        <v>100</v>
      </c>
      <c r="V20" s="1506" t="s">
        <v>8</v>
      </c>
      <c r="W20" s="1507">
        <f>J20</f>
        <v>100</v>
      </c>
      <c r="X20" s="1500"/>
      <c r="Y20" s="3561"/>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3"/>
      <c r="M21" s="2015"/>
      <c r="N21" s="2015"/>
      <c r="O21" s="2022"/>
      <c r="P21" s="3561"/>
      <c r="Q21" s="1505"/>
      <c r="R21" s="1506"/>
      <c r="S21" s="1507"/>
      <c r="T21" s="1506"/>
      <c r="U21" s="1507"/>
      <c r="V21" s="1506"/>
      <c r="W21" s="1507"/>
      <c r="X21" s="1500"/>
      <c r="Y21" s="3561"/>
      <c r="Z21" s="1508"/>
      <c r="AA21" s="1509">
        <v>1</v>
      </c>
      <c r="AB21" s="1509">
        <v>1</v>
      </c>
      <c r="AC21" s="1509">
        <v>1</v>
      </c>
    </row>
    <row r="22" spans="1:29" ht="15">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61"/>
      <c r="Q22" s="1505" t="str">
        <f>B22</f>
        <v>楼层</v>
      </c>
      <c r="R22" s="1506" t="s">
        <v>8</v>
      </c>
      <c r="S22" s="1507">
        <f>F22</f>
        <v>100</v>
      </c>
      <c r="T22" s="1506" t="s">
        <v>8</v>
      </c>
      <c r="U22" s="1507">
        <f>H22</f>
        <v>100</v>
      </c>
      <c r="V22" s="1506" t="s">
        <v>8</v>
      </c>
      <c r="W22" s="1507">
        <f>J22</f>
        <v>100</v>
      </c>
      <c r="X22" s="1500"/>
      <c r="Y22" s="3561"/>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61"/>
      <c r="Q23" s="1505">
        <f>B23</f>
        <v>111</v>
      </c>
      <c r="R23" s="1506" t="s">
        <v>8</v>
      </c>
      <c r="S23" s="1507">
        <f>F23</f>
        <v>100</v>
      </c>
      <c r="T23" s="1506" t="s">
        <v>8</v>
      </c>
      <c r="U23" s="1507">
        <f>H23</f>
        <v>100</v>
      </c>
      <c r="V23" s="1506" t="s">
        <v>8</v>
      </c>
      <c r="W23" s="1507">
        <f>J23</f>
        <v>100</v>
      </c>
      <c r="X23" s="1500"/>
      <c r="Y23" s="3561"/>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61"/>
      <c r="Q24" s="1505">
        <f t="shared" ref="Q24:Q36" si="11">B24</f>
        <v>111</v>
      </c>
      <c r="R24" s="1506" t="s">
        <v>8</v>
      </c>
      <c r="S24" s="1507">
        <f>F24</f>
        <v>100</v>
      </c>
      <c r="T24" s="1506" t="s">
        <v>8</v>
      </c>
      <c r="U24" s="1507">
        <f>H24</f>
        <v>100</v>
      </c>
      <c r="V24" s="1506" t="s">
        <v>8</v>
      </c>
      <c r="W24" s="1507">
        <f>J24</f>
        <v>100</v>
      </c>
      <c r="X24" s="1500"/>
      <c r="Y24" s="3561"/>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61"/>
      <c r="Q25" s="1133">
        <f t="shared" si="11"/>
        <v>111</v>
      </c>
      <c r="R25" s="1501" t="s">
        <v>8</v>
      </c>
      <c r="S25" s="1502">
        <f>F25</f>
        <v>100</v>
      </c>
      <c r="T25" s="1501" t="s">
        <v>8</v>
      </c>
      <c r="U25" s="1502">
        <f>H25</f>
        <v>100</v>
      </c>
      <c r="V25" s="1501" t="s">
        <v>8</v>
      </c>
      <c r="W25" s="1502">
        <f>J25</f>
        <v>100</v>
      </c>
      <c r="X25" s="1503"/>
      <c r="Y25" s="3561"/>
      <c r="Z25" s="1132">
        <f>Q25</f>
        <v>111</v>
      </c>
      <c r="AA25" s="1509">
        <f>D25/F25</f>
        <v>1</v>
      </c>
      <c r="AB25" s="1509">
        <f>D25/H25</f>
        <v>1</v>
      </c>
      <c r="AC25" s="1509">
        <f>D25/J25</f>
        <v>1</v>
      </c>
    </row>
    <row r="26" spans="1:29" ht="15">
      <c r="A26" s="2623" t="s">
        <v>2734</v>
      </c>
      <c r="B26" s="168" t="s">
        <v>799</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62" t="s">
        <v>543</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63" t="s">
        <v>543</v>
      </c>
      <c r="Z26" s="1508" t="str">
        <f t="shared" ref="Z26:Z36" si="15">Q26</f>
        <v>配套类型</v>
      </c>
      <c r="AA26" s="1509">
        <f t="shared" si="3"/>
        <v>1</v>
      </c>
      <c r="AB26" s="1509">
        <f t="shared" si="4"/>
        <v>1</v>
      </c>
      <c r="AC26" s="1509">
        <f t="shared" si="5"/>
        <v>1</v>
      </c>
    </row>
    <row r="27" spans="1:29" s="1292" customFormat="1" ht="15">
      <c r="A27" s="917"/>
      <c r="B27" s="575" t="s">
        <v>800</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63"/>
      <c r="Q27" s="1534" t="str">
        <f t="shared" si="11"/>
        <v>项目停车位配比</v>
      </c>
      <c r="R27" s="1510" t="s">
        <v>8</v>
      </c>
      <c r="S27" s="1511">
        <f t="shared" si="12"/>
        <v>100</v>
      </c>
      <c r="T27" s="1510" t="s">
        <v>8</v>
      </c>
      <c r="U27" s="1511">
        <f t="shared" si="13"/>
        <v>100</v>
      </c>
      <c r="V27" s="1510" t="s">
        <v>8</v>
      </c>
      <c r="W27" s="1511">
        <f t="shared" si="14"/>
        <v>100</v>
      </c>
      <c r="X27" s="1512"/>
      <c r="Y27" s="3563"/>
      <c r="Z27" s="1513" t="str">
        <f t="shared" si="15"/>
        <v>项目停车位配比</v>
      </c>
      <c r="AA27" s="1509">
        <f t="shared" si="3"/>
        <v>1</v>
      </c>
      <c r="AB27" s="1509">
        <f t="shared" si="4"/>
        <v>1</v>
      </c>
      <c r="AC27" s="1509">
        <f t="shared" si="5"/>
        <v>1</v>
      </c>
    </row>
    <row r="28" spans="1:29" ht="15">
      <c r="A28" s="919"/>
      <c r="B28" s="575" t="s">
        <v>801</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63"/>
      <c r="Q28" s="1505" t="str">
        <f t="shared" si="11"/>
        <v>公共部分装修</v>
      </c>
      <c r="R28" s="1506" t="s">
        <v>8</v>
      </c>
      <c r="S28" s="1507">
        <f t="shared" si="12"/>
        <v>100</v>
      </c>
      <c r="T28" s="1506" t="s">
        <v>8</v>
      </c>
      <c r="U28" s="1507">
        <f t="shared" si="13"/>
        <v>100</v>
      </c>
      <c r="V28" s="1506" t="s">
        <v>8</v>
      </c>
      <c r="W28" s="1507">
        <f t="shared" si="14"/>
        <v>100</v>
      </c>
      <c r="X28" s="1500"/>
      <c r="Y28" s="3563"/>
      <c r="Z28" s="1508" t="str">
        <f t="shared" si="15"/>
        <v>公共部分装修</v>
      </c>
      <c r="AA28" s="1509">
        <f t="shared" si="3"/>
        <v>1</v>
      </c>
      <c r="AB28" s="1509">
        <f t="shared" si="4"/>
        <v>1</v>
      </c>
      <c r="AC28" s="1509">
        <f t="shared" si="5"/>
        <v>1</v>
      </c>
    </row>
    <row r="29" spans="1:29" ht="15">
      <c r="A29" s="919"/>
      <c r="B29" s="575" t="s">
        <v>802</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63"/>
      <c r="Q29" s="1505" t="str">
        <f t="shared" si="11"/>
        <v>成新率</v>
      </c>
      <c r="R29" s="1506" t="s">
        <v>8</v>
      </c>
      <c r="S29" s="1507" t="e">
        <f t="shared" si="12"/>
        <v>#N/A</v>
      </c>
      <c r="T29" s="1506" t="s">
        <v>8</v>
      </c>
      <c r="U29" s="1507" t="e">
        <f t="shared" si="13"/>
        <v>#N/A</v>
      </c>
      <c r="V29" s="1506" t="s">
        <v>8</v>
      </c>
      <c r="W29" s="1507" t="e">
        <f t="shared" si="14"/>
        <v>#N/A</v>
      </c>
      <c r="X29" s="1500"/>
      <c r="Y29" s="3563"/>
      <c r="Z29" s="1508" t="str">
        <f t="shared" si="15"/>
        <v>成新率</v>
      </c>
      <c r="AA29" s="1509" t="e">
        <f t="shared" si="3"/>
        <v>#N/A</v>
      </c>
      <c r="AB29" s="1509" t="e">
        <f t="shared" si="4"/>
        <v>#N/A</v>
      </c>
      <c r="AC29" s="1509" t="e">
        <f t="shared" si="5"/>
        <v>#N/A</v>
      </c>
    </row>
    <row r="30" spans="1:29" ht="15">
      <c r="A30" s="919"/>
      <c r="B30" s="575" t="s">
        <v>803</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63"/>
      <c r="Q30" s="1505" t="str">
        <f t="shared" si="11"/>
        <v>物业等级</v>
      </c>
      <c r="R30" s="1506" t="s">
        <v>8</v>
      </c>
      <c r="S30" s="1507">
        <f t="shared" si="12"/>
        <v>100</v>
      </c>
      <c r="T30" s="1506" t="s">
        <v>8</v>
      </c>
      <c r="U30" s="1507">
        <f t="shared" si="13"/>
        <v>100</v>
      </c>
      <c r="V30" s="1506" t="s">
        <v>8</v>
      </c>
      <c r="W30" s="1507">
        <f t="shared" si="14"/>
        <v>100</v>
      </c>
      <c r="X30" s="1500"/>
      <c r="Y30" s="3563"/>
      <c r="Z30" s="1508" t="str">
        <f t="shared" si="15"/>
        <v>物业等级</v>
      </c>
      <c r="AA30" s="1509">
        <f t="shared" si="3"/>
        <v>1</v>
      </c>
      <c r="AB30" s="1509">
        <f t="shared" si="4"/>
        <v>1</v>
      </c>
      <c r="AC30" s="1509">
        <f t="shared" si="5"/>
        <v>1</v>
      </c>
    </row>
    <row r="31" spans="1:29" s="1202" customFormat="1" ht="15">
      <c r="A31" s="921"/>
      <c r="B31" s="575" t="s">
        <v>804</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63"/>
      <c r="Q31" s="1133" t="str">
        <f t="shared" si="11"/>
        <v>停车位面积</v>
      </c>
      <c r="R31" s="1501" t="s">
        <v>8</v>
      </c>
      <c r="S31" s="1502" t="e">
        <f t="shared" si="12"/>
        <v>#N/A</v>
      </c>
      <c r="T31" s="1501" t="s">
        <v>8</v>
      </c>
      <c r="U31" s="1502" t="e">
        <f t="shared" si="13"/>
        <v>#N/A</v>
      </c>
      <c r="V31" s="1501" t="s">
        <v>8</v>
      </c>
      <c r="W31" s="1502" t="e">
        <f t="shared" si="14"/>
        <v>#N/A</v>
      </c>
      <c r="X31" s="1503"/>
      <c r="Y31" s="3563"/>
      <c r="Z31" s="1132" t="str">
        <f t="shared" si="15"/>
        <v>停车位面积</v>
      </c>
      <c r="AA31" s="1504" t="e">
        <f t="shared" si="3"/>
        <v>#N/A</v>
      </c>
      <c r="AB31" s="1504" t="e">
        <f t="shared" si="4"/>
        <v>#N/A</v>
      </c>
      <c r="AC31" s="1504" t="e">
        <f t="shared" si="5"/>
        <v>#N/A</v>
      </c>
    </row>
    <row r="32" spans="1:29" ht="15">
      <c r="A32" s="919"/>
      <c r="B32" s="575" t="s">
        <v>805</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63" t="s">
        <v>543</v>
      </c>
      <c r="Q32" s="1505" t="str">
        <f t="shared" si="11"/>
        <v>车位类型</v>
      </c>
      <c r="R32" s="1506" t="s">
        <v>8</v>
      </c>
      <c r="S32" s="1507">
        <f t="shared" si="12"/>
        <v>100</v>
      </c>
      <c r="T32" s="1506" t="s">
        <v>8</v>
      </c>
      <c r="U32" s="1507">
        <f t="shared" si="13"/>
        <v>100</v>
      </c>
      <c r="V32" s="1506" t="s">
        <v>8</v>
      </c>
      <c r="W32" s="1507">
        <f t="shared" si="14"/>
        <v>100</v>
      </c>
      <c r="X32" s="1500"/>
      <c r="Y32" s="3563" t="s">
        <v>543</v>
      </c>
      <c r="Z32" s="1508" t="str">
        <f t="shared" si="15"/>
        <v>车位类型</v>
      </c>
      <c r="AA32" s="1509">
        <f t="shared" si="3"/>
        <v>1</v>
      </c>
      <c r="AB32" s="1509">
        <f t="shared" si="4"/>
        <v>1</v>
      </c>
      <c r="AC32" s="1509">
        <f t="shared" si="5"/>
        <v>1</v>
      </c>
    </row>
    <row r="33" spans="1:29" ht="15">
      <c r="A33" s="919"/>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63"/>
      <c r="Q33" s="1505" t="str">
        <f t="shared" si="11"/>
        <v>是否直接入户</v>
      </c>
      <c r="R33" s="1506" t="s">
        <v>8</v>
      </c>
      <c r="S33" s="1507">
        <f t="shared" si="12"/>
        <v>100</v>
      </c>
      <c r="T33" s="1506" t="s">
        <v>8</v>
      </c>
      <c r="U33" s="1507">
        <f t="shared" si="13"/>
        <v>100</v>
      </c>
      <c r="V33" s="1506" t="s">
        <v>8</v>
      </c>
      <c r="W33" s="1507">
        <f t="shared" si="14"/>
        <v>100</v>
      </c>
      <c r="X33" s="1500"/>
      <c r="Y33" s="3563"/>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63"/>
      <c r="Q34" s="1505">
        <f t="shared" si="11"/>
        <v>111</v>
      </c>
      <c r="R34" s="1506" t="s">
        <v>8</v>
      </c>
      <c r="S34" s="1507">
        <f t="shared" si="12"/>
        <v>100</v>
      </c>
      <c r="T34" s="1506" t="s">
        <v>8</v>
      </c>
      <c r="U34" s="1507">
        <f t="shared" si="13"/>
        <v>100</v>
      </c>
      <c r="V34" s="1506" t="s">
        <v>8</v>
      </c>
      <c r="W34" s="1507">
        <f t="shared" si="14"/>
        <v>100</v>
      </c>
      <c r="X34" s="1500"/>
      <c r="Y34" s="3563"/>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63"/>
      <c r="Q35" s="1534">
        <f t="shared" si="11"/>
        <v>111</v>
      </c>
      <c r="R35" s="1510" t="s">
        <v>8</v>
      </c>
      <c r="S35" s="1511">
        <f t="shared" si="12"/>
        <v>100</v>
      </c>
      <c r="T35" s="1510" t="s">
        <v>8</v>
      </c>
      <c r="U35" s="1511">
        <f t="shared" si="13"/>
        <v>100</v>
      </c>
      <c r="V35" s="1510" t="s">
        <v>8</v>
      </c>
      <c r="W35" s="1511">
        <f t="shared" si="14"/>
        <v>100</v>
      </c>
      <c r="X35" s="1512"/>
      <c r="Y35" s="3563"/>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63"/>
      <c r="Q36" s="1505">
        <f t="shared" si="11"/>
        <v>111</v>
      </c>
      <c r="R36" s="1506" t="s">
        <v>8</v>
      </c>
      <c r="S36" s="1507">
        <f t="shared" si="12"/>
        <v>100</v>
      </c>
      <c r="T36" s="1506" t="s">
        <v>8</v>
      </c>
      <c r="U36" s="1507">
        <f t="shared" si="13"/>
        <v>100</v>
      </c>
      <c r="V36" s="1506" t="s">
        <v>8</v>
      </c>
      <c r="W36" s="1507">
        <f t="shared" si="14"/>
        <v>100</v>
      </c>
      <c r="X36" s="1500"/>
      <c r="Y36" s="3563"/>
      <c r="Z36" s="1508">
        <f t="shared" si="15"/>
        <v>111</v>
      </c>
      <c r="AA36" s="1509">
        <f t="shared" si="3"/>
        <v>1</v>
      </c>
      <c r="AB36" s="1509">
        <f t="shared" si="4"/>
        <v>1</v>
      </c>
      <c r="AC36" s="1509">
        <f t="shared" si="5"/>
        <v>1</v>
      </c>
    </row>
    <row r="37" spans="1:29" ht="15">
      <c r="A37" s="1759" t="s">
        <v>2065</v>
      </c>
      <c r="B37" s="1760" t="s">
        <v>2066</v>
      </c>
      <c r="C37" s="2469" t="s">
        <v>1</v>
      </c>
      <c r="D37" s="2470"/>
      <c r="E37" s="2471"/>
      <c r="F37" s="2472"/>
      <c r="G37" s="2473"/>
      <c r="H37" s="2474"/>
      <c r="I37" s="2471"/>
      <c r="J37" s="2474"/>
      <c r="K37" s="1539"/>
      <c r="L37" s="2025"/>
      <c r="M37" s="2026"/>
      <c r="N37" s="2015"/>
      <c r="O37" s="2026"/>
      <c r="P37" s="3526" t="str">
        <f>A37</f>
        <v>成交单价</v>
      </c>
      <c r="Q37" s="3526"/>
      <c r="R37" s="3669">
        <f>E37</f>
        <v>0</v>
      </c>
      <c r="S37" s="3669"/>
      <c r="T37" s="3669">
        <f>G37</f>
        <v>0</v>
      </c>
      <c r="U37" s="3669"/>
      <c r="V37" s="3669">
        <f>I37</f>
        <v>0</v>
      </c>
      <c r="W37" s="3669"/>
      <c r="X37" s="1495"/>
      <c r="Y37" s="1514"/>
      <c r="Z37" s="1495"/>
      <c r="AA37" s="1495"/>
      <c r="AB37" s="1495"/>
      <c r="AC37" s="1495"/>
    </row>
    <row r="38" spans="1:29" ht="15.75" thickBot="1">
      <c r="A38" s="608" t="s">
        <v>2739</v>
      </c>
      <c r="B38" s="876"/>
      <c r="C38" s="2475" t="e">
        <f>R39</f>
        <v>#DIV/0!</v>
      </c>
      <c r="D38" s="3012" t="s">
        <v>2970</v>
      </c>
      <c r="E38" s="2476" t="e">
        <f>R38</f>
        <v>#DIV/0!</v>
      </c>
      <c r="F38" s="3013"/>
      <c r="G38" s="2475" t="e">
        <f>T38</f>
        <v>#DIV/0!</v>
      </c>
      <c r="H38" s="3013"/>
      <c r="I38" s="2476" t="e">
        <f>V38</f>
        <v>#DIV/0!</v>
      </c>
      <c r="J38" s="3013"/>
      <c r="K38" s="3021">
        <f>F38+H38+J38</f>
        <v>0</v>
      </c>
      <c r="L38" s="2025"/>
      <c r="M38" s="2026"/>
      <c r="N38" s="2026"/>
      <c r="O38" s="2026"/>
      <c r="P38" s="3526" t="str">
        <f>A38</f>
        <v>比较价格（元/平方米）</v>
      </c>
      <c r="Q38" s="3526"/>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495"/>
      <c r="Y38" s="1495"/>
      <c r="Z38" s="1495"/>
      <c r="AA38" s="1495"/>
      <c r="AB38" s="1495"/>
      <c r="AC38" s="1495"/>
    </row>
    <row r="39" spans="1:29" ht="15.75" thickBot="1">
      <c r="A39" s="612" t="s">
        <v>2902</v>
      </c>
      <c r="B39" s="613"/>
      <c r="C39" s="2477" t="e">
        <f>R39</f>
        <v>#DIV/0!</v>
      </c>
      <c r="D39" s="2477"/>
      <c r="E39" s="2477"/>
      <c r="F39" s="2477"/>
      <c r="G39" s="2477"/>
      <c r="H39" s="2477"/>
      <c r="I39" s="2477"/>
      <c r="J39" s="2477"/>
      <c r="K39" s="1540"/>
      <c r="L39" s="2025"/>
      <c r="M39" s="2026"/>
      <c r="N39" s="2026"/>
      <c r="O39" s="2026"/>
      <c r="P39" s="3523" t="str">
        <f>A39</f>
        <v>估价对象XX用房的比较价格（楼面单价，元/平方米）</v>
      </c>
      <c r="Q39" s="3524"/>
      <c r="R39" s="3668" t="e">
        <f>IF(F1="售价",ROUND(IF(D38="简单平均",AVERAGE(R38:W38),R38*F38+T38*H38+V38*J38),0),ROUND(IF(D38="简单平均",AVERAGE(R38:V38),R38*F38+T38*H38+V38*J38),1))</f>
        <v>#DIV/0!</v>
      </c>
      <c r="S39" s="3668"/>
      <c r="T39" s="3668"/>
      <c r="U39" s="3668"/>
      <c r="V39" s="3668"/>
      <c r="W39" s="3668"/>
      <c r="X39" s="1495"/>
      <c r="Y39" s="1495"/>
      <c r="Z39" s="1495"/>
      <c r="AA39" s="1495"/>
      <c r="AB39" s="1495"/>
      <c r="AC39" s="1495"/>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5" t="s">
        <v>550</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5" t="s">
        <v>551</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5" t="s">
        <v>552</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567</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522</v>
      </c>
      <c r="B48" s="637"/>
      <c r="C48" s="2518" t="str">
        <f>YEAR(C7)&amp;"-"&amp;MONTH(C7)</f>
        <v>2021-1</v>
      </c>
      <c r="D48" s="2520">
        <f>EDATE(C48,-1)</f>
        <v>44166</v>
      </c>
      <c r="E48" s="2520">
        <f t="shared" ref="E48:O48" si="16">EDATE(D48,-1)</f>
        <v>44136</v>
      </c>
      <c r="F48" s="2520">
        <f t="shared" si="16"/>
        <v>44105</v>
      </c>
      <c r="G48" s="2520">
        <f t="shared" si="16"/>
        <v>44075</v>
      </c>
      <c r="H48" s="2520">
        <f t="shared" si="16"/>
        <v>44044</v>
      </c>
      <c r="I48" s="2520">
        <f t="shared" si="16"/>
        <v>44013</v>
      </c>
      <c r="J48" s="2520">
        <f t="shared" si="16"/>
        <v>43983</v>
      </c>
      <c r="K48" s="2520">
        <f t="shared" si="16"/>
        <v>43952</v>
      </c>
      <c r="L48" s="2520">
        <f t="shared" si="16"/>
        <v>43922</v>
      </c>
      <c r="M48" s="2520">
        <f t="shared" si="16"/>
        <v>43891</v>
      </c>
      <c r="N48" s="2520">
        <f t="shared" si="16"/>
        <v>43862</v>
      </c>
      <c r="O48" s="2520">
        <f t="shared" si="16"/>
        <v>43831</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568</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524</v>
      </c>
      <c r="B51" s="639"/>
      <c r="C51" s="651" t="s">
        <v>569</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570</v>
      </c>
      <c r="B53" s="656" t="s">
        <v>527</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530</v>
      </c>
      <c r="C55" s="665" t="s">
        <v>730</v>
      </c>
      <c r="D55" s="665" t="s">
        <v>731</v>
      </c>
      <c r="E55" s="665" t="s">
        <v>732</v>
      </c>
      <c r="F55" s="665" t="s">
        <v>733</v>
      </c>
      <c r="G55" s="665" t="s">
        <v>734</v>
      </c>
      <c r="H55" s="665" t="s">
        <v>735</v>
      </c>
      <c r="I55" s="665" t="s">
        <v>736</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532</v>
      </c>
      <c r="B63" s="656" t="s">
        <v>579</v>
      </c>
      <c r="C63" s="694" t="s">
        <v>572</v>
      </c>
      <c r="D63" s="694" t="s">
        <v>573</v>
      </c>
      <c r="E63" s="694" t="s">
        <v>574</v>
      </c>
      <c r="F63" s="694" t="s">
        <v>575</v>
      </c>
      <c r="G63" s="694" t="s">
        <v>576</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2538</v>
      </c>
      <c r="C65" s="699" t="s">
        <v>572</v>
      </c>
      <c r="D65" s="699" t="s">
        <v>573</v>
      </c>
      <c r="E65" s="699" t="s">
        <v>574</v>
      </c>
      <c r="F65" s="699" t="s">
        <v>575</v>
      </c>
      <c r="G65" s="699" t="s">
        <v>576</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2539</v>
      </c>
      <c r="C67" s="2441" t="s">
        <v>2540</v>
      </c>
      <c r="D67" s="2441" t="s">
        <v>2541</v>
      </c>
      <c r="E67" s="2441" t="s">
        <v>2542</v>
      </c>
      <c r="F67" s="2441" t="s">
        <v>2543</v>
      </c>
      <c r="G67" s="2441" t="s">
        <v>2544</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737</v>
      </c>
      <c r="C69" s="699" t="s">
        <v>572</v>
      </c>
      <c r="D69" s="699" t="s">
        <v>573</v>
      </c>
      <c r="E69" s="699" t="s">
        <v>574</v>
      </c>
      <c r="F69" s="699" t="s">
        <v>575</v>
      </c>
      <c r="G69" s="699" t="s">
        <v>576</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738</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544</v>
      </c>
      <c r="B79" s="656" t="s">
        <v>807</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808</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744</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810</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811</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812</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813</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911"/>
      <c r="C1" s="497" t="s">
        <v>785</v>
      </c>
      <c r="D1" s="837"/>
      <c r="E1" s="499"/>
      <c r="F1" s="2523"/>
      <c r="G1" s="1530" t="s">
        <v>786</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787</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788</v>
      </c>
      <c r="B3" s="503" t="e">
        <f>C37</f>
        <v>#DIV/0!</v>
      </c>
      <c r="C3" s="840" t="s">
        <v>789</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790</v>
      </c>
      <c r="B4" s="506"/>
      <c r="C4" s="3532" t="s">
        <v>791</v>
      </c>
      <c r="D4" s="3533"/>
      <c r="E4" s="3587" t="s">
        <v>792</v>
      </c>
      <c r="F4" s="3588"/>
      <c r="G4" s="3532" t="s">
        <v>793</v>
      </c>
      <c r="H4" s="3533"/>
      <c r="I4" s="3532" t="s">
        <v>794</v>
      </c>
      <c r="J4" s="3533"/>
      <c r="K4" s="507" t="s">
        <v>795</v>
      </c>
      <c r="L4" s="2014"/>
      <c r="M4" s="2015"/>
      <c r="N4" s="2015"/>
      <c r="O4" s="2015"/>
      <c r="P4" s="3534" t="s">
        <v>796</v>
      </c>
      <c r="Q4" s="3535"/>
      <c r="R4" s="3540" t="s">
        <v>792</v>
      </c>
      <c r="S4" s="3541"/>
      <c r="T4" s="3540" t="s">
        <v>793</v>
      </c>
      <c r="U4" s="3541"/>
      <c r="V4" s="3527" t="s">
        <v>794</v>
      </c>
      <c r="W4" s="3527"/>
      <c r="X4" s="1500"/>
      <c r="Y4" s="3540" t="s">
        <v>796</v>
      </c>
      <c r="Z4" s="3541"/>
      <c r="AA4" s="3529" t="s">
        <v>792</v>
      </c>
      <c r="AB4" s="3530" t="s">
        <v>793</v>
      </c>
      <c r="AC4" s="3529" t="s">
        <v>794</v>
      </c>
    </row>
    <row r="5" spans="1:29" ht="15">
      <c r="A5" s="508"/>
      <c r="B5" s="509"/>
      <c r="C5" s="3548" t="s">
        <v>2896</v>
      </c>
      <c r="D5" s="3549"/>
      <c r="E5" s="3589" t="s">
        <v>2897</v>
      </c>
      <c r="F5" s="3590"/>
      <c r="G5" s="3548" t="s">
        <v>2898</v>
      </c>
      <c r="H5" s="3549"/>
      <c r="I5" s="3548" t="s">
        <v>2899</v>
      </c>
      <c r="J5" s="3549"/>
      <c r="K5" s="507"/>
      <c r="L5" s="2014"/>
      <c r="M5" s="2015"/>
      <c r="N5" s="2015"/>
      <c r="O5" s="2015"/>
      <c r="P5" s="3536"/>
      <c r="Q5" s="3537"/>
      <c r="R5" s="3542"/>
      <c r="S5" s="3543"/>
      <c r="T5" s="3542"/>
      <c r="U5" s="3543"/>
      <c r="V5" s="3527"/>
      <c r="W5" s="3527"/>
      <c r="X5" s="1500"/>
      <c r="Y5" s="3542"/>
      <c r="Z5" s="3543"/>
      <c r="AA5" s="3530"/>
      <c r="AB5" s="3530"/>
      <c r="AC5" s="3530"/>
    </row>
    <row r="6" spans="1:29" ht="15.75" thickBot="1">
      <c r="A6" s="510"/>
      <c r="B6" s="511"/>
      <c r="C6" s="3546" t="s">
        <v>2900</v>
      </c>
      <c r="D6" s="3547"/>
      <c r="E6" s="3585" t="s">
        <v>2900</v>
      </c>
      <c r="F6" s="3586"/>
      <c r="G6" s="3546" t="s">
        <v>2900</v>
      </c>
      <c r="H6" s="3547"/>
      <c r="I6" s="3546" t="s">
        <v>2900</v>
      </c>
      <c r="J6" s="3547"/>
      <c r="K6" s="507" t="s">
        <v>521</v>
      </c>
      <c r="L6" s="2014"/>
      <c r="M6" s="2015"/>
      <c r="N6" s="2015"/>
      <c r="O6" s="2015"/>
      <c r="P6" s="3538"/>
      <c r="Q6" s="3539"/>
      <c r="R6" s="3542"/>
      <c r="S6" s="3543"/>
      <c r="T6" s="3544"/>
      <c r="U6" s="3545"/>
      <c r="V6" s="3527"/>
      <c r="W6" s="3527"/>
      <c r="X6" s="1500"/>
      <c r="Y6" s="3544"/>
      <c r="Z6" s="3545"/>
      <c r="AA6" s="3531"/>
      <c r="AB6" s="3531"/>
      <c r="AC6" s="3531"/>
    </row>
    <row r="7" spans="1:29" s="1202" customFormat="1" ht="15.75" thickBot="1">
      <c r="A7" s="2627"/>
      <c r="B7" s="2634" t="s">
        <v>522</v>
      </c>
      <c r="C7" s="512">
        <f>'数据-取费表'!B2</f>
        <v>44202</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57" t="s">
        <v>523</v>
      </c>
      <c r="Q7" s="3559"/>
      <c r="R7" s="1501" t="s">
        <v>8</v>
      </c>
      <c r="S7" s="1502">
        <f t="shared" ref="S7:S14" si="0">F7</f>
        <v>0</v>
      </c>
      <c r="T7" s="1501" t="s">
        <v>8</v>
      </c>
      <c r="U7" s="1502">
        <f t="shared" ref="U7:U14" si="1">H7</f>
        <v>0</v>
      </c>
      <c r="V7" s="1501" t="s">
        <v>8</v>
      </c>
      <c r="W7" s="1502">
        <f t="shared" ref="W7:W14" si="2">J7</f>
        <v>0</v>
      </c>
      <c r="X7" s="1503"/>
      <c r="Y7" s="3557" t="s">
        <v>523</v>
      </c>
      <c r="Z7" s="3558"/>
      <c r="AA7" s="1504" t="e">
        <f>D7/F7</f>
        <v>#DIV/0!</v>
      </c>
      <c r="AB7" s="1504" t="e">
        <f>D7/H7</f>
        <v>#DIV/0!</v>
      </c>
      <c r="AC7" s="1504" t="e">
        <f>D7/J7</f>
        <v>#DIV/0!</v>
      </c>
    </row>
    <row r="8" spans="1:29" s="1202" customFormat="1" ht="15.75" thickBot="1">
      <c r="A8" s="2628"/>
      <c r="B8" s="2635" t="s">
        <v>524</v>
      </c>
      <c r="C8" s="518" t="s">
        <v>569</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57" t="s">
        <v>526</v>
      </c>
      <c r="Q8" s="3558"/>
      <c r="R8" s="1501" t="s">
        <v>8</v>
      </c>
      <c r="S8" s="1502">
        <f t="shared" si="0"/>
        <v>0</v>
      </c>
      <c r="T8" s="1501" t="s">
        <v>8</v>
      </c>
      <c r="U8" s="1502">
        <f t="shared" si="1"/>
        <v>0</v>
      </c>
      <c r="V8" s="1501" t="s">
        <v>8</v>
      </c>
      <c r="W8" s="1502">
        <f t="shared" si="2"/>
        <v>0</v>
      </c>
      <c r="X8" s="1503"/>
      <c r="Y8" s="3557" t="s">
        <v>526</v>
      </c>
      <c r="Z8" s="3558"/>
      <c r="AA8" s="1504" t="e">
        <f t="shared" ref="AA8:AA34" si="3">D8/F8</f>
        <v>#DIV/0!</v>
      </c>
      <c r="AB8" s="1504" t="e">
        <f t="shared" ref="AB8:AB34" si="4">D8/H8</f>
        <v>#DIV/0!</v>
      </c>
      <c r="AC8" s="1504" t="e">
        <f t="shared" ref="AC8:AC34" si="5">D8/J8</f>
        <v>#DIV/0!</v>
      </c>
    </row>
    <row r="9" spans="1:29" s="1202" customFormat="1" ht="15">
      <c r="A9" s="2629"/>
      <c r="B9" s="2636" t="s">
        <v>2735</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526" t="s">
        <v>528</v>
      </c>
      <c r="Q9" s="1133" t="str">
        <f t="shared" ref="Q9:Q14" si="6">B9</f>
        <v>用途</v>
      </c>
      <c r="R9" s="1501" t="s">
        <v>8</v>
      </c>
      <c r="S9" s="1502">
        <f t="shared" si="0"/>
        <v>100</v>
      </c>
      <c r="T9" s="1501" t="s">
        <v>8</v>
      </c>
      <c r="U9" s="1502">
        <f t="shared" si="1"/>
        <v>100</v>
      </c>
      <c r="V9" s="1501" t="s">
        <v>8</v>
      </c>
      <c r="W9" s="1502">
        <f t="shared" si="2"/>
        <v>100</v>
      </c>
      <c r="X9" s="1503"/>
      <c r="Y9" s="3472" t="s">
        <v>529</v>
      </c>
      <c r="Z9" s="1132" t="str">
        <f t="shared" ref="Z9:Z14" si="7">Q9</f>
        <v>用途</v>
      </c>
      <c r="AA9" s="1504">
        <f t="shared" si="3"/>
        <v>1</v>
      </c>
      <c r="AB9" s="1504">
        <f t="shared" si="4"/>
        <v>1</v>
      </c>
      <c r="AC9" s="1504">
        <f t="shared" si="5"/>
        <v>1</v>
      </c>
    </row>
    <row r="10" spans="1:29" s="1291" customFormat="1" ht="27">
      <c r="A10" s="2630"/>
      <c r="B10" s="2635" t="s">
        <v>2736</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526"/>
      <c r="Q10" s="1133" t="str">
        <f t="shared" si="6"/>
        <v>土地使用年限（年）</v>
      </c>
      <c r="R10" s="1501" t="s">
        <v>8</v>
      </c>
      <c r="S10" s="1502">
        <f t="shared" si="0"/>
        <v>100</v>
      </c>
      <c r="T10" s="1501" t="s">
        <v>8</v>
      </c>
      <c r="U10" s="1502">
        <f t="shared" si="1"/>
        <v>100</v>
      </c>
      <c r="V10" s="1501" t="s">
        <v>8</v>
      </c>
      <c r="W10" s="1502">
        <f t="shared" si="2"/>
        <v>100</v>
      </c>
      <c r="X10" s="1503"/>
      <c r="Y10" s="3472"/>
      <c r="Z10" s="1132" t="str">
        <f t="shared" si="7"/>
        <v>土地使用年限（年）</v>
      </c>
      <c r="AA10" s="1504">
        <f t="shared" si="3"/>
        <v>1</v>
      </c>
      <c r="AB10" s="1504">
        <f t="shared" si="4"/>
        <v>1</v>
      </c>
      <c r="AC10" s="1504">
        <f t="shared" si="5"/>
        <v>1</v>
      </c>
    </row>
    <row r="11" spans="1:29" ht="15">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526"/>
      <c r="Q11" s="1133">
        <f t="shared" si="6"/>
        <v>111</v>
      </c>
      <c r="R11" s="1501" t="s">
        <v>8</v>
      </c>
      <c r="S11" s="1502">
        <f t="shared" si="0"/>
        <v>100</v>
      </c>
      <c r="T11" s="1501" t="s">
        <v>8</v>
      </c>
      <c r="U11" s="1502">
        <f t="shared" si="1"/>
        <v>100</v>
      </c>
      <c r="V11" s="1501" t="s">
        <v>8</v>
      </c>
      <c r="W11" s="1502">
        <f t="shared" si="2"/>
        <v>100</v>
      </c>
      <c r="X11" s="1503"/>
      <c r="Y11" s="3472"/>
      <c r="Z11" s="1132">
        <f t="shared" si="7"/>
        <v>111</v>
      </c>
      <c r="AA11" s="1504">
        <f t="shared" si="3"/>
        <v>1</v>
      </c>
      <c r="AB11" s="1504">
        <f t="shared" si="4"/>
        <v>1</v>
      </c>
      <c r="AC11" s="1504">
        <f t="shared" si="5"/>
        <v>1</v>
      </c>
    </row>
    <row r="12" spans="1:29" s="1202" customFormat="1" ht="15">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526"/>
      <c r="Q12" s="1133">
        <f t="shared" si="6"/>
        <v>111</v>
      </c>
      <c r="R12" s="1501" t="s">
        <v>8</v>
      </c>
      <c r="S12" s="1502">
        <f t="shared" si="0"/>
        <v>100</v>
      </c>
      <c r="T12" s="1501" t="s">
        <v>8</v>
      </c>
      <c r="U12" s="1502">
        <f t="shared" si="1"/>
        <v>100</v>
      </c>
      <c r="V12" s="1501" t="s">
        <v>8</v>
      </c>
      <c r="W12" s="1502">
        <f t="shared" si="2"/>
        <v>100</v>
      </c>
      <c r="X12" s="1503"/>
      <c r="Y12" s="3472"/>
      <c r="Z12" s="1132">
        <f t="shared" si="7"/>
        <v>111</v>
      </c>
      <c r="AA12" s="1504">
        <f>D12/F12</f>
        <v>1</v>
      </c>
      <c r="AB12" s="1504">
        <f>D12/H12</f>
        <v>1</v>
      </c>
      <c r="AC12" s="1504">
        <f>D12/J12</f>
        <v>1</v>
      </c>
    </row>
    <row r="13" spans="1:29" ht="15.75"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526"/>
      <c r="Q13" s="1133">
        <f t="shared" si="6"/>
        <v>111</v>
      </c>
      <c r="R13" s="1501" t="s">
        <v>8</v>
      </c>
      <c r="S13" s="1502">
        <f t="shared" si="0"/>
        <v>100</v>
      </c>
      <c r="T13" s="1501" t="s">
        <v>8</v>
      </c>
      <c r="U13" s="1502">
        <f t="shared" si="1"/>
        <v>100</v>
      </c>
      <c r="V13" s="1501" t="s">
        <v>8</v>
      </c>
      <c r="W13" s="1502">
        <f t="shared" si="2"/>
        <v>100</v>
      </c>
      <c r="X13" s="1503"/>
      <c r="Y13" s="3472"/>
      <c r="Z13" s="1132">
        <f t="shared" si="7"/>
        <v>111</v>
      </c>
      <c r="AA13" s="1504">
        <f t="shared" si="3"/>
        <v>1</v>
      </c>
      <c r="AB13" s="1504">
        <f t="shared" si="4"/>
        <v>1</v>
      </c>
      <c r="AC13" s="1504">
        <f t="shared" si="5"/>
        <v>1</v>
      </c>
    </row>
    <row r="14" spans="1:29" ht="85.5">
      <c r="A14" s="2625" t="s">
        <v>2733</v>
      </c>
      <c r="B14" s="164" t="s">
        <v>536</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60" t="s">
        <v>533</v>
      </c>
      <c r="Q14" s="1505" t="str">
        <f t="shared" si="6"/>
        <v>交通便捷度</v>
      </c>
      <c r="R14" s="1506" t="s">
        <v>8</v>
      </c>
      <c r="S14" s="1507">
        <f t="shared" si="0"/>
        <v>100</v>
      </c>
      <c r="T14" s="1506" t="s">
        <v>8</v>
      </c>
      <c r="U14" s="1507">
        <f t="shared" si="1"/>
        <v>100</v>
      </c>
      <c r="V14" s="1506" t="s">
        <v>8</v>
      </c>
      <c r="W14" s="1507">
        <f t="shared" si="2"/>
        <v>100</v>
      </c>
      <c r="X14" s="1500"/>
      <c r="Y14" s="3560" t="s">
        <v>533</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3"/>
      <c r="M15" s="2015"/>
      <c r="N15" s="2015"/>
      <c r="O15" s="2022"/>
      <c r="P15" s="3561"/>
      <c r="Q15" s="1505"/>
      <c r="R15" s="1506"/>
      <c r="S15" s="1507"/>
      <c r="T15" s="1506"/>
      <c r="U15" s="1507"/>
      <c r="V15" s="1506"/>
      <c r="W15" s="1507"/>
      <c r="X15" s="1500"/>
      <c r="Y15" s="3561"/>
      <c r="Z15" s="1508"/>
      <c r="AA15" s="1509">
        <v>1</v>
      </c>
      <c r="AB15" s="1509">
        <v>1</v>
      </c>
      <c r="AC15" s="1509">
        <v>1</v>
      </c>
    </row>
    <row r="16" spans="1:29" ht="42.75">
      <c r="A16" s="525"/>
      <c r="B16" s="2446"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61"/>
      <c r="Q16" s="1505" t="str">
        <f>B16</f>
        <v>公共配套设施</v>
      </c>
      <c r="R16" s="1506" t="s">
        <v>8</v>
      </c>
      <c r="S16" s="1507">
        <f>F16</f>
        <v>100</v>
      </c>
      <c r="T16" s="1506" t="s">
        <v>8</v>
      </c>
      <c r="U16" s="1507">
        <f>H16</f>
        <v>100</v>
      </c>
      <c r="V16" s="1506" t="s">
        <v>8</v>
      </c>
      <c r="W16" s="1507">
        <f>J16</f>
        <v>100</v>
      </c>
      <c r="X16" s="1500"/>
      <c r="Y16" s="3561"/>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3"/>
      <c r="M17" s="2015"/>
      <c r="N17" s="2015"/>
      <c r="O17" s="2022"/>
      <c r="P17" s="3561"/>
      <c r="Q17" s="1505"/>
      <c r="R17" s="1506"/>
      <c r="S17" s="1507"/>
      <c r="T17" s="1506"/>
      <c r="U17" s="1507"/>
      <c r="V17" s="1506"/>
      <c r="W17" s="1507"/>
      <c r="X17" s="1500"/>
      <c r="Y17" s="3561"/>
      <c r="Z17" s="1508"/>
      <c r="AA17" s="1509">
        <v>1</v>
      </c>
      <c r="AB17" s="1509">
        <v>1</v>
      </c>
      <c r="AC17" s="1509">
        <v>1</v>
      </c>
    </row>
    <row r="18" spans="1:29" ht="28.5">
      <c r="A18" s="525"/>
      <c r="B18" s="2434"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61"/>
      <c r="Q18" s="2428" t="str">
        <f>B18</f>
        <v>基础设施水平</v>
      </c>
      <c r="R18" s="1506" t="s">
        <v>8</v>
      </c>
      <c r="S18" s="1507">
        <f>F18</f>
        <v>100</v>
      </c>
      <c r="T18" s="1506" t="s">
        <v>8</v>
      </c>
      <c r="U18" s="1507">
        <f>H18</f>
        <v>100</v>
      </c>
      <c r="V18" s="1506" t="s">
        <v>8</v>
      </c>
      <c r="W18" s="1507">
        <f>J18</f>
        <v>100</v>
      </c>
      <c r="X18" s="2430"/>
      <c r="Y18" s="3561"/>
      <c r="Z18" s="2429"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5"/>
      <c r="L19" s="2023"/>
      <c r="M19" s="2015"/>
      <c r="N19" s="2015"/>
      <c r="O19" s="2022"/>
      <c r="P19" s="3561"/>
      <c r="Q19" s="2428"/>
      <c r="R19" s="1506"/>
      <c r="S19" s="1507"/>
      <c r="T19" s="1506"/>
      <c r="U19" s="1507"/>
      <c r="V19" s="1506"/>
      <c r="W19" s="1507"/>
      <c r="X19" s="2430"/>
      <c r="Y19" s="3561"/>
      <c r="Z19" s="2429"/>
      <c r="AA19" s="1509">
        <v>1</v>
      </c>
      <c r="AB19" s="1509">
        <v>1</v>
      </c>
      <c r="AC19" s="1509">
        <v>1</v>
      </c>
    </row>
    <row r="20" spans="1:29" ht="57">
      <c r="A20" s="525"/>
      <c r="B20" s="859" t="s">
        <v>797</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61"/>
      <c r="Q20" s="1505" t="str">
        <f>B20</f>
        <v>自然及人文环境</v>
      </c>
      <c r="R20" s="1506" t="s">
        <v>8</v>
      </c>
      <c r="S20" s="1507">
        <f>F20</f>
        <v>100</v>
      </c>
      <c r="T20" s="1506" t="s">
        <v>8</v>
      </c>
      <c r="U20" s="1507">
        <f>H20</f>
        <v>100</v>
      </c>
      <c r="V20" s="1506" t="s">
        <v>8</v>
      </c>
      <c r="W20" s="1507">
        <f>J20</f>
        <v>100</v>
      </c>
      <c r="X20" s="1500"/>
      <c r="Y20" s="3561"/>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3"/>
      <c r="M21" s="2015"/>
      <c r="N21" s="2015"/>
      <c r="O21" s="2022"/>
      <c r="P21" s="3561"/>
      <c r="Q21" s="1505"/>
      <c r="R21" s="1506"/>
      <c r="S21" s="1507"/>
      <c r="T21" s="1506"/>
      <c r="U21" s="1507"/>
      <c r="V21" s="1506"/>
      <c r="W21" s="1507"/>
      <c r="X21" s="1500"/>
      <c r="Y21" s="3561"/>
      <c r="Z21" s="1508"/>
      <c r="AA21" s="1509">
        <v>1</v>
      </c>
      <c r="AB21" s="1509">
        <v>1</v>
      </c>
      <c r="AC21" s="1509">
        <v>1</v>
      </c>
    </row>
    <row r="22" spans="1:29" ht="15">
      <c r="A22" s="525"/>
      <c r="B22" s="859" t="s">
        <v>798</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61"/>
      <c r="Q22" s="1505" t="str">
        <f>B22</f>
        <v>楼层</v>
      </c>
      <c r="R22" s="1506" t="s">
        <v>8</v>
      </c>
      <c r="S22" s="1507">
        <f>F22</f>
        <v>100</v>
      </c>
      <c r="T22" s="1506" t="s">
        <v>8</v>
      </c>
      <c r="U22" s="1507">
        <f>H22</f>
        <v>100</v>
      </c>
      <c r="V22" s="1506" t="s">
        <v>8</v>
      </c>
      <c r="W22" s="1507">
        <f>J22</f>
        <v>100</v>
      </c>
      <c r="X22" s="1500"/>
      <c r="Y22" s="3561"/>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61"/>
      <c r="Q23" s="1505">
        <f>B23</f>
        <v>111</v>
      </c>
      <c r="R23" s="1506" t="s">
        <v>8</v>
      </c>
      <c r="S23" s="1507">
        <f>F23</f>
        <v>100</v>
      </c>
      <c r="T23" s="1506" t="s">
        <v>8</v>
      </c>
      <c r="U23" s="1507">
        <f>H23</f>
        <v>100</v>
      </c>
      <c r="V23" s="1506" t="s">
        <v>8</v>
      </c>
      <c r="W23" s="1507">
        <f>J23</f>
        <v>100</v>
      </c>
      <c r="X23" s="1500"/>
      <c r="Y23" s="3561"/>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61"/>
      <c r="Q24" s="1505">
        <f t="shared" ref="Q24:Q34" si="11">B24</f>
        <v>111</v>
      </c>
      <c r="R24" s="1506" t="s">
        <v>8</v>
      </c>
      <c r="S24" s="1507">
        <f>F24</f>
        <v>100</v>
      </c>
      <c r="T24" s="1506" t="s">
        <v>8</v>
      </c>
      <c r="U24" s="1507">
        <f>H24</f>
        <v>100</v>
      </c>
      <c r="V24" s="1506" t="s">
        <v>8</v>
      </c>
      <c r="W24" s="1507">
        <f>J24</f>
        <v>100</v>
      </c>
      <c r="X24" s="1500"/>
      <c r="Y24" s="3561"/>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61"/>
      <c r="Q25" s="1133">
        <f t="shared" si="11"/>
        <v>111</v>
      </c>
      <c r="R25" s="1501" t="s">
        <v>8</v>
      </c>
      <c r="S25" s="1502">
        <f>F25</f>
        <v>100</v>
      </c>
      <c r="T25" s="1501" t="s">
        <v>8</v>
      </c>
      <c r="U25" s="1502">
        <f>H25</f>
        <v>100</v>
      </c>
      <c r="V25" s="1501" t="s">
        <v>8</v>
      </c>
      <c r="W25" s="1502">
        <f>J25</f>
        <v>100</v>
      </c>
      <c r="X25" s="1503"/>
      <c r="Y25" s="3561"/>
      <c r="Z25" s="1132">
        <f>Q25</f>
        <v>111</v>
      </c>
      <c r="AA25" s="1509">
        <f>D25/F25</f>
        <v>1</v>
      </c>
      <c r="AB25" s="1509">
        <f>D25/H25</f>
        <v>1</v>
      </c>
      <c r="AC25" s="1509">
        <f>D25/J25</f>
        <v>1</v>
      </c>
    </row>
    <row r="26" spans="1:29" ht="15">
      <c r="A26" s="2623" t="s">
        <v>2734</v>
      </c>
      <c r="B26" s="170" t="s">
        <v>801</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62" t="s">
        <v>814</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63" t="s">
        <v>814</v>
      </c>
      <c r="Z26" s="1508" t="str">
        <f t="shared" ref="Z26:Z34" si="15">Q26</f>
        <v>公共部分装修</v>
      </c>
      <c r="AA26" s="1509">
        <f t="shared" si="3"/>
        <v>1</v>
      </c>
      <c r="AB26" s="1509">
        <f t="shared" si="4"/>
        <v>1</v>
      </c>
      <c r="AC26" s="1509">
        <f t="shared" si="5"/>
        <v>1</v>
      </c>
    </row>
    <row r="27" spans="1:29" s="1292" customFormat="1" ht="15">
      <c r="A27" s="596"/>
      <c r="B27" s="520" t="s">
        <v>802</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63"/>
      <c r="Q27" s="1534" t="str">
        <f t="shared" si="11"/>
        <v>成新率</v>
      </c>
      <c r="R27" s="1510" t="s">
        <v>8</v>
      </c>
      <c r="S27" s="1511" t="e">
        <f t="shared" si="12"/>
        <v>#N/A</v>
      </c>
      <c r="T27" s="1510" t="s">
        <v>8</v>
      </c>
      <c r="U27" s="1511" t="e">
        <f t="shared" si="13"/>
        <v>#N/A</v>
      </c>
      <c r="V27" s="1510" t="s">
        <v>8</v>
      </c>
      <c r="W27" s="1511" t="e">
        <f t="shared" si="14"/>
        <v>#N/A</v>
      </c>
      <c r="X27" s="1512"/>
      <c r="Y27" s="3563"/>
      <c r="Z27" s="1513" t="str">
        <f t="shared" si="15"/>
        <v>成新率</v>
      </c>
      <c r="AA27" s="1509" t="e">
        <f t="shared" si="3"/>
        <v>#N/A</v>
      </c>
      <c r="AB27" s="1509" t="e">
        <f t="shared" si="4"/>
        <v>#N/A</v>
      </c>
      <c r="AC27" s="1509" t="e">
        <f t="shared" si="5"/>
        <v>#N/A</v>
      </c>
    </row>
    <row r="28" spans="1:29" ht="15">
      <c r="A28" s="587"/>
      <c r="B28" s="520" t="s">
        <v>803</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63"/>
      <c r="Q28" s="1505" t="str">
        <f t="shared" si="11"/>
        <v>物业等级</v>
      </c>
      <c r="R28" s="1506" t="s">
        <v>8</v>
      </c>
      <c r="S28" s="1507">
        <f t="shared" si="12"/>
        <v>100</v>
      </c>
      <c r="T28" s="1506" t="s">
        <v>8</v>
      </c>
      <c r="U28" s="1507">
        <f t="shared" si="13"/>
        <v>100</v>
      </c>
      <c r="V28" s="1506" t="s">
        <v>8</v>
      </c>
      <c r="W28" s="1507">
        <f t="shared" si="14"/>
        <v>100</v>
      </c>
      <c r="X28" s="1500"/>
      <c r="Y28" s="3563"/>
      <c r="Z28" s="1508" t="str">
        <f t="shared" si="15"/>
        <v>物业等级</v>
      </c>
      <c r="AA28" s="1509">
        <f t="shared" si="3"/>
        <v>1</v>
      </c>
      <c r="AB28" s="1509">
        <f t="shared" si="4"/>
        <v>1</v>
      </c>
      <c r="AC28" s="1509">
        <f t="shared" si="5"/>
        <v>1</v>
      </c>
    </row>
    <row r="29" spans="1:29" ht="15">
      <c r="A29" s="587"/>
      <c r="B29" s="520" t="s">
        <v>815</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63"/>
      <c r="Q29" s="1505" t="str">
        <f t="shared" si="11"/>
        <v>有无电梯</v>
      </c>
      <c r="R29" s="1506" t="s">
        <v>8</v>
      </c>
      <c r="S29" s="1507">
        <f t="shared" si="12"/>
        <v>100</v>
      </c>
      <c r="T29" s="1506" t="s">
        <v>8</v>
      </c>
      <c r="U29" s="1507">
        <f t="shared" si="13"/>
        <v>100</v>
      </c>
      <c r="V29" s="1506" t="s">
        <v>8</v>
      </c>
      <c r="W29" s="1507">
        <f t="shared" si="14"/>
        <v>100</v>
      </c>
      <c r="X29" s="1500"/>
      <c r="Y29" s="3563"/>
      <c r="Z29" s="1508" t="str">
        <f t="shared" si="15"/>
        <v>有无电梯</v>
      </c>
      <c r="AA29" s="1509">
        <f t="shared" si="3"/>
        <v>1</v>
      </c>
      <c r="AB29" s="1509">
        <f t="shared" si="4"/>
        <v>1</v>
      </c>
      <c r="AC29" s="1509">
        <f t="shared" si="5"/>
        <v>1</v>
      </c>
    </row>
    <row r="30" spans="1:29" ht="15">
      <c r="A30" s="587"/>
      <c r="B30" s="520" t="s">
        <v>816</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63"/>
      <c r="Q30" s="1505" t="str">
        <f t="shared" si="11"/>
        <v>建筑面积</v>
      </c>
      <c r="R30" s="1506" t="s">
        <v>8</v>
      </c>
      <c r="S30" s="1507" t="e">
        <f t="shared" si="12"/>
        <v>#N/A</v>
      </c>
      <c r="T30" s="1506" t="s">
        <v>8</v>
      </c>
      <c r="U30" s="1507" t="e">
        <f t="shared" si="13"/>
        <v>#N/A</v>
      </c>
      <c r="V30" s="1506" t="s">
        <v>8</v>
      </c>
      <c r="W30" s="1507" t="e">
        <f t="shared" si="14"/>
        <v>#N/A</v>
      </c>
      <c r="X30" s="1500"/>
      <c r="Y30" s="3563"/>
      <c r="Z30" s="1508" t="str">
        <f t="shared" si="15"/>
        <v>建筑面积</v>
      </c>
      <c r="AA30" s="1509" t="e">
        <f t="shared" si="3"/>
        <v>#N/A</v>
      </c>
      <c r="AB30" s="1509" t="e">
        <f t="shared" si="4"/>
        <v>#N/A</v>
      </c>
      <c r="AC30" s="1509" t="e">
        <f t="shared" si="5"/>
        <v>#N/A</v>
      </c>
    </row>
    <row r="31" spans="1:29" s="1202" customFormat="1" ht="15">
      <c r="A31" s="593"/>
      <c r="B31" s="520" t="s">
        <v>817</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63"/>
      <c r="Q31" s="1133" t="str">
        <f t="shared" si="11"/>
        <v>是否封闭</v>
      </c>
      <c r="R31" s="1501" t="s">
        <v>8</v>
      </c>
      <c r="S31" s="1502">
        <f t="shared" si="12"/>
        <v>100</v>
      </c>
      <c r="T31" s="1501" t="s">
        <v>8</v>
      </c>
      <c r="U31" s="1502">
        <f t="shared" si="13"/>
        <v>100</v>
      </c>
      <c r="V31" s="1501" t="s">
        <v>8</v>
      </c>
      <c r="W31" s="1502">
        <f t="shared" si="14"/>
        <v>100</v>
      </c>
      <c r="X31" s="1503"/>
      <c r="Y31" s="3563"/>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63" t="s">
        <v>543</v>
      </c>
      <c r="Q32" s="1505">
        <f t="shared" si="11"/>
        <v>111</v>
      </c>
      <c r="R32" s="1506" t="s">
        <v>8</v>
      </c>
      <c r="S32" s="1507">
        <f t="shared" si="12"/>
        <v>100</v>
      </c>
      <c r="T32" s="1506" t="s">
        <v>8</v>
      </c>
      <c r="U32" s="1507">
        <f t="shared" si="13"/>
        <v>100</v>
      </c>
      <c r="V32" s="1506" t="s">
        <v>8</v>
      </c>
      <c r="W32" s="1507">
        <f t="shared" si="14"/>
        <v>100</v>
      </c>
      <c r="X32" s="1500"/>
      <c r="Y32" s="3563" t="s">
        <v>543</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63"/>
      <c r="Q33" s="1505">
        <f t="shared" si="11"/>
        <v>111</v>
      </c>
      <c r="R33" s="1506" t="s">
        <v>8</v>
      </c>
      <c r="S33" s="1507">
        <f t="shared" si="12"/>
        <v>100</v>
      </c>
      <c r="T33" s="1506" t="s">
        <v>8</v>
      </c>
      <c r="U33" s="1507">
        <f t="shared" si="13"/>
        <v>100</v>
      </c>
      <c r="V33" s="1506" t="s">
        <v>8</v>
      </c>
      <c r="W33" s="1507">
        <f t="shared" si="14"/>
        <v>100</v>
      </c>
      <c r="X33" s="1500"/>
      <c r="Y33" s="3563"/>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63"/>
      <c r="Q34" s="1505">
        <f t="shared" si="11"/>
        <v>111</v>
      </c>
      <c r="R34" s="1506" t="s">
        <v>8</v>
      </c>
      <c r="S34" s="1507">
        <f t="shared" si="12"/>
        <v>100</v>
      </c>
      <c r="T34" s="1506" t="s">
        <v>8</v>
      </c>
      <c r="U34" s="1507">
        <f t="shared" si="13"/>
        <v>100</v>
      </c>
      <c r="V34" s="1506" t="s">
        <v>8</v>
      </c>
      <c r="W34" s="1507">
        <f t="shared" si="14"/>
        <v>100</v>
      </c>
      <c r="X34" s="1500"/>
      <c r="Y34" s="3563"/>
      <c r="Z34" s="1508">
        <f t="shared" si="15"/>
        <v>111</v>
      </c>
      <c r="AA34" s="1509">
        <f t="shared" si="3"/>
        <v>1</v>
      </c>
      <c r="AB34" s="1509">
        <f t="shared" si="4"/>
        <v>1</v>
      </c>
      <c r="AC34" s="1509">
        <f t="shared" si="5"/>
        <v>1</v>
      </c>
    </row>
    <row r="35" spans="1:29" ht="15">
      <c r="A35" s="600" t="s">
        <v>729</v>
      </c>
      <c r="B35" s="875"/>
      <c r="C35" s="2469" t="s">
        <v>1</v>
      </c>
      <c r="D35" s="2470"/>
      <c r="E35" s="2471"/>
      <c r="F35" s="2472"/>
      <c r="G35" s="2473"/>
      <c r="H35" s="2474"/>
      <c r="I35" s="2471"/>
      <c r="J35" s="2474"/>
      <c r="K35" s="1539"/>
      <c r="L35" s="2025"/>
      <c r="M35" s="2026"/>
      <c r="N35" s="2015"/>
      <c r="O35" s="2026"/>
      <c r="P35" s="3526" t="str">
        <f>A35</f>
        <v>成交单价（元/平方米）</v>
      </c>
      <c r="Q35" s="3526"/>
      <c r="R35" s="3669">
        <f>E35</f>
        <v>0</v>
      </c>
      <c r="S35" s="3669"/>
      <c r="T35" s="3669">
        <f>G35</f>
        <v>0</v>
      </c>
      <c r="U35" s="3669"/>
      <c r="V35" s="3669">
        <f>I35</f>
        <v>0</v>
      </c>
      <c r="W35" s="3669"/>
      <c r="X35" s="1495"/>
      <c r="Y35" s="1514"/>
      <c r="Z35" s="1495"/>
      <c r="AA35" s="1495"/>
      <c r="AB35" s="1495"/>
      <c r="AC35" s="1495"/>
    </row>
    <row r="36" spans="1:29" ht="15.75" thickBot="1">
      <c r="A36" s="608" t="s">
        <v>2739</v>
      </c>
      <c r="B36" s="876"/>
      <c r="C36" s="2475" t="e">
        <f>R37</f>
        <v>#DIV/0!</v>
      </c>
      <c r="D36" s="3012" t="s">
        <v>2971</v>
      </c>
      <c r="E36" s="2476" t="e">
        <f>R36</f>
        <v>#DIV/0!</v>
      </c>
      <c r="F36" s="3013"/>
      <c r="G36" s="2475" t="e">
        <f>T36</f>
        <v>#DIV/0!</v>
      </c>
      <c r="H36" s="3013"/>
      <c r="I36" s="2476" t="e">
        <f>V36</f>
        <v>#DIV/0!</v>
      </c>
      <c r="J36" s="3013"/>
      <c r="K36" s="3021">
        <f>F36+H36+J36</f>
        <v>0</v>
      </c>
      <c r="L36" s="2025"/>
      <c r="M36" s="2026"/>
      <c r="N36" s="2015"/>
      <c r="O36" s="2026"/>
      <c r="P36" s="3526" t="str">
        <f>A36</f>
        <v>比较价格（元/平方米）</v>
      </c>
      <c r="Q36" s="3526"/>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495"/>
      <c r="Y36" s="1495"/>
      <c r="Z36" s="1495"/>
      <c r="AA36" s="1495"/>
      <c r="AB36" s="1495"/>
      <c r="AC36" s="1495"/>
    </row>
    <row r="37" spans="1:29" ht="15.75" thickBot="1">
      <c r="A37" s="612" t="s">
        <v>2902</v>
      </c>
      <c r="B37" s="613"/>
      <c r="C37" s="2477" t="e">
        <f>R37</f>
        <v>#DIV/0!</v>
      </c>
      <c r="D37" s="2477"/>
      <c r="E37" s="2477"/>
      <c r="F37" s="2477"/>
      <c r="G37" s="2477"/>
      <c r="H37" s="2477"/>
      <c r="I37" s="2477"/>
      <c r="J37" s="2477"/>
      <c r="K37" s="1540"/>
      <c r="L37" s="2025"/>
      <c r="M37" s="2026"/>
      <c r="N37" s="2026"/>
      <c r="O37" s="2026"/>
      <c r="P37" s="3523" t="str">
        <f>A37</f>
        <v>估价对象XX用房的比较价格（楼面单价，元/平方米）</v>
      </c>
      <c r="Q37" s="3524"/>
      <c r="R37" s="3668" t="e">
        <f>IF(F1="售价",ROUND(IF(D36="简单平均",AVERAGE(R36:W36),R36*F36+T36*H36+V36*J36),0),ROUND(IF(D36="简单平均",AVERAGE(R36:V36),R36*F36+T36*H36+V36*J36),1))</f>
        <v>#DIV/0!</v>
      </c>
      <c r="S37" s="3668"/>
      <c r="T37" s="3668"/>
      <c r="U37" s="3668"/>
      <c r="V37" s="3668"/>
      <c r="W37" s="3668"/>
      <c r="X37" s="1495"/>
      <c r="Y37" s="1495"/>
      <c r="Z37" s="1495"/>
      <c r="AA37" s="1495"/>
      <c r="AB37" s="1495"/>
      <c r="AC37" s="1495"/>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5" t="s">
        <v>550</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5" t="s">
        <v>551</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5" t="s">
        <v>552</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567</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6" t="s">
        <v>522</v>
      </c>
      <c r="B46" s="637"/>
      <c r="C46" s="2518" t="str">
        <f>YEAR(C7)&amp;"-"&amp;MONTH(C7)</f>
        <v>2021-1</v>
      </c>
      <c r="D46" s="2520">
        <f>EDATE(C46,-1)</f>
        <v>44166</v>
      </c>
      <c r="E46" s="2520">
        <f t="shared" ref="E46:O46" si="16">EDATE(D46,-1)</f>
        <v>44136</v>
      </c>
      <c r="F46" s="2520">
        <f t="shared" si="16"/>
        <v>44105</v>
      </c>
      <c r="G46" s="2520">
        <f t="shared" si="16"/>
        <v>44075</v>
      </c>
      <c r="H46" s="2520">
        <f t="shared" si="16"/>
        <v>44044</v>
      </c>
      <c r="I46" s="2520">
        <f t="shared" si="16"/>
        <v>44013</v>
      </c>
      <c r="J46" s="2520">
        <f t="shared" si="16"/>
        <v>43983</v>
      </c>
      <c r="K46" s="2520">
        <f t="shared" si="16"/>
        <v>43952</v>
      </c>
      <c r="L46" s="2520">
        <f t="shared" si="16"/>
        <v>43922</v>
      </c>
      <c r="M46" s="2520">
        <f t="shared" si="16"/>
        <v>43891</v>
      </c>
      <c r="N46" s="2520">
        <f t="shared" si="16"/>
        <v>43862</v>
      </c>
      <c r="O46" s="2520">
        <f t="shared" si="16"/>
        <v>43831</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568</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524</v>
      </c>
      <c r="B49" s="639"/>
      <c r="C49" s="651" t="s">
        <v>569</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570</v>
      </c>
      <c r="B51" s="656" t="s">
        <v>527</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530</v>
      </c>
      <c r="C53" s="665" t="s">
        <v>730</v>
      </c>
      <c r="D53" s="665" t="s">
        <v>731</v>
      </c>
      <c r="E53" s="665" t="s">
        <v>732</v>
      </c>
      <c r="F53" s="665" t="s">
        <v>733</v>
      </c>
      <c r="G53" s="665" t="s">
        <v>734</v>
      </c>
      <c r="H53" s="665" t="s">
        <v>735</v>
      </c>
      <c r="I53" s="665" t="s">
        <v>736</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532</v>
      </c>
      <c r="B61" s="656" t="s">
        <v>579</v>
      </c>
      <c r="C61" s="694" t="s">
        <v>572</v>
      </c>
      <c r="D61" s="694" t="s">
        <v>573</v>
      </c>
      <c r="E61" s="694" t="s">
        <v>574</v>
      </c>
      <c r="F61" s="694" t="s">
        <v>575</v>
      </c>
      <c r="G61" s="694" t="s">
        <v>576</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2538</v>
      </c>
      <c r="C63" s="699" t="s">
        <v>572</v>
      </c>
      <c r="D63" s="699" t="s">
        <v>573</v>
      </c>
      <c r="E63" s="699" t="s">
        <v>574</v>
      </c>
      <c r="F63" s="699" t="s">
        <v>575</v>
      </c>
      <c r="G63" s="699" t="s">
        <v>576</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2539</v>
      </c>
      <c r="C65" s="2441" t="s">
        <v>2540</v>
      </c>
      <c r="D65" s="2441" t="s">
        <v>2541</v>
      </c>
      <c r="E65" s="2441" t="s">
        <v>2542</v>
      </c>
      <c r="F65" s="2441" t="s">
        <v>2543</v>
      </c>
      <c r="G65" s="2441" t="s">
        <v>2544</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737</v>
      </c>
      <c r="C67" s="699" t="s">
        <v>572</v>
      </c>
      <c r="D67" s="699" t="s">
        <v>573</v>
      </c>
      <c r="E67" s="699" t="s">
        <v>574</v>
      </c>
      <c r="F67" s="699" t="s">
        <v>575</v>
      </c>
      <c r="G67" s="699" t="s">
        <v>576</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544</v>
      </c>
      <c r="B77" s="656" t="s">
        <v>744</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810</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818</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819</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820</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16344.23平方米。根据《建设工程规划许可证》[]、《出让合同》[]，估价对象规划建筑面积为26400平方米。</v>
      </c>
    </row>
    <row r="7" spans="1:4" ht="93.75">
      <c r="A7" s="2589" t="s">
        <v>2727</v>
      </c>
    </row>
    <row r="8" spans="1:4" ht="18.75">
      <c r="A8" s="1708" t="s">
        <v>1896</v>
      </c>
    </row>
    <row r="9" spans="1:4" ht="75">
      <c r="A9" s="17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2021年1月6日（评估专业人员勘察现场之日）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根据《国有土地使用证》[]，估价对象（分摊）出让国有建设用地使用权面积为16344.23平方米。根据《建设工程规划许可证》[]、《出让合同》[]，估价对象规划建筑面积为26400平方米。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2728</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6"/>
      <selection pane="bottomLeft" activeCell="F7" sqref="C7:Q4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3" t="s">
        <v>2290</v>
      </c>
      <c r="C1" s="3678" t="s">
        <v>2291</v>
      </c>
      <c r="D1" s="3679"/>
      <c r="E1" s="3679"/>
      <c r="F1" s="3679"/>
      <c r="G1" s="3679"/>
      <c r="H1" s="3679"/>
      <c r="I1" s="3679"/>
      <c r="J1" s="3679"/>
      <c r="K1" s="3679"/>
      <c r="L1" s="3679"/>
      <c r="M1" s="3679"/>
      <c r="N1" s="3679"/>
      <c r="O1" s="3679"/>
      <c r="P1" s="3679"/>
      <c r="Q1" s="3679"/>
      <c r="R1" s="3679"/>
      <c r="S1" s="3680"/>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8"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5"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7" t="s">
        <v>2894</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7" t="s">
        <v>2893</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6"/>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5"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5"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5"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821</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822</v>
      </c>
      <c r="B22" s="53">
        <f>SUM(B24:B10000)</f>
        <v>0</v>
      </c>
      <c r="C22" s="3675" t="s">
        <v>20</v>
      </c>
      <c r="D22" s="3676"/>
      <c r="E22" s="3676"/>
      <c r="F22" s="3676"/>
      <c r="G22" s="3676"/>
      <c r="H22" s="3676"/>
      <c r="I22" s="3676"/>
      <c r="J22" s="3676"/>
      <c r="K22" s="3676"/>
      <c r="L22" s="3676"/>
      <c r="M22" s="3676"/>
      <c r="N22" s="3676"/>
      <c r="O22" s="3676"/>
      <c r="P22" s="3676"/>
      <c r="Q22" s="3677"/>
      <c r="R22" s="483" t="e">
        <f>ROUND(S22*10000/B22,0)</f>
        <v>#DIV/0!</v>
      </c>
      <c r="S22" s="53">
        <f>SUM(S24:S10000)</f>
        <v>0</v>
      </c>
    </row>
    <row r="23" spans="1:45" s="1541" customFormat="1" ht="24">
      <c r="A23" s="17" t="s">
        <v>823</v>
      </c>
      <c r="B23" s="2859" t="s">
        <v>2914</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2" customFormat="1">
      <c r="A24" s="948" t="s">
        <v>827</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2766</v>
      </c>
      <c r="C1" s="2719">
        <f>项目基本情况!D3</f>
        <v>44202</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2797</v>
      </c>
      <c r="C2" s="2720">
        <f>'数据-取费表'!B22</f>
        <v>2</v>
      </c>
      <c r="D2" s="2715" t="s">
        <v>2767</v>
      </c>
      <c r="E2" s="2718">
        <f ca="1">INDIRECT("I"&amp;$I$1)/100</f>
        <v>4.7500000000000001E-2</v>
      </c>
      <c r="G2" s="2655"/>
      <c r="H2" s="2655"/>
      <c r="I2" s="2655" t="s">
        <v>2768</v>
      </c>
      <c r="K2" s="2655"/>
      <c r="L2" s="2655"/>
      <c r="M2" s="2655"/>
      <c r="N2" s="2655" t="s">
        <v>2769</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2799</v>
      </c>
      <c r="C3" s="2717">
        <f>'数据-取费表'!B19</f>
        <v>0</v>
      </c>
      <c r="D3" s="2715" t="s">
        <v>2767</v>
      </c>
      <c r="E3" s="2718">
        <f ca="1">INDIRECT("J"&amp;$J$1)/100</f>
        <v>0</v>
      </c>
      <c r="G3" s="2657" t="s">
        <v>2770</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2798</v>
      </c>
      <c r="C4" s="2718">
        <f ca="1">N4/100</f>
        <v>1.4999999999999999E-2</v>
      </c>
      <c r="G4" s="2663" t="s">
        <v>2771</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2772</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2773</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2774</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2775</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2776</v>
      </c>
      <c r="C10" s="2682"/>
      <c r="D10" s="2682"/>
      <c r="E10" s="2682"/>
      <c r="F10" s="2682"/>
      <c r="G10" s="2682"/>
      <c r="H10" s="2682"/>
      <c r="I10" s="2656"/>
      <c r="J10" s="2656"/>
      <c r="K10" s="2682"/>
      <c r="L10" s="2683" t="s">
        <v>2777</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2778</v>
      </c>
      <c r="C11" s="2687" t="s">
        <v>2779</v>
      </c>
      <c r="D11" s="2688" t="s">
        <v>2780</v>
      </c>
      <c r="E11" s="2689"/>
      <c r="F11" s="2688" t="s">
        <v>2781</v>
      </c>
      <c r="G11" s="2690"/>
      <c r="H11" s="2689"/>
      <c r="I11" s="2688" t="s">
        <v>2782</v>
      </c>
      <c r="J11" s="2689"/>
      <c r="K11" s="2685"/>
      <c r="L11" s="2686" t="s">
        <v>2778</v>
      </c>
      <c r="M11" s="2687" t="s">
        <v>2779</v>
      </c>
      <c r="N11" s="2686" t="s">
        <v>2783</v>
      </c>
      <c r="O11" s="2688" t="s">
        <v>2784</v>
      </c>
      <c r="P11" s="2690"/>
      <c r="Q11" s="2690"/>
      <c r="R11" s="2690"/>
      <c r="S11" s="2690"/>
      <c r="T11" s="2689"/>
      <c r="U11" s="2688" t="s">
        <v>2785</v>
      </c>
      <c r="V11" s="2690"/>
      <c r="W11" s="2689"/>
      <c r="X11" s="2686" t="s">
        <v>2786</v>
      </c>
      <c r="Y11" s="2686" t="s">
        <v>2787</v>
      </c>
      <c r="Z11" s="2686" t="s">
        <v>2788</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2789</v>
      </c>
      <c r="E12" s="2695" t="s">
        <v>2790</v>
      </c>
      <c r="F12" s="2695" t="s">
        <v>2791</v>
      </c>
      <c r="G12" s="2695" t="s">
        <v>2792</v>
      </c>
      <c r="H12" s="2695" t="s">
        <v>2774</v>
      </c>
      <c r="I12" s="2696" t="s">
        <v>2793</v>
      </c>
      <c r="J12" s="2696" t="s">
        <v>2793</v>
      </c>
      <c r="K12" s="2692"/>
      <c r="L12" s="2693"/>
      <c r="M12" s="2694"/>
      <c r="N12" s="2693"/>
      <c r="O12" s="2696" t="s">
        <v>2794</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2795</v>
      </c>
      <c r="C13" s="2700">
        <v>42301</v>
      </c>
      <c r="D13" s="2701">
        <v>4.3499999999999996</v>
      </c>
      <c r="E13" s="2701">
        <v>4.3499999999999996</v>
      </c>
      <c r="F13" s="2701">
        <v>4.75</v>
      </c>
      <c r="G13" s="2701">
        <v>4.75</v>
      </c>
      <c r="H13" s="2701">
        <v>4.9000000000000004</v>
      </c>
      <c r="I13" s="2701">
        <v>2.75</v>
      </c>
      <c r="J13" s="2701">
        <v>3.25</v>
      </c>
      <c r="K13" s="2698"/>
      <c r="L13" s="2699" t="s">
        <v>2795</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2796</v>
      </c>
      <c r="Y42" s="2705" t="s">
        <v>2796</v>
      </c>
      <c r="Z42" s="2705" t="s">
        <v>2796</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2796</v>
      </c>
      <c r="Y43" s="2705" t="s">
        <v>2796</v>
      </c>
      <c r="Z43" s="2705" t="s">
        <v>2796</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2796</v>
      </c>
      <c r="Y44" s="2705" t="s">
        <v>2796</v>
      </c>
      <c r="Z44" s="2705" t="s">
        <v>2796</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2796</v>
      </c>
      <c r="Y45" s="2705" t="s">
        <v>2796</v>
      </c>
      <c r="Z45" s="2705" t="s">
        <v>2796</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2796</v>
      </c>
      <c r="Y46" s="2705" t="s">
        <v>2796</v>
      </c>
      <c r="Z46" s="2705" t="s">
        <v>2796</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2796</v>
      </c>
      <c r="Y47" s="2705" t="s">
        <v>2796</v>
      </c>
      <c r="Z47" s="2705" t="s">
        <v>2796</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2796</v>
      </c>
      <c r="Y48" s="2705" t="s">
        <v>2796</v>
      </c>
      <c r="Z48" s="2705" t="s">
        <v>2796</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2796</v>
      </c>
      <c r="Y49" s="2705" t="s">
        <v>2796</v>
      </c>
      <c r="Z49" s="2705" t="s">
        <v>2796</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2796</v>
      </c>
      <c r="Y50" s="2705" t="s">
        <v>2796</v>
      </c>
      <c r="Z50" s="2705" t="s">
        <v>2796</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2796</v>
      </c>
      <c r="V51" s="2705" t="s">
        <v>2796</v>
      </c>
      <c r="W51" s="2705" t="s">
        <v>2796</v>
      </c>
      <c r="X51" s="2705" t="s">
        <v>2796</v>
      </c>
      <c r="Y51" s="2705" t="s">
        <v>2796</v>
      </c>
      <c r="Z51" s="2705" t="s">
        <v>2796</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2796</v>
      </c>
      <c r="J55" s="2705" t="s">
        <v>2796</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A4" workbookViewId="0">
      <selection activeCell="I3" sqref="I3:I4"/>
    </sheetView>
  </sheetViews>
  <sheetFormatPr defaultRowHeight="13.5"/>
  <cols>
    <col min="1" max="1" width="31" customWidth="1"/>
    <col min="4" max="4" width="10.5" customWidth="1"/>
    <col min="14" max="14" width="14.75" customWidth="1"/>
  </cols>
  <sheetData>
    <row r="1" spans="1:16" ht="14.25" customHeight="1">
      <c r="A1" s="3276" t="s">
        <v>3020</v>
      </c>
      <c r="B1" s="3276" t="s">
        <v>3021</v>
      </c>
      <c r="C1" s="3276" t="s">
        <v>3022</v>
      </c>
      <c r="D1" s="3276" t="s">
        <v>3023</v>
      </c>
      <c r="E1" s="3276" t="s">
        <v>3024</v>
      </c>
      <c r="F1" s="3276" t="s">
        <v>3025</v>
      </c>
      <c r="G1" s="3276" t="s">
        <v>2020</v>
      </c>
      <c r="H1" s="3276" t="s">
        <v>3026</v>
      </c>
      <c r="I1" s="3276" t="s">
        <v>3027</v>
      </c>
      <c r="J1" s="3276" t="s">
        <v>3028</v>
      </c>
      <c r="K1" s="3276" t="s">
        <v>3029</v>
      </c>
      <c r="L1" s="3276" t="s">
        <v>3030</v>
      </c>
      <c r="M1" s="3276" t="s">
        <v>3031</v>
      </c>
      <c r="N1" s="3276" t="s">
        <v>3032</v>
      </c>
      <c r="O1" s="3276" t="s">
        <v>3033</v>
      </c>
    </row>
    <row r="2" spans="1:16" s="3322" customFormat="1">
      <c r="A2" s="3321" t="s">
        <v>3270</v>
      </c>
      <c r="B2" s="3321" t="s">
        <v>3034</v>
      </c>
      <c r="C2" s="3321" t="s">
        <v>3035</v>
      </c>
      <c r="D2" s="3321" t="s">
        <v>3036</v>
      </c>
      <c r="E2" s="3321">
        <v>28676.63</v>
      </c>
      <c r="F2" s="3321">
        <v>114706.51</v>
      </c>
      <c r="G2" s="3321" t="s">
        <v>3037</v>
      </c>
      <c r="H2" s="3321" t="s">
        <v>3038</v>
      </c>
      <c r="I2" s="3321" t="s">
        <v>3039</v>
      </c>
      <c r="J2" s="3321">
        <v>175500</v>
      </c>
      <c r="K2" s="3321">
        <v>4079.98</v>
      </c>
      <c r="L2" s="3321">
        <v>15299.92</v>
      </c>
      <c r="M2" s="3321">
        <v>0</v>
      </c>
      <c r="N2" s="3321" t="s">
        <v>3040</v>
      </c>
      <c r="O2" s="3321" t="s">
        <v>3041</v>
      </c>
      <c r="P2" s="3322">
        <f>F2/E2</f>
        <v>3.9999996512839893</v>
      </c>
    </row>
    <row r="3" spans="1:16" s="3322" customFormat="1">
      <c r="A3" s="3321" t="s">
        <v>3271</v>
      </c>
      <c r="B3" s="3321" t="s">
        <v>3034</v>
      </c>
      <c r="C3" s="3321" t="s">
        <v>3035</v>
      </c>
      <c r="D3" s="3321" t="s">
        <v>3042</v>
      </c>
      <c r="E3" s="3321">
        <v>30159.25</v>
      </c>
      <c r="F3" s="3321">
        <v>138421</v>
      </c>
      <c r="G3" s="3321" t="s">
        <v>3043</v>
      </c>
      <c r="H3" s="3321" t="s">
        <v>3044</v>
      </c>
      <c r="I3" s="3321" t="s">
        <v>3045</v>
      </c>
      <c r="J3" s="3321">
        <v>230100</v>
      </c>
      <c r="K3" s="3321">
        <v>5086.33</v>
      </c>
      <c r="L3" s="3321">
        <v>16623.2</v>
      </c>
      <c r="M3" s="3321">
        <v>0</v>
      </c>
      <c r="N3" s="3321" t="s">
        <v>3040</v>
      </c>
      <c r="O3" s="3321" t="s">
        <v>3046</v>
      </c>
      <c r="P3" s="3322">
        <f>F3/E3</f>
        <v>4.589669835954143</v>
      </c>
    </row>
    <row r="4" spans="1:16" s="3322" customFormat="1">
      <c r="A4" s="3321" t="s">
        <v>3272</v>
      </c>
      <c r="B4" s="3321" t="s">
        <v>3034</v>
      </c>
      <c r="C4" s="3321" t="s">
        <v>3035</v>
      </c>
      <c r="D4" s="3321" t="s">
        <v>3047</v>
      </c>
      <c r="E4" s="3321">
        <v>35629.120000000003</v>
      </c>
      <c r="F4" s="3321">
        <v>100429</v>
      </c>
      <c r="G4" s="3321" t="s">
        <v>3048</v>
      </c>
      <c r="H4" s="3321" t="s">
        <v>3044</v>
      </c>
      <c r="I4" s="3321" t="s">
        <v>3045</v>
      </c>
      <c r="J4" s="3321">
        <v>166700</v>
      </c>
      <c r="K4" s="3321">
        <v>3119.17</v>
      </c>
      <c r="L4" s="3321">
        <v>16598.79</v>
      </c>
      <c r="M4" s="3321">
        <v>0</v>
      </c>
      <c r="N4" s="3321" t="s">
        <v>3040</v>
      </c>
      <c r="O4" s="3321" t="s">
        <v>3041</v>
      </c>
      <c r="P4" s="3322">
        <f>F4/E4</f>
        <v>2.8187336650470174</v>
      </c>
    </row>
    <row r="5" spans="1:16">
      <c r="A5" s="3276" t="s">
        <v>3049</v>
      </c>
      <c r="B5" s="3276" t="s">
        <v>3034</v>
      </c>
      <c r="C5" s="3276" t="s">
        <v>3035</v>
      </c>
      <c r="D5" s="3276" t="s">
        <v>3050</v>
      </c>
      <c r="E5" s="3276">
        <v>59747.77</v>
      </c>
      <c r="F5" s="3276">
        <v>89622</v>
      </c>
      <c r="G5" s="3276">
        <v>1.5</v>
      </c>
      <c r="H5" s="3276" t="s">
        <v>3051</v>
      </c>
      <c r="I5" s="3276" t="s">
        <v>3052</v>
      </c>
      <c r="J5" s="3276">
        <v>146800</v>
      </c>
      <c r="K5" s="3276">
        <v>1638</v>
      </c>
      <c r="L5" s="3276">
        <v>16379.9</v>
      </c>
      <c r="M5" s="3276">
        <v>0</v>
      </c>
      <c r="N5" s="3276" t="s">
        <v>3053</v>
      </c>
      <c r="O5" s="3276" t="s">
        <v>3046</v>
      </c>
    </row>
    <row r="6" spans="1:16">
      <c r="A6" s="3276" t="s">
        <v>3054</v>
      </c>
      <c r="B6" s="3276" t="s">
        <v>3034</v>
      </c>
      <c r="C6" s="3276" t="s">
        <v>3035</v>
      </c>
      <c r="D6" s="3276" t="s">
        <v>3050</v>
      </c>
      <c r="E6" s="3276">
        <v>31420.65</v>
      </c>
      <c r="F6" s="3276">
        <v>65983</v>
      </c>
      <c r="G6" s="3276">
        <v>2.1</v>
      </c>
      <c r="H6" s="3276" t="s">
        <v>3051</v>
      </c>
      <c r="I6" s="3276" t="s">
        <v>3055</v>
      </c>
      <c r="J6" s="3276">
        <v>108100</v>
      </c>
      <c r="K6" s="3276">
        <v>2293.61</v>
      </c>
      <c r="L6" s="3276">
        <v>16383.01</v>
      </c>
      <c r="M6" s="3276">
        <v>0</v>
      </c>
      <c r="N6" s="3276" t="s">
        <v>3053</v>
      </c>
      <c r="O6" s="3276" t="s">
        <v>3046</v>
      </c>
    </row>
    <row r="7" spans="1:16">
      <c r="A7" s="3276" t="s">
        <v>3056</v>
      </c>
      <c r="B7" s="3276" t="s">
        <v>3034</v>
      </c>
      <c r="C7" s="3276" t="s">
        <v>3035</v>
      </c>
      <c r="D7" s="3276" t="s">
        <v>3042</v>
      </c>
      <c r="E7" s="3276">
        <v>16863.939999999999</v>
      </c>
      <c r="F7" s="3276">
        <v>87923.61</v>
      </c>
      <c r="G7" s="3276">
        <v>5.2137000000000002</v>
      </c>
      <c r="H7" s="3276" t="s">
        <v>3057</v>
      </c>
      <c r="I7" s="3276" t="s">
        <v>3058</v>
      </c>
      <c r="J7" s="3276">
        <v>211000</v>
      </c>
      <c r="K7" s="3276">
        <v>8341.27</v>
      </c>
      <c r="L7" s="3276">
        <v>23998.09</v>
      </c>
      <c r="M7" s="3276">
        <v>0</v>
      </c>
      <c r="N7" s="3276" t="s">
        <v>3040</v>
      </c>
      <c r="O7" s="3276" t="s">
        <v>3041</v>
      </c>
    </row>
    <row r="8" spans="1:16">
      <c r="A8" s="3276" t="s">
        <v>3059</v>
      </c>
      <c r="B8" s="3276" t="s">
        <v>3034</v>
      </c>
      <c r="C8" s="3276" t="s">
        <v>3035</v>
      </c>
      <c r="D8" s="3276" t="s">
        <v>3050</v>
      </c>
      <c r="E8" s="3276">
        <v>69848.44</v>
      </c>
      <c r="F8" s="3276">
        <v>146863</v>
      </c>
      <c r="G8" s="3276">
        <v>2.1</v>
      </c>
      <c r="H8" s="3276" t="s">
        <v>3060</v>
      </c>
      <c r="I8" s="3276" t="s">
        <v>3061</v>
      </c>
      <c r="J8" s="3276">
        <v>220000</v>
      </c>
      <c r="K8" s="3276">
        <v>2099.7800000000002</v>
      </c>
      <c r="L8" s="3276">
        <v>14979.95</v>
      </c>
      <c r="M8" s="3276">
        <v>0</v>
      </c>
      <c r="N8" s="3276" t="s">
        <v>3053</v>
      </c>
      <c r="O8" s="3276" t="s">
        <v>3046</v>
      </c>
    </row>
    <row r="9" spans="1:16">
      <c r="A9" s="3276" t="s">
        <v>3062</v>
      </c>
      <c r="B9" s="3276" t="s">
        <v>3034</v>
      </c>
      <c r="C9" s="3276" t="s">
        <v>3035</v>
      </c>
      <c r="D9" s="3276" t="s">
        <v>3050</v>
      </c>
      <c r="E9" s="3276">
        <v>66079.679999999993</v>
      </c>
      <c r="F9" s="3276">
        <v>111429</v>
      </c>
      <c r="G9" s="3276">
        <v>1.69</v>
      </c>
      <c r="H9" s="3276" t="s">
        <v>3060</v>
      </c>
      <c r="I9" s="3276" t="s">
        <v>3055</v>
      </c>
      <c r="J9" s="3276">
        <v>135000</v>
      </c>
      <c r="K9" s="3276">
        <v>1361.99</v>
      </c>
      <c r="L9" s="3276">
        <v>12115.34</v>
      </c>
      <c r="M9" s="3276">
        <v>0</v>
      </c>
      <c r="N9" s="3276" t="s">
        <v>3053</v>
      </c>
      <c r="O9" s="3276" t="s">
        <v>3046</v>
      </c>
    </row>
    <row r="10" spans="1:16">
      <c r="A10" s="3276" t="s">
        <v>3063</v>
      </c>
      <c r="B10" s="3276" t="s">
        <v>3034</v>
      </c>
      <c r="C10" s="3276" t="s">
        <v>3035</v>
      </c>
      <c r="D10" s="3276" t="s">
        <v>3042</v>
      </c>
      <c r="E10" s="3276">
        <v>35244.94</v>
      </c>
      <c r="F10" s="3276">
        <v>123357</v>
      </c>
      <c r="G10" s="3276">
        <v>3.5</v>
      </c>
      <c r="H10" s="3276" t="s">
        <v>3064</v>
      </c>
      <c r="I10" s="3276" t="s">
        <v>3065</v>
      </c>
      <c r="J10" s="3276">
        <v>354000</v>
      </c>
      <c r="K10" s="3276">
        <v>6696</v>
      </c>
      <c r="L10" s="3276">
        <v>28697.200000000001</v>
      </c>
      <c r="M10" s="3276">
        <v>121.25</v>
      </c>
      <c r="N10" s="3276" t="s">
        <v>3040</v>
      </c>
      <c r="O10" s="3276" t="s">
        <v>3041</v>
      </c>
    </row>
    <row r="11" spans="1:16">
      <c r="A11" s="3276" t="s">
        <v>3066</v>
      </c>
      <c r="B11" s="3276" t="s">
        <v>3034</v>
      </c>
      <c r="C11" s="3276" t="s">
        <v>3035</v>
      </c>
      <c r="D11" s="3276" t="s">
        <v>3050</v>
      </c>
      <c r="E11" s="3276">
        <v>27377.24</v>
      </c>
      <c r="F11" s="3276">
        <v>62968</v>
      </c>
      <c r="G11" s="3276">
        <v>2.2999999999999998</v>
      </c>
      <c r="H11" s="3276" t="s">
        <v>3067</v>
      </c>
      <c r="I11" s="3276" t="s">
        <v>3061</v>
      </c>
      <c r="J11" s="3276">
        <v>65000</v>
      </c>
      <c r="K11" s="3276">
        <v>1582.82</v>
      </c>
      <c r="L11" s="3276">
        <v>10322.700000000001</v>
      </c>
      <c r="M11" s="3276">
        <v>0</v>
      </c>
      <c r="N11" s="3276" t="s">
        <v>3053</v>
      </c>
      <c r="O11" s="3276" t="s">
        <v>3046</v>
      </c>
    </row>
    <row r="12" spans="1:16">
      <c r="A12" s="3276" t="s">
        <v>3068</v>
      </c>
      <c r="B12" s="3276" t="s">
        <v>3034</v>
      </c>
      <c r="C12" s="3276" t="s">
        <v>3035</v>
      </c>
      <c r="D12" s="3276" t="s">
        <v>3069</v>
      </c>
      <c r="E12" s="3276">
        <v>23342.84</v>
      </c>
      <c r="F12" s="3276">
        <v>91000</v>
      </c>
      <c r="G12" s="3276">
        <v>3.9</v>
      </c>
      <c r="H12" s="3276" t="s">
        <v>3070</v>
      </c>
      <c r="I12" s="3276" t="s">
        <v>3071</v>
      </c>
      <c r="J12" s="3276">
        <v>101000</v>
      </c>
      <c r="K12" s="3276">
        <v>2884.54</v>
      </c>
      <c r="L12" s="3276">
        <v>11098.89</v>
      </c>
      <c r="M12" s="3276">
        <v>1</v>
      </c>
      <c r="N12" s="3276" t="s">
        <v>3072</v>
      </c>
      <c r="O12" s="3276" t="s">
        <v>3046</v>
      </c>
    </row>
    <row r="13" spans="1:16">
      <c r="A13" s="3276" t="s">
        <v>3073</v>
      </c>
      <c r="B13" s="3276" t="s">
        <v>3034</v>
      </c>
      <c r="C13" s="3276" t="s">
        <v>3035</v>
      </c>
      <c r="D13" s="3276" t="s">
        <v>3074</v>
      </c>
      <c r="E13" s="3276">
        <v>28450.28</v>
      </c>
      <c r="F13" s="3276">
        <v>80000</v>
      </c>
      <c r="G13" s="3276">
        <v>2.81</v>
      </c>
      <c r="H13" s="3276" t="s">
        <v>3075</v>
      </c>
      <c r="I13" s="3276" t="s">
        <v>3076</v>
      </c>
      <c r="J13" s="3276">
        <v>32200</v>
      </c>
      <c r="K13" s="3276">
        <v>754.53</v>
      </c>
      <c r="L13" s="3276">
        <v>4025</v>
      </c>
      <c r="M13" s="3276">
        <v>101.25</v>
      </c>
      <c r="N13" s="3276" t="s">
        <v>3072</v>
      </c>
      <c r="O13" s="3276" t="s">
        <v>3041</v>
      </c>
    </row>
    <row r="14" spans="1:16">
      <c r="A14" s="3276" t="s">
        <v>3077</v>
      </c>
      <c r="B14" s="3276" t="s">
        <v>3034</v>
      </c>
      <c r="C14" s="3276" t="s">
        <v>3078</v>
      </c>
      <c r="D14" s="3276" t="s">
        <v>3069</v>
      </c>
      <c r="E14" s="3276">
        <v>21071.040000000001</v>
      </c>
      <c r="F14" s="3276">
        <v>105355</v>
      </c>
      <c r="G14" s="3276">
        <v>5</v>
      </c>
      <c r="H14" s="3276" t="s">
        <v>3079</v>
      </c>
      <c r="I14" s="3276" t="s">
        <v>3080</v>
      </c>
      <c r="J14" s="3276">
        <v>143000</v>
      </c>
      <c r="K14" s="3276">
        <v>4524.38</v>
      </c>
      <c r="L14" s="3276">
        <v>13573.15</v>
      </c>
      <c r="M14" s="3276" t="s">
        <v>2796</v>
      </c>
      <c r="N14" s="3276" t="s">
        <v>3072</v>
      </c>
      <c r="O14" s="3276" t="s">
        <v>3041</v>
      </c>
    </row>
    <row r="15" spans="1:16">
      <c r="A15" s="3276" t="s">
        <v>3081</v>
      </c>
      <c r="B15" s="3276" t="s">
        <v>3034</v>
      </c>
      <c r="C15" s="3276" t="s">
        <v>3035</v>
      </c>
      <c r="D15" s="3276" t="s">
        <v>3069</v>
      </c>
      <c r="E15" s="3276">
        <v>11597.79</v>
      </c>
      <c r="F15" s="3276">
        <v>54665.24</v>
      </c>
      <c r="G15" s="3276" t="s">
        <v>2796</v>
      </c>
      <c r="H15" s="3276" t="s">
        <v>3082</v>
      </c>
      <c r="I15" s="3276" t="s">
        <v>3083</v>
      </c>
      <c r="J15" s="3276">
        <v>116500</v>
      </c>
      <c r="K15" s="3276">
        <v>6696.68</v>
      </c>
      <c r="L15" s="3276">
        <v>21311.52</v>
      </c>
      <c r="M15" s="3276">
        <v>174.12</v>
      </c>
      <c r="N15" s="3276" t="s">
        <v>3072</v>
      </c>
      <c r="O15" s="3276" t="s">
        <v>3041</v>
      </c>
    </row>
    <row r="16" spans="1:16">
      <c r="A16" s="3276" t="s">
        <v>3084</v>
      </c>
      <c r="B16" s="3276" t="s">
        <v>3034</v>
      </c>
      <c r="C16" s="3276" t="s">
        <v>3078</v>
      </c>
      <c r="D16" s="3276" t="s">
        <v>3069</v>
      </c>
      <c r="E16" s="3276">
        <v>11100</v>
      </c>
      <c r="F16" s="3276">
        <v>38850</v>
      </c>
      <c r="G16" s="3276">
        <v>3.5</v>
      </c>
      <c r="H16" s="3276" t="s">
        <v>3085</v>
      </c>
      <c r="I16" s="3276" t="s">
        <v>3086</v>
      </c>
      <c r="J16" s="3276">
        <v>37249.379999999997</v>
      </c>
      <c r="K16" s="3276">
        <v>2237.1999999999998</v>
      </c>
      <c r="L16" s="3276">
        <v>9588</v>
      </c>
      <c r="M16" s="3276" t="s">
        <v>2796</v>
      </c>
      <c r="N16" s="3276" t="s">
        <v>3072</v>
      </c>
      <c r="O16" s="3276" t="s">
        <v>3041</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topLeftCell="A25" workbookViewId="0">
      <selection activeCell="A41" sqref="A41"/>
    </sheetView>
  </sheetViews>
  <sheetFormatPr defaultRowHeight="13.5"/>
  <cols>
    <col min="1" max="3" width="9" style="3278"/>
    <col min="4" max="4" width="8" style="3278" customWidth="1"/>
    <col min="5" max="7" width="9" style="3278"/>
    <col min="8" max="8" width="14.5" style="3278" customWidth="1"/>
    <col min="9" max="16384" width="9" style="3278"/>
  </cols>
  <sheetData>
    <row r="1" spans="1:9" ht="14.25" thickBot="1">
      <c r="A1" s="3277" t="s">
        <v>3087</v>
      </c>
    </row>
    <row r="2" spans="1:9" ht="14.25" thickBot="1">
      <c r="A2" s="3279" t="s">
        <v>3088</v>
      </c>
      <c r="B2" s="3280">
        <v>2019</v>
      </c>
      <c r="C2" s="3280">
        <v>2020</v>
      </c>
      <c r="D2" s="3280">
        <v>2021</v>
      </c>
      <c r="E2" s="3280">
        <v>2022</v>
      </c>
      <c r="F2" s="3280">
        <v>2023</v>
      </c>
      <c r="G2" s="3280">
        <v>2024</v>
      </c>
      <c r="H2" s="3280">
        <v>2025</v>
      </c>
      <c r="I2" s="3277" t="s">
        <v>3089</v>
      </c>
    </row>
    <row r="3" spans="1:9" ht="14.25" thickBot="1">
      <c r="A3" s="3281" t="s">
        <v>3090</v>
      </c>
      <c r="B3" s="3282">
        <v>12087</v>
      </c>
      <c r="C3" s="3282">
        <v>12619</v>
      </c>
      <c r="D3" s="3282">
        <v>13864</v>
      </c>
      <c r="E3" s="3282">
        <v>16233</v>
      </c>
      <c r="F3" s="3282">
        <v>19113</v>
      </c>
      <c r="G3" s="3282">
        <v>22245</v>
      </c>
      <c r="H3" s="3282">
        <v>25303</v>
      </c>
      <c r="I3" s="3277" t="s">
        <v>3091</v>
      </c>
    </row>
    <row r="4" spans="1:9" ht="14.25" thickBot="1">
      <c r="A4" s="3281" t="s">
        <v>3092</v>
      </c>
      <c r="B4" s="3282">
        <v>6868</v>
      </c>
      <c r="C4" s="3282">
        <v>7112</v>
      </c>
      <c r="D4" s="3282">
        <v>8257</v>
      </c>
      <c r="E4" s="3282">
        <v>9080</v>
      </c>
      <c r="F4" s="3282">
        <v>10008</v>
      </c>
      <c r="G4" s="3282">
        <v>11089</v>
      </c>
      <c r="H4" s="3282">
        <v>12074</v>
      </c>
      <c r="I4" s="3277" t="s">
        <v>3093</v>
      </c>
    </row>
    <row r="5" spans="1:9" ht="14.25" thickBot="1">
      <c r="A5" s="3281" t="s">
        <v>3094</v>
      </c>
      <c r="B5" s="3282">
        <v>4458</v>
      </c>
      <c r="C5" s="3282">
        <v>4727</v>
      </c>
      <c r="D5" s="3282">
        <v>4735</v>
      </c>
      <c r="E5" s="3282">
        <v>6097</v>
      </c>
      <c r="F5" s="3282">
        <v>7840</v>
      </c>
      <c r="G5" s="3282">
        <v>9669</v>
      </c>
      <c r="H5" s="3282">
        <v>11530</v>
      </c>
    </row>
    <row r="6" spans="1:9" ht="14.25" thickBot="1">
      <c r="A6" s="3283" t="s">
        <v>3088</v>
      </c>
      <c r="B6" s="3284">
        <v>2026</v>
      </c>
      <c r="C6" s="3284">
        <v>2027</v>
      </c>
      <c r="D6" s="3284">
        <v>2028</v>
      </c>
      <c r="E6" s="3284">
        <v>2029</v>
      </c>
      <c r="F6" s="3284">
        <v>2030</v>
      </c>
      <c r="G6" s="3284">
        <v>2031</v>
      </c>
      <c r="H6" s="3284">
        <v>2032</v>
      </c>
    </row>
    <row r="7" spans="1:9" ht="14.25" thickBot="1">
      <c r="A7" s="3281" t="s">
        <v>3090</v>
      </c>
      <c r="B7" s="3282">
        <v>27386</v>
      </c>
      <c r="C7" s="3282">
        <v>28719</v>
      </c>
      <c r="D7" s="3282">
        <v>30133</v>
      </c>
      <c r="E7" s="3282">
        <v>31633</v>
      </c>
      <c r="F7" s="3282">
        <v>33203</v>
      </c>
      <c r="G7" s="3282">
        <v>34822</v>
      </c>
      <c r="H7" s="3282">
        <v>36487</v>
      </c>
    </row>
    <row r="8" spans="1:9" ht="14.25" thickBot="1">
      <c r="A8" s="3281" t="s">
        <v>3092</v>
      </c>
      <c r="B8" s="3282">
        <v>12644</v>
      </c>
      <c r="C8" s="3282">
        <v>13173</v>
      </c>
      <c r="D8" s="3282">
        <v>13727</v>
      </c>
      <c r="E8" s="3282">
        <v>14308</v>
      </c>
      <c r="F8" s="3282">
        <v>14897</v>
      </c>
      <c r="G8" s="3282">
        <v>15488</v>
      </c>
      <c r="H8" s="3282">
        <v>16104</v>
      </c>
    </row>
    <row r="9" spans="1:9" ht="14.25" thickBot="1">
      <c r="A9" s="3281" t="s">
        <v>3094</v>
      </c>
      <c r="B9" s="3282">
        <v>12911</v>
      </c>
      <c r="C9" s="3282">
        <v>13608</v>
      </c>
      <c r="D9" s="3282">
        <v>14354</v>
      </c>
      <c r="E9" s="3282">
        <v>15150</v>
      </c>
      <c r="F9" s="3282">
        <v>16033</v>
      </c>
      <c r="G9" s="3282">
        <v>17003</v>
      </c>
      <c r="H9" s="3282">
        <v>17994</v>
      </c>
    </row>
    <row r="11" spans="1:9" ht="15.75" customHeight="1" thickBot="1">
      <c r="A11" s="3681" t="s">
        <v>3095</v>
      </c>
      <c r="B11" s="3682"/>
      <c r="C11" s="3682"/>
      <c r="D11" s="3682"/>
      <c r="E11" s="3682"/>
      <c r="F11" s="3683"/>
      <c r="I11" s="3277" t="s">
        <v>3096</v>
      </c>
    </row>
    <row r="12" spans="1:9" ht="14.25" thickBot="1">
      <c r="A12" s="3281" t="s">
        <v>2917</v>
      </c>
      <c r="B12" s="3282" t="s">
        <v>3097</v>
      </c>
      <c r="C12" s="3281" t="s">
        <v>3098</v>
      </c>
      <c r="D12" s="3285" t="s">
        <v>3099</v>
      </c>
      <c r="E12" s="3281" t="s">
        <v>3100</v>
      </c>
      <c r="F12" s="3285" t="s">
        <v>3101</v>
      </c>
      <c r="I12" s="3277" t="s">
        <v>3102</v>
      </c>
    </row>
    <row r="13" spans="1:9" ht="24.75" thickBot="1">
      <c r="A13" s="3281">
        <v>8000</v>
      </c>
      <c r="B13" s="3282">
        <v>22366.45</v>
      </c>
      <c r="C13" s="3281" t="s">
        <v>3103</v>
      </c>
      <c r="D13" s="3281">
        <f>1200/B13/6/30*10000</f>
        <v>2.9806548051508694</v>
      </c>
      <c r="E13" s="3282" t="s">
        <v>3104</v>
      </c>
      <c r="F13" s="3282" t="s">
        <v>3105</v>
      </c>
      <c r="I13" s="3277" t="s">
        <v>3106</v>
      </c>
    </row>
    <row r="14" spans="1:9">
      <c r="C14" s="3277"/>
    </row>
    <row r="15" spans="1:9" ht="19.5" customHeight="1" thickBot="1">
      <c r="A15" s="3684" t="s">
        <v>3107</v>
      </c>
      <c r="B15" s="3685"/>
      <c r="C15" s="3685"/>
      <c r="D15" s="3685"/>
      <c r="E15" s="3685"/>
      <c r="F15" s="3686"/>
      <c r="I15" s="3277" t="s">
        <v>3108</v>
      </c>
    </row>
    <row r="16" spans="1:9" ht="14.25" thickBot="1">
      <c r="A16" s="3281" t="s">
        <v>2917</v>
      </c>
      <c r="B16" s="3282" t="s">
        <v>3097</v>
      </c>
      <c r="C16" s="3281" t="s">
        <v>3098</v>
      </c>
      <c r="D16" s="3285" t="s">
        <v>3099</v>
      </c>
      <c r="E16" s="3281" t="s">
        <v>3100</v>
      </c>
      <c r="F16" s="3285" t="s">
        <v>3101</v>
      </c>
      <c r="I16" s="3277"/>
    </row>
    <row r="17" spans="1:11" ht="14.25" thickBot="1">
      <c r="A17" s="3281">
        <v>19043.29</v>
      </c>
      <c r="B17" s="3282">
        <v>58127.040000000001</v>
      </c>
      <c r="C17" s="3281" t="s">
        <v>3109</v>
      </c>
      <c r="D17" s="3282"/>
      <c r="E17" s="3281"/>
      <c r="F17" s="3282" t="s">
        <v>3110</v>
      </c>
      <c r="I17" s="3277" t="s">
        <v>3111</v>
      </c>
    </row>
    <row r="20" spans="1:11">
      <c r="A20" s="3277" t="s">
        <v>3112</v>
      </c>
      <c r="F20" s="3277"/>
    </row>
    <row r="21" spans="1:11">
      <c r="A21" s="3286" t="s">
        <v>3113</v>
      </c>
      <c r="F21" s="3277" t="s">
        <v>3114</v>
      </c>
      <c r="G21" s="3278">
        <f>2000+50*30</f>
        <v>3500</v>
      </c>
      <c r="K21" s="3277" t="s">
        <v>3115</v>
      </c>
    </row>
    <row r="22" spans="1:11">
      <c r="A22" s="3286" t="s">
        <v>3116</v>
      </c>
      <c r="F22" s="3277" t="s">
        <v>3117</v>
      </c>
      <c r="G22" s="3278">
        <f>G21/26800</f>
        <v>0.13059701492537312</v>
      </c>
    </row>
    <row r="23" spans="1:11">
      <c r="A23" s="3286" t="s">
        <v>3118</v>
      </c>
      <c r="F23" s="3277" t="s">
        <v>3119</v>
      </c>
      <c r="G23" s="3278">
        <f>(25800-G21)/600</f>
        <v>37.166666666666664</v>
      </c>
    </row>
    <row r="24" spans="1:11">
      <c r="A24" s="3286" t="s">
        <v>3120</v>
      </c>
    </row>
    <row r="25" spans="1:11">
      <c r="A25" s="3286" t="s">
        <v>3121</v>
      </c>
    </row>
    <row r="26" spans="1:11">
      <c r="A26" s="3286" t="s">
        <v>3122</v>
      </c>
    </row>
    <row r="27" spans="1:11">
      <c r="A27" s="3286" t="s">
        <v>3123</v>
      </c>
    </row>
    <row r="28" spans="1:11">
      <c r="A28" s="3286" t="s">
        <v>3124</v>
      </c>
    </row>
    <row r="29" spans="1:11">
      <c r="A29" s="3286"/>
    </row>
    <row r="30" spans="1:11">
      <c r="A30" s="3277" t="s">
        <v>3263</v>
      </c>
    </row>
    <row r="31" spans="1:11">
      <c r="A31" s="3286" t="s">
        <v>3125</v>
      </c>
      <c r="E31" s="3277" t="s">
        <v>3126</v>
      </c>
    </row>
    <row r="32" spans="1:11">
      <c r="A32" s="3286" t="s">
        <v>3127</v>
      </c>
      <c r="E32" s="3277" t="s">
        <v>3128</v>
      </c>
    </row>
    <row r="33" spans="1:6">
      <c r="A33" s="3286"/>
    </row>
    <row r="34" spans="1:6">
      <c r="A34" s="3286"/>
    </row>
    <row r="35" spans="1:6">
      <c r="A35" s="3286" t="s">
        <v>3129</v>
      </c>
      <c r="F35" s="3278">
        <f>15000*0.15</f>
        <v>2250</v>
      </c>
    </row>
    <row r="36" spans="1:6">
      <c r="A36" s="3286" t="s">
        <v>3130</v>
      </c>
      <c r="F36" s="3278">
        <f>15000-F35</f>
        <v>12750</v>
      </c>
    </row>
    <row r="37" spans="1:6">
      <c r="A37" s="3286" t="s">
        <v>3131</v>
      </c>
      <c r="F37" s="3278">
        <f>F36/100</f>
        <v>127.5</v>
      </c>
    </row>
    <row r="38" spans="1:6">
      <c r="A38" s="3286" t="s">
        <v>3132</v>
      </c>
    </row>
    <row r="39" spans="1:6">
      <c r="A39" s="3286" t="s">
        <v>3133</v>
      </c>
    </row>
    <row r="40" spans="1:6">
      <c r="A40" s="3286"/>
    </row>
    <row r="41" spans="1:6">
      <c r="A41" s="3277" t="s">
        <v>3134</v>
      </c>
    </row>
    <row r="42" spans="1:6">
      <c r="A42" s="3286" t="s">
        <v>3135</v>
      </c>
    </row>
    <row r="43" spans="1:6">
      <c r="A43" s="3286" t="s">
        <v>3136</v>
      </c>
    </row>
    <row r="44" spans="1:6">
      <c r="A44" s="3286" t="s">
        <v>3137</v>
      </c>
    </row>
  </sheetData>
  <mergeCells count="2">
    <mergeCell ref="A11:F11"/>
    <mergeCell ref="A15:F15"/>
  </mergeCells>
  <phoneticPr fontId="228" type="noConversion"/>
  <hyperlinks>
    <hyperlink ref="A11" r:id="rId1" location="'" display="http://dgzh.kz-consult.com/biz/Appraise/ProjectReportView.html?rid=4f1c8aa1e62048509629ede9ece5f237 - '"/>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1:N7"/>
  <sheetViews>
    <sheetView topLeftCell="A28" workbookViewId="0">
      <selection activeCell="J10" sqref="J10"/>
    </sheetView>
  </sheetViews>
  <sheetFormatPr defaultRowHeight="13.5"/>
  <cols>
    <col min="11" max="11" width="9.5" bestFit="1" customWidth="1"/>
  </cols>
  <sheetData>
    <row r="1" spans="10:14">
      <c r="J1" s="3246" t="s">
        <v>3264</v>
      </c>
      <c r="K1">
        <v>570240</v>
      </c>
      <c r="N1" s="3246" t="s">
        <v>3267</v>
      </c>
    </row>
    <row r="2" spans="10:14">
      <c r="J2" s="3246" t="s">
        <v>3265</v>
      </c>
      <c r="K2">
        <v>2851200</v>
      </c>
      <c r="N2" s="3246" t="s">
        <v>3268</v>
      </c>
    </row>
    <row r="3" spans="10:14">
      <c r="K3">
        <v>3156800</v>
      </c>
      <c r="N3" s="3246" t="s">
        <v>3269</v>
      </c>
    </row>
    <row r="4" spans="10:14">
      <c r="K4">
        <v>3000000</v>
      </c>
    </row>
    <row r="5" spans="10:14">
      <c r="K5">
        <v>10000000</v>
      </c>
    </row>
    <row r="6" spans="10:14">
      <c r="K6">
        <v>14572800</v>
      </c>
    </row>
    <row r="7" spans="10:14">
      <c r="J7" s="3246" t="s">
        <v>3266</v>
      </c>
      <c r="K7">
        <v>437184</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1" t="s">
        <v>2026</v>
      </c>
      <c r="B1" s="3351"/>
      <c r="C1" s="3351"/>
      <c r="D1" s="3351"/>
      <c r="E1" s="3351"/>
      <c r="F1" s="3351"/>
      <c r="G1" s="3351"/>
      <c r="H1" s="3351"/>
      <c r="I1" s="3351"/>
      <c r="J1" s="3351"/>
      <c r="K1" s="3351"/>
      <c r="L1" s="3351"/>
      <c r="M1" s="3351"/>
      <c r="N1" s="3351"/>
      <c r="O1" s="3351"/>
      <c r="P1" s="3351"/>
      <c r="Q1" s="3351"/>
      <c r="R1" s="3351"/>
    </row>
    <row r="2" spans="1:18">
      <c r="A2" s="1721" t="s">
        <v>2028</v>
      </c>
      <c r="B2" s="1721"/>
      <c r="C2" s="1721"/>
      <c r="D2" s="1721"/>
      <c r="E2" s="1721"/>
      <c r="F2" s="1721"/>
      <c r="G2" s="1721"/>
      <c r="H2" s="1721"/>
      <c r="I2" s="1722"/>
      <c r="J2" s="1722"/>
      <c r="K2" s="1723" t="str">
        <f>"估价期日："&amp;TEXT(项目基本情况!D3,"yyyy年m月d日;;")</f>
        <v>估价期日：2021年1月6日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52" t="s">
        <v>2017</v>
      </c>
      <c r="B3" s="3352" t="s">
        <v>2710</v>
      </c>
      <c r="C3" s="3353" t="s">
        <v>2018</v>
      </c>
      <c r="D3" s="3352" t="s">
        <v>2714</v>
      </c>
      <c r="E3" s="3355" t="s">
        <v>2019</v>
      </c>
      <c r="F3" s="3355"/>
      <c r="G3" s="3355"/>
      <c r="H3" s="3355" t="s">
        <v>2020</v>
      </c>
      <c r="I3" s="3355"/>
      <c r="J3" s="3355"/>
      <c r="K3" s="3353" t="s">
        <v>2021</v>
      </c>
      <c r="L3" s="3353" t="s">
        <v>2022</v>
      </c>
      <c r="M3" s="3352" t="s">
        <v>2711</v>
      </c>
      <c r="N3" s="3354" t="str">
        <f>"（分摊）"&amp;项目基本情况!B16&amp;"国有建设用地使用权面积/㎡"</f>
        <v>（分摊）出让国有建设用地使用权面积/㎡</v>
      </c>
      <c r="O3" s="3352" t="s">
        <v>2051</v>
      </c>
      <c r="P3" s="3353" t="s">
        <v>2031</v>
      </c>
      <c r="Q3" s="3353" t="s">
        <v>2052</v>
      </c>
      <c r="R3" s="3353" t="s">
        <v>2023</v>
      </c>
    </row>
    <row r="4" spans="1:18" ht="36.75" customHeight="1">
      <c r="A4" s="3352"/>
      <c r="B4" s="3352"/>
      <c r="C4" s="3353"/>
      <c r="D4" s="3352"/>
      <c r="E4" s="2490" t="s">
        <v>2030</v>
      </c>
      <c r="F4" s="2490" t="s">
        <v>2723</v>
      </c>
      <c r="G4" s="2490" t="s">
        <v>2024</v>
      </c>
      <c r="H4" s="2490" t="s">
        <v>2025</v>
      </c>
      <c r="I4" s="2490" t="s">
        <v>2724</v>
      </c>
      <c r="J4" s="2490" t="s">
        <v>2024</v>
      </c>
      <c r="K4" s="3353"/>
      <c r="L4" s="3353"/>
      <c r="M4" s="3352"/>
      <c r="N4" s="3354"/>
      <c r="O4" s="3352"/>
      <c r="P4" s="3353"/>
      <c r="Q4" s="3353"/>
      <c r="R4" s="3353"/>
    </row>
    <row r="5" spans="1:18" ht="135" customHeight="1">
      <c r="A5" s="1856" t="s">
        <v>2634</v>
      </c>
      <c r="B5" s="2583" t="s">
        <v>2632</v>
      </c>
      <c r="C5" s="2489">
        <v>22</v>
      </c>
      <c r="D5" s="2488" t="s">
        <v>2633</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v>
      </c>
      <c r="M5" s="1724">
        <f>IF(项目基本情况!B16="出让",项目基本情况!D20,"——")</f>
        <v>0</v>
      </c>
      <c r="N5" s="1724">
        <f>项目基本情况!C22</f>
        <v>16344.23</v>
      </c>
      <c r="O5" s="1724">
        <f>项目基本情况!C21</f>
        <v>26400</v>
      </c>
      <c r="P5" s="1724">
        <f ca="1">结果表!E42</f>
        <v>18373</v>
      </c>
      <c r="Q5" s="1724">
        <f ca="1">结果表!D42</f>
        <v>11375</v>
      </c>
      <c r="R5" s="1725">
        <f ca="1">结果表!C42</f>
        <v>30029</v>
      </c>
    </row>
    <row r="6" spans="1:18">
      <c r="A6" s="3356" t="str">
        <f>IF(项目基本情况!B9="市场价格","——","抵押价格")</f>
        <v>抵押价格</v>
      </c>
      <c r="B6" s="3357"/>
      <c r="C6" s="3357"/>
      <c r="D6" s="3357"/>
      <c r="E6" s="3357"/>
      <c r="F6" s="3357"/>
      <c r="G6" s="3357"/>
      <c r="H6" s="3357"/>
      <c r="I6" s="3357"/>
      <c r="J6" s="3357"/>
      <c r="K6" s="3357"/>
      <c r="L6" s="3357"/>
      <c r="M6" s="3357"/>
      <c r="N6" s="3357"/>
      <c r="O6" s="3357"/>
      <c r="P6" s="3357"/>
      <c r="Q6" s="3358"/>
      <c r="R6" s="1726">
        <f ca="1">结果表!O39</f>
        <v>30029</v>
      </c>
    </row>
    <row r="7" spans="1:18">
      <c r="A7" s="3356" t="str">
        <f>IF(项目基本情况!B9="市场价格","——",IF(项目基本情况!E8="已注销及未注销","抵押担保权已注销时的抵押价格","——"))</f>
        <v>——</v>
      </c>
      <c r="B7" s="3357"/>
      <c r="C7" s="3357"/>
      <c r="D7" s="3357"/>
      <c r="E7" s="3357"/>
      <c r="F7" s="3357"/>
      <c r="G7" s="3357"/>
      <c r="H7" s="3357"/>
      <c r="I7" s="3357"/>
      <c r="J7" s="3357"/>
      <c r="K7" s="3357"/>
      <c r="L7" s="3357"/>
      <c r="M7" s="3357"/>
      <c r="N7" s="3357"/>
      <c r="O7" s="3357"/>
      <c r="P7" s="3357"/>
      <c r="Q7" s="3358"/>
      <c r="R7" s="1726" t="str">
        <f>结果表!O40</f>
        <v>——</v>
      </c>
    </row>
    <row r="8" spans="1:18">
      <c r="A8" s="3356">
        <f>IF(项目基本情况!B9="市场价格","——",项目基本情况!E9)</f>
        <v>0</v>
      </c>
      <c r="B8" s="3357"/>
      <c r="C8" s="3357"/>
      <c r="D8" s="3357"/>
      <c r="E8" s="3357"/>
      <c r="F8" s="3357"/>
      <c r="G8" s="3357"/>
      <c r="H8" s="3357"/>
      <c r="I8" s="3357"/>
      <c r="J8" s="3357"/>
      <c r="K8" s="3357"/>
      <c r="L8" s="3357"/>
      <c r="M8" s="3357"/>
      <c r="N8" s="3357"/>
      <c r="O8" s="3357"/>
      <c r="P8" s="3357"/>
      <c r="Q8" s="3358"/>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60" t="s">
        <v>2053</v>
      </c>
      <c r="B1" s="3360"/>
      <c r="C1" s="3360"/>
      <c r="D1" s="3360"/>
    </row>
    <row r="2" spans="1:4" ht="47.25" customHeight="1">
      <c r="A2" s="3361" t="str">
        <f>"1.权利限制："&amp;项目基本情况!L24&amp;"未设定租赁等其他他项权利。"</f>
        <v>1.权利限制：根据估价对象《不动产权证书》原件、《国有土地使用权》复印件，截至估价期日，估价对象抵押权未见登记。未设定租赁等其他他项权利。</v>
      </c>
      <c r="B2" s="3361"/>
      <c r="C2" s="3361"/>
      <c r="D2" s="3361"/>
    </row>
    <row r="3" spans="1:4" ht="48" customHeight="1">
      <c r="A3" s="336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60"/>
      <c r="C3" s="3360"/>
      <c r="D3" s="3360"/>
    </row>
    <row r="4" spans="1:4" ht="36.75" customHeight="1">
      <c r="A4" s="3360" t="str">
        <f>"3.估价规划限制条件：详见"&amp;项目基本情况!E21&amp;"。"</f>
        <v>3.估价规划限制条件：详见《建设工程规划许可证》[]、《出让合同》[]。</v>
      </c>
      <c r="B4" s="3360"/>
      <c r="C4" s="3360"/>
      <c r="D4" s="3360"/>
    </row>
    <row r="5" spans="1:4">
      <c r="A5" s="3359" t="s">
        <v>2054</v>
      </c>
      <c r="B5" s="3359"/>
      <c r="C5" s="3359"/>
      <c r="D5" s="3359"/>
    </row>
    <row r="6" spans="1:4">
      <c r="A6" s="3360" t="s">
        <v>2032</v>
      </c>
      <c r="B6" s="3360"/>
      <c r="C6" s="3360"/>
      <c r="D6" s="3360"/>
    </row>
    <row r="7" spans="1:4" ht="33" customHeight="1">
      <c r="A7" s="3360" t="s">
        <v>2555</v>
      </c>
      <c r="B7" s="3360"/>
      <c r="C7" s="3360"/>
      <c r="D7" s="3360"/>
    </row>
    <row r="8" spans="1:4" ht="32.25" customHeight="1">
      <c r="A8" s="33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0"/>
      <c r="C8" s="3360"/>
      <c r="D8" s="3360"/>
    </row>
    <row r="9" spans="1:4" ht="33.75" customHeight="1">
      <c r="A9" s="33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0"/>
      <c r="C9" s="3360"/>
      <c r="D9" s="3360"/>
    </row>
    <row r="10" spans="1:4">
      <c r="A10" s="3360" t="str">
        <f>IF(项目基本情况!B8="抵押","4.估价师所知悉的法定优先受偿款情况为：","——")</f>
        <v>4.估价师所知悉的法定优先受偿款情况为：</v>
      </c>
      <c r="B10" s="3360"/>
      <c r="C10" s="3360"/>
      <c r="D10" s="3360"/>
    </row>
    <row r="11" spans="1:4" ht="37.5" customHeight="1">
      <c r="A11" s="3362" t="str">
        <f>IF(项目基本情况!B8="抵押","（1）"&amp;CONCATENATE(项目基本情况!L24,项目基本情况!L25,项目基本情况!L26),"——")</f>
        <v>（1）根据估价对象《不动产权证书》原件、《国有土地使用权》复印件，截至估价期日，估价对象抵押权未见登记。</v>
      </c>
      <c r="B11" s="3362"/>
      <c r="C11" s="3362"/>
      <c r="D11" s="3362"/>
    </row>
    <row r="12" spans="1:4" ht="168" customHeight="1">
      <c r="A12" s="3359" t="s">
        <v>2056</v>
      </c>
      <c r="B12" s="3359"/>
      <c r="C12" s="3359"/>
      <c r="D12" s="3359"/>
    </row>
    <row r="13" spans="1:4">
      <c r="A13" s="3363" t="s">
        <v>2725</v>
      </c>
      <c r="B13" s="3363"/>
      <c r="C13" s="3363"/>
      <c r="D13" s="3363"/>
    </row>
    <row r="14" spans="1:4">
      <c r="A14" s="3362" t="str">
        <f>IF(项目基本情况!B8="抵押","综上，"&amp;结果表!K47,"——")</f>
        <v>综上，本次评估不存在估价师知悉的法定优先受偿款</v>
      </c>
      <c r="B14" s="3362"/>
      <c r="C14" s="3362"/>
      <c r="D14" s="3362"/>
    </row>
    <row r="15" spans="1:4" ht="58.5" customHeight="1">
      <c r="A15" s="33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0"/>
      <c r="C15" s="3360"/>
      <c r="D15" s="3360"/>
    </row>
    <row r="16" spans="1:4" ht="70.5" customHeight="1">
      <c r="A16" s="33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0"/>
      <c r="C16" s="3360"/>
      <c r="D16" s="3360"/>
    </row>
    <row r="17" spans="1:4">
      <c r="A17" s="3360" t="s">
        <v>2681</v>
      </c>
      <c r="B17" s="3360"/>
      <c r="C17" s="3360"/>
      <c r="D17" s="3360"/>
    </row>
    <row r="18" spans="1:4">
      <c r="A18" s="3360" t="s">
        <v>2673</v>
      </c>
      <c r="B18" s="3360"/>
      <c r="C18" s="3360"/>
      <c r="D18" s="3360"/>
    </row>
    <row r="19" spans="1:4">
      <c r="A19" s="2584" t="s">
        <v>2674</v>
      </c>
      <c r="B19" s="2584" t="s">
        <v>2675</v>
      </c>
      <c r="C19" s="2584" t="s">
        <v>2676</v>
      </c>
      <c r="D19" s="2584" t="s">
        <v>2677</v>
      </c>
    </row>
    <row r="20" spans="1:4">
      <c r="A20" s="2584" t="str">
        <f>项目基本情况!B4</f>
        <v>土地估价师</v>
      </c>
      <c r="B20" s="2584">
        <f>项目基本情况!C4</f>
        <v>0</v>
      </c>
      <c r="C20" s="2586"/>
      <c r="D20" s="1714" t="s">
        <v>2682</v>
      </c>
    </row>
    <row r="21" spans="1:4">
      <c r="A21" s="2584" t="str">
        <f>项目基本情况!D4</f>
        <v>土地估价师</v>
      </c>
      <c r="B21" s="2584">
        <f>项目基本情况!E4</f>
        <v>0</v>
      </c>
      <c r="C21" s="2586"/>
      <c r="D21" s="1714" t="s">
        <v>2683</v>
      </c>
    </row>
    <row r="23" spans="1:4">
      <c r="A23" s="3360" t="s">
        <v>2678</v>
      </c>
      <c r="B23" s="3360"/>
      <c r="C23" s="3360"/>
      <c r="D23" s="3360"/>
    </row>
    <row r="24" spans="1:4">
      <c r="A24" s="2584" t="s">
        <v>2674</v>
      </c>
      <c r="B24" s="2584" t="s">
        <v>2679</v>
      </c>
      <c r="C24" s="2584" t="s">
        <v>2676</v>
      </c>
      <c r="D24" s="2584" t="s">
        <v>2677</v>
      </c>
    </row>
    <row r="25" spans="1:4">
      <c r="A25" s="2587" t="s">
        <v>2680</v>
      </c>
      <c r="B25" s="2584" t="s">
        <v>942</v>
      </c>
      <c r="C25" s="2586"/>
      <c r="D25" s="1714" t="s">
        <v>2683</v>
      </c>
    </row>
    <row r="29" spans="1:4">
      <c r="D29" s="2585" t="s">
        <v>2027</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1" t="s">
        <v>53</v>
      </c>
      <c r="B15" s="3372" t="s">
        <v>837</v>
      </c>
      <c r="C15" s="3368"/>
    </row>
    <row r="16" spans="1:7" ht="14.25">
      <c r="A16" s="3371"/>
      <c r="B16" s="3369" t="s">
        <v>54</v>
      </c>
      <c r="C16" s="1154" t="s">
        <v>53</v>
      </c>
    </row>
    <row r="17" spans="1:3" ht="14.25">
      <c r="A17" s="3371"/>
      <c r="B17" s="3369"/>
      <c r="C17" s="1154" t="s">
        <v>55</v>
      </c>
    </row>
    <row r="18" spans="1:3" ht="14.25">
      <c r="A18" s="3371"/>
      <c r="B18" s="3369"/>
      <c r="C18" s="1154" t="s">
        <v>56</v>
      </c>
    </row>
    <row r="19" spans="1:3" ht="14.25">
      <c r="A19" s="3371"/>
      <c r="B19" s="3367" t="s">
        <v>57</v>
      </c>
      <c r="C19" s="3368"/>
    </row>
    <row r="20" spans="1:3" ht="14.25">
      <c r="A20" s="1155" t="s">
        <v>58</v>
      </c>
      <c r="B20" s="1156"/>
      <c r="C20" s="1157"/>
    </row>
    <row r="21" spans="1:3" ht="14.25">
      <c r="A21" s="3370" t="s">
        <v>59</v>
      </c>
      <c r="B21" s="3367" t="s">
        <v>60</v>
      </c>
      <c r="C21" s="3368"/>
    </row>
    <row r="22" spans="1:3" ht="14.25">
      <c r="A22" s="3370"/>
      <c r="B22" s="3367" t="s">
        <v>61</v>
      </c>
      <c r="C22" s="3368"/>
    </row>
    <row r="23" spans="1:3" ht="14.25">
      <c r="A23" s="3370"/>
      <c r="B23" s="3367" t="s">
        <v>62</v>
      </c>
      <c r="C23" s="3368"/>
    </row>
    <row r="24" spans="1:3" ht="14.25">
      <c r="A24" s="3370"/>
      <c r="B24" s="3373" t="s">
        <v>63</v>
      </c>
      <c r="C24" s="1158" t="s">
        <v>828</v>
      </c>
    </row>
    <row r="25" spans="1:3" ht="14.25">
      <c r="A25" s="3370"/>
      <c r="B25" s="3374"/>
      <c r="C25" s="1158" t="s">
        <v>829</v>
      </c>
    </row>
    <row r="26" spans="1:3" ht="14.25">
      <c r="A26" s="3370"/>
      <c r="B26" s="3374"/>
      <c r="C26" s="1158" t="s">
        <v>830</v>
      </c>
    </row>
    <row r="27" spans="1:3" ht="14.25">
      <c r="A27" s="3370"/>
      <c r="B27" s="3374"/>
      <c r="C27" s="1158" t="s">
        <v>831</v>
      </c>
    </row>
    <row r="28" spans="1:3" ht="14.25">
      <c r="A28" s="3370"/>
      <c r="B28" s="3374"/>
      <c r="C28" s="1158" t="s">
        <v>832</v>
      </c>
    </row>
    <row r="29" spans="1:3" ht="14.25">
      <c r="A29" s="3370"/>
      <c r="B29" s="3374"/>
      <c r="C29" s="1158" t="s">
        <v>833</v>
      </c>
    </row>
    <row r="30" spans="1:3" ht="14.25">
      <c r="A30" s="3370"/>
      <c r="B30" s="3374"/>
      <c r="C30" s="1158" t="s">
        <v>834</v>
      </c>
    </row>
    <row r="31" spans="1:3" ht="14.25">
      <c r="A31" s="3370"/>
      <c r="B31" s="3374"/>
      <c r="C31" s="1158" t="s">
        <v>835</v>
      </c>
    </row>
    <row r="32" spans="1:3" ht="14.25">
      <c r="A32" s="3370"/>
      <c r="B32" s="3374"/>
      <c r="C32" s="1158" t="s">
        <v>1636</v>
      </c>
    </row>
    <row r="33" spans="1:3" ht="14.25">
      <c r="A33" s="3370"/>
      <c r="B33" s="3364" t="s">
        <v>1642</v>
      </c>
      <c r="C33" s="1158" t="s">
        <v>1637</v>
      </c>
    </row>
    <row r="34" spans="1:3" ht="14.25">
      <c r="A34" s="3370"/>
      <c r="B34" s="3365"/>
      <c r="C34" s="1163" t="s">
        <v>1638</v>
      </c>
    </row>
    <row r="35" spans="1:3" ht="14.25">
      <c r="A35" s="3370"/>
      <c r="B35" s="3365"/>
      <c r="C35" s="1164" t="s">
        <v>1639</v>
      </c>
    </row>
    <row r="36" spans="1:3" ht="14.25">
      <c r="A36" s="3370"/>
      <c r="B36" s="3365"/>
      <c r="C36" s="1164" t="s">
        <v>1640</v>
      </c>
    </row>
    <row r="37" spans="1:3" ht="14.25">
      <c r="A37" s="3370"/>
      <c r="B37" s="3366"/>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E6" sqref="E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44214</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2959</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78" t="s">
        <v>1914</v>
      </c>
      <c r="B17" s="3379"/>
      <c r="C17" s="3379"/>
      <c r="D17" s="3379"/>
      <c r="E17" s="3379"/>
      <c r="F17" s="3379"/>
      <c r="G17" s="3032"/>
    </row>
    <row r="18" spans="1:7" ht="20.25" customHeight="1">
      <c r="A18" s="3375" t="s">
        <v>1915</v>
      </c>
      <c r="B18" s="3375"/>
      <c r="C18" s="3376"/>
      <c r="D18" s="3377" t="s">
        <v>1916</v>
      </c>
      <c r="E18" s="3375"/>
      <c r="F18" s="3375"/>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2958</v>
      </c>
      <c r="F21" s="3036">
        <v>44012</v>
      </c>
      <c r="G21" s="3024"/>
    </row>
    <row r="22" spans="1:7" ht="20.25" customHeight="1">
      <c r="A22" s="3023"/>
      <c r="B22" s="3023"/>
      <c r="C22" s="3037"/>
      <c r="D22" s="3045"/>
      <c r="E22" s="3046"/>
      <c r="F22" s="3038" t="s">
        <v>2972</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864</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593</v>
      </c>
      <c r="Q3" s="9" t="s">
        <v>84</v>
      </c>
      <c r="R3" s="992" t="s">
        <v>2522</v>
      </c>
      <c r="S3" s="9" t="s">
        <v>84</v>
      </c>
      <c r="T3" s="9" t="s">
        <v>85</v>
      </c>
      <c r="U3" s="9" t="s">
        <v>84</v>
      </c>
      <c r="V3" s="9" t="s">
        <v>86</v>
      </c>
      <c r="W3" s="9" t="s">
        <v>866</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2" t="s">
        <v>753</v>
      </c>
      <c r="Q4" s="9" t="s">
        <v>92</v>
      </c>
      <c r="R4" s="992" t="s">
        <v>2523</v>
      </c>
      <c r="S4" s="9" t="s">
        <v>92</v>
      </c>
      <c r="T4" s="9" t="s">
        <v>93</v>
      </c>
      <c r="U4" s="9" t="s">
        <v>92</v>
      </c>
      <c r="W4" s="9" t="s">
        <v>867</v>
      </c>
    </row>
    <row r="5" spans="1:23">
      <c r="A5" s="8" t="s">
        <v>94</v>
      </c>
      <c r="B5" s="8" t="s">
        <v>153</v>
      </c>
      <c r="C5" s="1488" t="s">
        <v>1702</v>
      </c>
      <c r="F5" s="9" t="s">
        <v>95</v>
      </c>
      <c r="H5" s="9" t="s">
        <v>70</v>
      </c>
      <c r="I5" s="9" t="s">
        <v>96</v>
      </c>
      <c r="K5" s="9" t="s">
        <v>97</v>
      </c>
      <c r="L5" s="9" t="s">
        <v>97</v>
      </c>
      <c r="M5" s="9" t="s">
        <v>97</v>
      </c>
      <c r="N5" s="9" t="s">
        <v>97</v>
      </c>
      <c r="O5" s="9" t="s">
        <v>97</v>
      </c>
      <c r="P5" s="992" t="s">
        <v>539</v>
      </c>
      <c r="Q5" s="9" t="s">
        <v>97</v>
      </c>
      <c r="R5" s="992" t="s">
        <v>2524</v>
      </c>
      <c r="S5" s="9" t="s">
        <v>97</v>
      </c>
      <c r="T5" s="9" t="s">
        <v>98</v>
      </c>
      <c r="U5" s="9" t="s">
        <v>97</v>
      </c>
      <c r="W5" s="9" t="s">
        <v>868</v>
      </c>
    </row>
    <row r="6" spans="1:23">
      <c r="A6" s="8" t="s">
        <v>99</v>
      </c>
      <c r="B6" s="1131" t="s">
        <v>1630</v>
      </c>
      <c r="C6" s="1490"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1671</v>
      </c>
      <c r="C15" s="1491"/>
    </row>
    <row r="16" spans="1:23">
      <c r="A16" s="8" t="s">
        <v>117</v>
      </c>
      <c r="B16" s="8" t="s">
        <v>1672</v>
      </c>
      <c r="C16" s="1491"/>
    </row>
    <row r="17" spans="1:3">
      <c r="A17" s="8" t="s">
        <v>118</v>
      </c>
      <c r="B17" s="8" t="s">
        <v>1673</v>
      </c>
      <c r="C17" s="1491"/>
    </row>
    <row r="18" spans="1:3">
      <c r="A18" s="8" t="s">
        <v>119</v>
      </c>
      <c r="B18" s="2790" t="s">
        <v>2920</v>
      </c>
      <c r="C18" s="1491"/>
    </row>
    <row r="19" spans="1:3">
      <c r="A19" s="8" t="s">
        <v>120</v>
      </c>
      <c r="B19" s="2790" t="s">
        <v>2927</v>
      </c>
      <c r="C19" s="1491"/>
    </row>
    <row r="20" spans="1:3">
      <c r="A20" s="8" t="s">
        <v>121</v>
      </c>
      <c r="B20" s="2790" t="s">
        <v>2973</v>
      </c>
      <c r="C20" s="1491"/>
    </row>
    <row r="21" spans="1:3">
      <c r="A21" s="8" t="s">
        <v>122</v>
      </c>
      <c r="B21" s="8" t="s">
        <v>1631</v>
      </c>
      <c r="C21" s="1491"/>
    </row>
    <row r="22" spans="1:3">
      <c r="A22" s="8" t="s">
        <v>123</v>
      </c>
      <c r="B22" s="8" t="s">
        <v>1631</v>
      </c>
      <c r="C22" s="1491"/>
    </row>
    <row r="23" spans="1:3">
      <c r="A23" s="8" t="s">
        <v>124</v>
      </c>
      <c r="B23" s="8" t="s">
        <v>1631</v>
      </c>
      <c r="C23" s="1491"/>
    </row>
    <row r="24" spans="1:3">
      <c r="A24" s="8" t="s">
        <v>12</v>
      </c>
      <c r="B24" s="8" t="s">
        <v>1631</v>
      </c>
      <c r="C24" s="1491"/>
    </row>
    <row r="25" spans="1:3">
      <c r="A25" s="8" t="s">
        <v>125</v>
      </c>
      <c r="B25" s="8" t="s">
        <v>1631</v>
      </c>
      <c r="C25" s="1491"/>
    </row>
    <row r="26" spans="1:3">
      <c r="A26" s="8" t="s">
        <v>126</v>
      </c>
      <c r="B26" s="8" t="s">
        <v>1631</v>
      </c>
      <c r="C26" s="1491"/>
    </row>
    <row r="27" spans="1:3">
      <c r="A27" s="8" t="s">
        <v>1631</v>
      </c>
      <c r="B27" s="8" t="s">
        <v>1631</v>
      </c>
      <c r="C27" s="1491"/>
    </row>
    <row r="28" spans="1:3">
      <c r="A28" s="8" t="s">
        <v>1631</v>
      </c>
      <c r="B28" s="8" t="s">
        <v>1631</v>
      </c>
      <c r="C28" s="1491"/>
    </row>
    <row r="29" spans="1:3">
      <c r="A29" s="8" t="s">
        <v>1631</v>
      </c>
      <c r="B29" s="8" t="s">
        <v>1631</v>
      </c>
      <c r="C29" s="1491"/>
    </row>
    <row r="30" spans="1:3">
      <c r="A30" s="8" t="s">
        <v>1631</v>
      </c>
      <c r="B30" s="8" t="s">
        <v>1631</v>
      </c>
      <c r="C30" s="1491"/>
    </row>
    <row r="31" spans="1:3">
      <c r="A31" s="8" t="s">
        <v>1631</v>
      </c>
      <c r="B31" s="8" t="s">
        <v>1631</v>
      </c>
      <c r="C31" s="1491"/>
    </row>
    <row r="32" spans="1:3">
      <c r="A32" s="8" t="s">
        <v>1631</v>
      </c>
      <c r="B32" s="8" t="s">
        <v>1631</v>
      </c>
      <c r="C32" s="1491"/>
    </row>
    <row r="33" spans="1:3">
      <c r="A33" s="8" t="s">
        <v>1631</v>
      </c>
      <c r="B33" s="8" t="s">
        <v>1631</v>
      </c>
      <c r="C33" s="1491"/>
    </row>
    <row r="34" spans="1:3">
      <c r="A34" s="8" t="s">
        <v>1631</v>
      </c>
      <c r="B34" s="8" t="s">
        <v>1631</v>
      </c>
      <c r="C34" s="1491"/>
    </row>
    <row r="35" spans="1:3">
      <c r="A35" s="8" t="s">
        <v>1631</v>
      </c>
      <c r="B35" s="8" t="s">
        <v>1631</v>
      </c>
      <c r="C35" s="1491"/>
    </row>
    <row r="36" spans="1:3">
      <c r="A36" s="8" t="s">
        <v>1631</v>
      </c>
      <c r="B36" s="8" t="s">
        <v>1631</v>
      </c>
      <c r="C36" s="1491"/>
    </row>
    <row r="37" spans="1:3">
      <c r="A37" s="8" t="s">
        <v>1631</v>
      </c>
      <c r="B37" s="8" t="s">
        <v>1631</v>
      </c>
      <c r="C37" s="1491"/>
    </row>
    <row r="38" spans="1:3">
      <c r="A38" s="8" t="s">
        <v>1631</v>
      </c>
      <c r="B38" s="8" t="s">
        <v>1631</v>
      </c>
      <c r="C38" s="1491"/>
    </row>
    <row r="39" spans="1:3">
      <c r="A39" s="8" t="s">
        <v>1631</v>
      </c>
      <c r="B39" s="8" t="s">
        <v>1631</v>
      </c>
      <c r="C39" s="1491"/>
    </row>
    <row r="40" spans="1:3">
      <c r="A40" s="8" t="s">
        <v>1631</v>
      </c>
      <c r="B40" s="8" t="s">
        <v>1631</v>
      </c>
      <c r="C40" s="1491"/>
    </row>
    <row r="41" spans="1:3">
      <c r="A41" s="8" t="s">
        <v>1631</v>
      </c>
      <c r="B41" s="8" t="s">
        <v>1631</v>
      </c>
      <c r="C41" s="1491"/>
    </row>
    <row r="42" spans="1:3">
      <c r="A42" s="8" t="s">
        <v>1631</v>
      </c>
      <c r="B42" s="8" t="s">
        <v>1631</v>
      </c>
      <c r="C42" s="1491"/>
    </row>
    <row r="43" spans="1:3">
      <c r="A43" s="8" t="s">
        <v>1631</v>
      </c>
      <c r="B43" s="8" t="s">
        <v>1631</v>
      </c>
      <c r="C43" s="1491"/>
    </row>
    <row r="44" spans="1:3">
      <c r="A44" s="8" t="s">
        <v>1631</v>
      </c>
      <c r="B44" s="8" t="s">
        <v>1631</v>
      </c>
      <c r="C44" s="1491"/>
    </row>
    <row r="45" spans="1:3">
      <c r="A45" s="8" t="s">
        <v>1631</v>
      </c>
      <c r="B45" s="8" t="s">
        <v>1631</v>
      </c>
      <c r="C45" s="1491"/>
    </row>
    <row r="46" spans="1:3">
      <c r="A46" s="8" t="s">
        <v>1631</v>
      </c>
      <c r="B46" s="8" t="s">
        <v>1631</v>
      </c>
      <c r="C46" s="1491"/>
    </row>
    <row r="47" spans="1:3">
      <c r="A47" s="8" t="s">
        <v>1631</v>
      </c>
      <c r="B47" s="8" t="s">
        <v>1631</v>
      </c>
      <c r="C47" s="1491"/>
    </row>
    <row r="48" spans="1:3">
      <c r="A48" s="8" t="s">
        <v>1631</v>
      </c>
      <c r="B48" s="8" t="s">
        <v>1631</v>
      </c>
      <c r="C48" s="1491"/>
    </row>
    <row r="49" spans="1:5">
      <c r="A49" s="8" t="s">
        <v>1631</v>
      </c>
      <c r="B49" s="8" t="s">
        <v>1631</v>
      </c>
      <c r="C49" s="1491"/>
    </row>
    <row r="50" spans="1:5">
      <c r="A50" s="8" t="s">
        <v>1631</v>
      </c>
      <c r="B50" s="8" t="s">
        <v>1631</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80"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c r="D53" s="1684"/>
      <c r="E53" s="1684"/>
    </row>
    <row r="54" spans="1:5">
      <c r="A54" s="3380"/>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80"/>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80"/>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80"/>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基准地价</vt:lpstr>
      <vt:lpstr>剩余法-待开发</vt:lpstr>
      <vt:lpstr>剩余法-现房</vt:lpstr>
      <vt:lpstr>比较法-工业</vt:lpstr>
      <vt:lpstr>不动产收益法</vt:lpstr>
      <vt:lpstr>酒店收入计算养老院</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其他项目经营收益</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2021-01-07T01:18:51Z</cp:lastPrinted>
  <dcterms:created xsi:type="dcterms:W3CDTF">2015-07-13T07:17:23Z</dcterms:created>
  <dcterms:modified xsi:type="dcterms:W3CDTF">2021-01-18T03:35:47Z</dcterms:modified>
</cp:coreProperties>
</file>