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9" firstSheet="17"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详情"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 name="租金" sheetId="79" r:id="rId47"/>
    <sheet name="租金案例"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U6" i="1"/>
  <c r="I186" i="79"/>
  <c r="M184"/>
  <c r="H192"/>
  <c r="I187"/>
  <c r="I188"/>
  <c r="I189"/>
  <c r="I190"/>
  <c r="I191"/>
  <c r="H186"/>
  <c r="H187"/>
  <c r="H188"/>
  <c r="H189"/>
  <c r="H190"/>
  <c r="H191"/>
  <c r="H185"/>
  <c r="H193"/>
  <c r="G193"/>
  <c r="F186"/>
  <c r="F187"/>
  <c r="F188"/>
  <c r="F189"/>
  <c r="F190"/>
  <c r="F191"/>
  <c r="D191"/>
  <c r="D190"/>
  <c r="D189"/>
  <c r="D188"/>
  <c r="D187"/>
  <c r="D186"/>
  <c r="D185"/>
  <c r="F185"/>
  <c r="G192"/>
  <c r="G186"/>
  <c r="G187"/>
  <c r="G188"/>
  <c r="G189"/>
  <c r="G190"/>
  <c r="G191"/>
  <c r="G185"/>
  <c r="E192"/>
  <c r="E191"/>
  <c r="E190"/>
  <c r="E189"/>
  <c r="E188"/>
  <c r="E187"/>
  <c r="E186"/>
  <c r="E185"/>
  <c r="L3"/>
  <c r="M181"/>
  <c r="M182"/>
  <c r="M183"/>
  <c r="M185"/>
  <c r="M180"/>
  <c r="J176"/>
  <c r="J174"/>
  <c r="O159"/>
  <c r="O4"/>
  <c r="O5"/>
  <c r="O6"/>
  <c r="O7"/>
  <c r="O8"/>
  <c r="O9"/>
  <c r="O10"/>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3"/>
  <c r="L159"/>
  <c r="L174" s="1"/>
  <c r="L175" s="1"/>
  <c r="L176" s="1"/>
  <c r="L4"/>
  <c r="L5"/>
  <c r="L6"/>
  <c r="L7"/>
  <c r="L8"/>
  <c r="L9"/>
  <c r="L10"/>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Y6" i="1"/>
  <c r="N6"/>
  <c r="I11" i="39"/>
  <c r="G11"/>
  <c r="E11"/>
  <c r="C11"/>
  <c r="E58"/>
  <c r="E57"/>
  <c r="N162" i="79"/>
  <c r="N169" s="1"/>
  <c r="N168"/>
  <c r="P168" s="1"/>
  <c r="Q168" s="1"/>
  <c r="N167"/>
  <c r="P167" s="1"/>
  <c r="Q167" s="1"/>
  <c r="N166"/>
  <c r="P166" s="1"/>
  <c r="Q166" s="1"/>
  <c r="N165"/>
  <c r="P165" s="1"/>
  <c r="Q165" s="1"/>
  <c r="N164"/>
  <c r="P164" s="1"/>
  <c r="Q164" s="1"/>
  <c r="N163"/>
  <c r="P163" s="1"/>
  <c r="Q163" s="1"/>
  <c r="M186" l="1"/>
  <c r="I192"/>
  <c r="R167"/>
  <c r="R165"/>
  <c r="R168"/>
  <c r="R166"/>
  <c r="R164"/>
  <c r="R163"/>
  <c r="P162"/>
  <c r="D174"/>
  <c r="D175"/>
  <c r="D176"/>
  <c r="D177"/>
  <c r="D178"/>
  <c r="D179"/>
  <c r="D173"/>
  <c r="D180" s="1"/>
  <c r="M164"/>
  <c r="F175" s="1"/>
  <c r="M165"/>
  <c r="F176" s="1"/>
  <c r="M166"/>
  <c r="F177" s="1"/>
  <c r="M167"/>
  <c r="F178" s="1"/>
  <c r="M168"/>
  <c r="F179" s="1"/>
  <c r="M163"/>
  <c r="F174" s="1"/>
  <c r="I6" i="1"/>
  <c r="Q162" i="79" l="1"/>
  <c r="R162"/>
  <c r="E175"/>
  <c r="E177"/>
  <c r="E178"/>
  <c r="E176"/>
  <c r="E174"/>
  <c r="E173"/>
  <c r="G18" i="77"/>
  <c r="C338"/>
  <c r="G17"/>
  <c r="C37"/>
  <c r="E179" i="79" l="1"/>
  <c r="F180" s="1"/>
  <c r="G162"/>
  <c r="H162" s="1"/>
  <c r="F168"/>
  <c r="G168" s="1"/>
  <c r="H168" s="1"/>
  <c r="F167"/>
  <c r="G167" s="1"/>
  <c r="H167" s="1"/>
  <c r="J167" s="1"/>
  <c r="F166"/>
  <c r="G166" s="1"/>
  <c r="H166" s="1"/>
  <c r="F165"/>
  <c r="G165" s="1"/>
  <c r="H165" s="1"/>
  <c r="J165" s="1"/>
  <c r="F164"/>
  <c r="G164" s="1"/>
  <c r="H164" s="1"/>
  <c r="F163"/>
  <c r="G163" s="1"/>
  <c r="H163" s="1"/>
  <c r="J163" s="1"/>
  <c r="F162"/>
  <c r="D168"/>
  <c r="D167"/>
  <c r="D166"/>
  <c r="D165"/>
  <c r="D164"/>
  <c r="D163"/>
  <c r="D162"/>
  <c r="S159"/>
  <c r="R159"/>
  <c r="Q159"/>
  <c r="P159"/>
  <c r="C159"/>
  <c r="J164" l="1"/>
  <c r="J166"/>
  <c r="J168"/>
  <c r="D169"/>
  <c r="I162" s="1"/>
  <c r="J71" i="39"/>
  <c r="K71"/>
  <c r="L71" s="1"/>
  <c r="M71" s="1"/>
  <c r="N71" s="1"/>
  <c r="E71"/>
  <c r="F71"/>
  <c r="G71" s="1"/>
  <c r="H71" s="1"/>
  <c r="I71" s="1"/>
  <c r="D71"/>
  <c r="I7"/>
  <c r="G7"/>
  <c r="E7"/>
  <c r="I46"/>
  <c r="G46"/>
  <c r="E46"/>
  <c r="I38"/>
  <c r="G38"/>
  <c r="E38"/>
  <c r="I5"/>
  <c r="G5"/>
  <c r="E5"/>
  <c r="I167" i="79" l="1"/>
  <c r="I163"/>
  <c r="I168"/>
  <c r="I164"/>
  <c r="I165"/>
  <c r="I166"/>
  <c r="M13" i="3"/>
  <c r="I37" i="77"/>
  <c r="H37"/>
  <c r="I13" i="3"/>
  <c r="H21" i="77"/>
  <c r="I20"/>
  <c r="I19"/>
  <c r="I18"/>
  <c r="Q169" i="79" l="1"/>
  <c r="H169"/>
  <c r="F19" i="6"/>
  <c r="K13" i="3"/>
  <c r="I7" i="77"/>
  <c r="G31" s="1"/>
  <c r="G28"/>
  <c r="G19"/>
  <c r="A3" i="3"/>
  <c r="G14" i="77"/>
  <c r="I13"/>
  <c r="I5"/>
  <c r="H18" s="1"/>
  <c r="I6"/>
  <c r="I8"/>
  <c r="G32" s="1"/>
  <c r="I9"/>
  <c r="G33" s="1"/>
  <c r="I10"/>
  <c r="G34" s="1"/>
  <c r="I11"/>
  <c r="G35" s="1"/>
  <c r="I12"/>
  <c r="G36" s="1"/>
  <c r="I4"/>
  <c r="H17" s="1"/>
  <c r="H14"/>
  <c r="G19" i="6" l="1"/>
  <c r="AH6" i="1"/>
  <c r="G37" i="77"/>
  <c r="H19"/>
  <c r="I17"/>
  <c r="G21"/>
  <c r="I21" s="1"/>
  <c r="I14"/>
  <c r="D7" i="71"/>
  <c r="AH5" l="1"/>
  <c r="AG5"/>
  <c r="AE5"/>
  <c r="AF5" s="1"/>
  <c r="AD5"/>
  <c r="Q5"/>
  <c r="P5"/>
  <c r="O5"/>
  <c r="N5"/>
  <c r="L3" l="1"/>
  <c r="K3"/>
  <c r="I3"/>
  <c r="J3" l="1"/>
  <c r="AD6" l="1"/>
  <c r="AG6"/>
  <c r="AH6"/>
  <c r="AE6"/>
  <c r="AF6" s="1"/>
  <c r="N6"/>
  <c r="X5" s="1"/>
  <c r="Q6"/>
  <c r="AB5" s="1"/>
  <c r="P6"/>
  <c r="AA5" s="1"/>
  <c r="O6"/>
  <c r="Y5" s="1"/>
  <c r="Z5" s="1"/>
  <c r="C6" l="1"/>
  <c r="T6" s="1"/>
  <c r="Q7"/>
  <c r="F6" s="1"/>
  <c r="F5" s="1"/>
  <c r="P7"/>
  <c r="E6" s="1"/>
  <c r="O7"/>
  <c r="N7"/>
  <c r="B6" s="1"/>
  <c r="S6" s="1"/>
  <c r="E5" l="1"/>
  <c r="V6"/>
  <c r="B5"/>
  <c r="D6"/>
  <c r="U6" s="1"/>
  <c r="C5"/>
  <c r="D5" s="1"/>
  <c r="AB6"/>
  <c r="Y6"/>
  <c r="Z6" s="1"/>
  <c r="X6"/>
  <c r="AA6"/>
  <c r="A2" i="53"/>
  <c r="K59" i="67" l="1"/>
  <c r="P61" s="1"/>
  <c r="K59" i="15"/>
  <c r="P74" s="1"/>
  <c r="P61" l="1"/>
  <c r="P74" i="67"/>
  <c r="D116" i="39"/>
  <c r="E116"/>
  <c r="F116"/>
  <c r="G116"/>
  <c r="H116"/>
  <c r="I116"/>
  <c r="J116"/>
  <c r="K116"/>
  <c r="L116"/>
  <c r="M116"/>
  <c r="C116"/>
  <c r="A21" i="62" l="1"/>
  <c r="A20"/>
  <c r="A22" i="51"/>
  <c r="A21"/>
  <c r="A20"/>
  <c r="A14" i="62" l="1"/>
  <c r="A13"/>
  <c r="A19" l="1"/>
  <c r="A12"/>
  <c r="A120" i="9"/>
  <c r="H2" i="52"/>
  <c r="A1"/>
  <c r="A3" i="53"/>
  <c r="Q8" i="71" l="1"/>
  <c r="P8"/>
  <c r="O8"/>
  <c r="N8"/>
  <c r="D5" i="43" l="1"/>
  <c r="A15" i="51" l="1"/>
  <c r="B10" i="76"/>
  <c r="B13"/>
  <c r="B7"/>
  <c r="B12"/>
  <c r="E7"/>
  <c r="B8"/>
  <c r="E8"/>
  <c r="B9"/>
  <c r="E11"/>
  <c r="E10"/>
  <c r="E13"/>
  <c r="E9"/>
  <c r="E12"/>
  <c r="B11"/>
  <c r="C76" i="9" l="1"/>
  <c r="I107" i="40" l="1"/>
  <c r="K6" i="4" l="1"/>
  <c r="B22" i="31" l="1"/>
  <c r="N56" i="9" l="1"/>
  <c r="M56"/>
  <c r="K56"/>
  <c r="E15" i="74" l="1"/>
  <c r="F15"/>
  <c r="E16"/>
  <c r="F16"/>
  <c r="E17"/>
  <c r="F17"/>
  <c r="E18"/>
  <c r="F18"/>
  <c r="E19"/>
  <c r="F19"/>
  <c r="E20"/>
  <c r="F20"/>
  <c r="E21"/>
  <c r="F21"/>
  <c r="E22"/>
  <c r="F22"/>
  <c r="E23"/>
  <c r="F23"/>
  <c r="B3" l="1"/>
  <c r="C91" i="9" l="1"/>
  <c r="B8" i="72" l="1"/>
  <c r="M19" i="43" l="1"/>
  <c r="O9" i="71" l="1"/>
  <c r="P9"/>
  <c r="Q9"/>
  <c r="N9"/>
  <c r="AE3" l="1"/>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c r="AG13"/>
  <c r="AH13"/>
  <c r="AD14"/>
  <c r="AE14"/>
  <c r="AF14" s="1"/>
  <c r="AG14"/>
  <c r="AH14"/>
  <c r="AD15"/>
  <c r="AE15"/>
  <c r="AF15" s="1"/>
  <c r="AG15"/>
  <c r="AH15"/>
  <c r="AD16"/>
  <c r="AE16"/>
  <c r="AF16" s="1"/>
  <c r="AG16"/>
  <c r="AH16"/>
  <c r="AD17"/>
  <c r="AE17"/>
  <c r="AF17"/>
  <c r="AG17"/>
  <c r="AH17"/>
  <c r="AD18"/>
  <c r="AE18"/>
  <c r="AF18" s="1"/>
  <c r="AG18"/>
  <c r="AH18"/>
  <c r="AD19"/>
  <c r="AE19"/>
  <c r="AF19" s="1"/>
  <c r="AG19"/>
  <c r="AH19"/>
  <c r="AD20"/>
  <c r="AE20"/>
  <c r="AF20" s="1"/>
  <c r="AG20"/>
  <c r="AH20"/>
  <c r="AH21"/>
  <c r="AG21"/>
  <c r="AE21"/>
  <c r="AF21" s="1"/>
  <c r="AD21"/>
  <c r="AD22"/>
  <c r="AE22"/>
  <c r="AF22"/>
  <c r="AG22"/>
  <c r="AH22"/>
  <c r="S2" i="31" l="1"/>
  <c r="M2"/>
  <c r="N2"/>
  <c r="O2"/>
  <c r="P2"/>
  <c r="Q2"/>
  <c r="R2"/>
  <c r="C1" i="73" l="1"/>
  <c r="L1" s="1"/>
  <c r="F7"/>
  <c r="J1" l="1"/>
  <c r="B74" i="72"/>
  <c r="D5" i="73"/>
  <c r="F5"/>
  <c r="F3"/>
  <c r="F4"/>
  <c r="D3"/>
  <c r="F6"/>
  <c r="D6"/>
  <c r="I1" l="1"/>
  <c r="B39" i="1" s="1"/>
  <c r="D4" i="73"/>
  <c r="D7"/>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B49" i="48" l="1"/>
  <c r="B5" i="72" s="1"/>
  <c r="I19" i="43" l="1"/>
  <c r="D71" i="71"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P50" s="1"/>
  <c r="C50"/>
  <c r="B50"/>
  <c r="S50" s="1"/>
  <c r="F49"/>
  <c r="F48" s="1"/>
  <c r="Q48" s="1"/>
  <c r="B49"/>
  <c r="D47"/>
  <c r="Q46"/>
  <c r="P46"/>
  <c r="O46"/>
  <c r="N46"/>
  <c r="Q45"/>
  <c r="P45"/>
  <c r="O45"/>
  <c r="N45"/>
  <c r="Q44"/>
  <c r="P44"/>
  <c r="O44"/>
  <c r="N44"/>
  <c r="Q43"/>
  <c r="F44" s="1"/>
  <c r="F45" s="1"/>
  <c r="F46" s="1"/>
  <c r="V46" s="1"/>
  <c r="P43"/>
  <c r="E44" s="1"/>
  <c r="O43"/>
  <c r="C44" s="1"/>
  <c r="N43"/>
  <c r="B44" s="1"/>
  <c r="B45" s="1"/>
  <c r="B46" s="1"/>
  <c r="S46" s="1"/>
  <c r="D43"/>
  <c r="Q42"/>
  <c r="P42"/>
  <c r="O42"/>
  <c r="N42"/>
  <c r="Q41"/>
  <c r="P41"/>
  <c r="O41"/>
  <c r="N41"/>
  <c r="Q40"/>
  <c r="P40"/>
  <c r="O40"/>
  <c r="N40"/>
  <c r="Q39"/>
  <c r="F40" s="1"/>
  <c r="F41" s="1"/>
  <c r="F42" s="1"/>
  <c r="V42" s="1"/>
  <c r="P39"/>
  <c r="E40" s="1"/>
  <c r="O39"/>
  <c r="C40" s="1"/>
  <c r="N39"/>
  <c r="B40" s="1"/>
  <c r="B41" s="1"/>
  <c r="B42" s="1"/>
  <c r="S42" s="1"/>
  <c r="D39"/>
  <c r="Q38"/>
  <c r="P38"/>
  <c r="O38"/>
  <c r="N38"/>
  <c r="Q37"/>
  <c r="P37"/>
  <c r="O37"/>
  <c r="N37"/>
  <c r="Q36"/>
  <c r="P36"/>
  <c r="O36"/>
  <c r="N36"/>
  <c r="C36"/>
  <c r="Q35"/>
  <c r="F36" s="1"/>
  <c r="F37" s="1"/>
  <c r="F38" s="1"/>
  <c r="V38" s="1"/>
  <c r="P35"/>
  <c r="E36" s="1"/>
  <c r="O35"/>
  <c r="N35"/>
  <c r="B36" s="1"/>
  <c r="B37" s="1"/>
  <c r="B38" s="1"/>
  <c r="S38"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X21" s="1"/>
  <c r="Q20"/>
  <c r="AB20" s="1"/>
  <c r="P20"/>
  <c r="O20"/>
  <c r="Y20" s="1"/>
  <c r="Z20" s="1"/>
  <c r="N20"/>
  <c r="F20"/>
  <c r="F21" s="1"/>
  <c r="F22" s="1"/>
  <c r="V22" s="1"/>
  <c r="Q19"/>
  <c r="P19"/>
  <c r="O19"/>
  <c r="N19"/>
  <c r="D19"/>
  <c r="Q18"/>
  <c r="AB18" s="1"/>
  <c r="P18"/>
  <c r="O18"/>
  <c r="Y18" s="1"/>
  <c r="Z18" s="1"/>
  <c r="N18"/>
  <c r="Q17"/>
  <c r="AB17" s="1"/>
  <c r="P17"/>
  <c r="O17"/>
  <c r="Y17" s="1"/>
  <c r="Z17" s="1"/>
  <c r="N17"/>
  <c r="Q16"/>
  <c r="AB16" s="1"/>
  <c r="P16"/>
  <c r="O16"/>
  <c r="Y16" s="1"/>
  <c r="Z16" s="1"/>
  <c r="N16"/>
  <c r="F16"/>
  <c r="F17" s="1"/>
  <c r="F18" s="1"/>
  <c r="V18" s="1"/>
  <c r="Q15"/>
  <c r="P15"/>
  <c r="O15"/>
  <c r="N15"/>
  <c r="D15"/>
  <c r="Q14"/>
  <c r="AB14" s="1"/>
  <c r="P14"/>
  <c r="O14"/>
  <c r="Y14" s="1"/>
  <c r="Z14" s="1"/>
  <c r="N14"/>
  <c r="Q13"/>
  <c r="AB13" s="1"/>
  <c r="P13"/>
  <c r="O13"/>
  <c r="Y13" s="1"/>
  <c r="Z13" s="1"/>
  <c r="N13"/>
  <c r="Q12"/>
  <c r="AB12" s="1"/>
  <c r="P12"/>
  <c r="O12"/>
  <c r="Y12" s="1"/>
  <c r="Z12" s="1"/>
  <c r="N12"/>
  <c r="F12"/>
  <c r="F13" s="1"/>
  <c r="F14" s="1"/>
  <c r="V14" s="1"/>
  <c r="Q11"/>
  <c r="P11"/>
  <c r="O11"/>
  <c r="N11"/>
  <c r="D11"/>
  <c r="O10"/>
  <c r="N10"/>
  <c r="B12" l="1"/>
  <c r="B13" s="1"/>
  <c r="B14" s="1"/>
  <c r="S14" s="1"/>
  <c r="X11"/>
  <c r="E12"/>
  <c r="E13" s="1"/>
  <c r="E14" s="1"/>
  <c r="U14" s="1"/>
  <c r="AA11"/>
  <c r="B16"/>
  <c r="B17" s="1"/>
  <c r="B18" s="1"/>
  <c r="S18" s="1"/>
  <c r="X15"/>
  <c r="B20"/>
  <c r="B21" s="1"/>
  <c r="B22" s="1"/>
  <c r="S22" s="1"/>
  <c r="X19"/>
  <c r="E20"/>
  <c r="E21" s="1"/>
  <c r="E22" s="1"/>
  <c r="U22" s="1"/>
  <c r="AA19"/>
  <c r="N50"/>
  <c r="E16"/>
  <c r="E17" s="1"/>
  <c r="E18" s="1"/>
  <c r="U18" s="1"/>
  <c r="AA15"/>
  <c r="C12"/>
  <c r="Y11"/>
  <c r="Z11" s="1"/>
  <c r="AB11"/>
  <c r="X12"/>
  <c r="AA12"/>
  <c r="X13"/>
  <c r="AA13"/>
  <c r="X14"/>
  <c r="AA14"/>
  <c r="C16"/>
  <c r="C17" s="1"/>
  <c r="Y15"/>
  <c r="Z15" s="1"/>
  <c r="AB15"/>
  <c r="X16"/>
  <c r="AA16"/>
  <c r="X17"/>
  <c r="AA17"/>
  <c r="X18"/>
  <c r="AA18"/>
  <c r="C20"/>
  <c r="Y19"/>
  <c r="Z19" s="1"/>
  <c r="AB19"/>
  <c r="X20"/>
  <c r="AA20"/>
  <c r="F33"/>
  <c r="F34" s="1"/>
  <c r="V34" s="1"/>
  <c r="C10"/>
  <c r="Y3"/>
  <c r="Z3" s="1"/>
  <c r="Y7"/>
  <c r="Z7" s="1"/>
  <c r="Y8"/>
  <c r="Z8" s="1"/>
  <c r="Y9"/>
  <c r="Z9" s="1"/>
  <c r="Y10"/>
  <c r="Z10" s="1"/>
  <c r="B10"/>
  <c r="B9" s="1"/>
  <c r="B8" s="1"/>
  <c r="X7"/>
  <c r="X8"/>
  <c r="X9"/>
  <c r="X3"/>
  <c r="X10"/>
  <c r="C13"/>
  <c r="D12"/>
  <c r="D16"/>
  <c r="C21"/>
  <c r="D20"/>
  <c r="C25"/>
  <c r="D24"/>
  <c r="C29"/>
  <c r="D29" s="1"/>
  <c r="D28"/>
  <c r="C33"/>
  <c r="D32"/>
  <c r="P10"/>
  <c r="E37"/>
  <c r="E38" s="1"/>
  <c r="U38" s="1"/>
  <c r="E41"/>
  <c r="E42" s="1"/>
  <c r="U42" s="1"/>
  <c r="E45"/>
  <c r="E46" s="1"/>
  <c r="U46" s="1"/>
  <c r="Q47"/>
  <c r="U50"/>
  <c r="E49"/>
  <c r="Q10"/>
  <c r="C37"/>
  <c r="D36"/>
  <c r="C41"/>
  <c r="D40"/>
  <c r="C45"/>
  <c r="D44"/>
  <c r="N49"/>
  <c r="B48"/>
  <c r="Q49"/>
  <c r="T50"/>
  <c r="O50"/>
  <c r="D50"/>
  <c r="C49"/>
  <c r="Q50"/>
  <c r="C53"/>
  <c r="E53"/>
  <c r="E52" s="1"/>
  <c r="D54"/>
  <c r="C57"/>
  <c r="E57"/>
  <c r="E56" s="1"/>
  <c r="D58"/>
  <c r="C61"/>
  <c r="E61"/>
  <c r="E60" s="1"/>
  <c r="D62"/>
  <c r="C65"/>
  <c r="C69"/>
  <c r="T10" l="1"/>
  <c r="C9"/>
  <c r="S10"/>
  <c r="F10"/>
  <c r="F9" s="1"/>
  <c r="F8" s="1"/>
  <c r="AB3"/>
  <c r="AB7"/>
  <c r="AB8"/>
  <c r="AB9"/>
  <c r="AB10"/>
  <c r="E10"/>
  <c r="E9" s="1"/>
  <c r="E8" s="1"/>
  <c r="AA3"/>
  <c r="AA7"/>
  <c r="AA8"/>
  <c r="AA9"/>
  <c r="AA10"/>
  <c r="D10"/>
  <c r="U10" s="1"/>
  <c r="C48"/>
  <c r="O49"/>
  <c r="D49"/>
  <c r="C46"/>
  <c r="D45"/>
  <c r="D65"/>
  <c r="C64"/>
  <c r="D64" s="1"/>
  <c r="D57"/>
  <c r="C56"/>
  <c r="D56" s="1"/>
  <c r="N47"/>
  <c r="N48"/>
  <c r="D69"/>
  <c r="C68"/>
  <c r="D68" s="1"/>
  <c r="D61"/>
  <c r="C60"/>
  <c r="D60" s="1"/>
  <c r="D53"/>
  <c r="C52"/>
  <c r="D52" s="1"/>
  <c r="C42"/>
  <c r="D41"/>
  <c r="C38"/>
  <c r="D37"/>
  <c r="P49"/>
  <c r="E48"/>
  <c r="C34"/>
  <c r="D33"/>
  <c r="C26"/>
  <c r="D25"/>
  <c r="C22"/>
  <c r="D21"/>
  <c r="C18"/>
  <c r="D17"/>
  <c r="C14"/>
  <c r="D13"/>
  <c r="C8" l="1"/>
  <c r="D8" s="1"/>
  <c r="D9"/>
  <c r="V10"/>
  <c r="P47"/>
  <c r="P48"/>
  <c r="O48"/>
  <c r="D48"/>
  <c r="O47"/>
  <c r="T14"/>
  <c r="D14"/>
  <c r="T18"/>
  <c r="D18"/>
  <c r="T22"/>
  <c r="D22"/>
  <c r="T26"/>
  <c r="D26"/>
  <c r="T34"/>
  <c r="D34"/>
  <c r="T38"/>
  <c r="D38"/>
  <c r="T42"/>
  <c r="D42"/>
  <c r="T46"/>
  <c r="D46"/>
  <c r="O27" i="6" l="1"/>
  <c r="N27"/>
  <c r="P20"/>
  <c r="P21"/>
  <c r="P22"/>
  <c r="P23"/>
  <c r="P24"/>
  <c r="P25"/>
  <c r="P26"/>
  <c r="P19"/>
  <c r="AP8" i="1"/>
  <c r="AP9"/>
  <c r="AP10"/>
  <c r="AP11"/>
  <c r="AP12"/>
  <c r="AP13"/>
  <c r="L21" i="6"/>
  <c r="L22"/>
  <c r="L23"/>
  <c r="L24"/>
  <c r="L25"/>
  <c r="L26"/>
  <c r="P27" l="1"/>
  <c r="A7" i="70"/>
  <c r="A8"/>
  <c r="E8" s="1"/>
  <c r="A9"/>
  <c r="E9" s="1"/>
  <c r="A10"/>
  <c r="E10" s="1"/>
  <c r="A11"/>
  <c r="E11" s="1"/>
  <c r="A12"/>
  <c r="E12" s="1"/>
  <c r="A13"/>
  <c r="E13" s="1"/>
  <c r="A6"/>
  <c r="Q25" i="40" l="1"/>
  <c r="Z25" s="1"/>
  <c r="D94"/>
  <c r="E94" s="1"/>
  <c r="F25"/>
  <c r="AA25" s="1"/>
  <c r="Z29" i="39"/>
  <c r="Q29"/>
  <c r="D103"/>
  <c r="E103" s="1"/>
  <c r="F29"/>
  <c r="AA29" s="1"/>
  <c r="Q18" i="36"/>
  <c r="Z18" s="1"/>
  <c r="D66"/>
  <c r="E66" s="1"/>
  <c r="F66" s="1"/>
  <c r="H18"/>
  <c r="AB18" s="1"/>
  <c r="F18"/>
  <c r="AA18" s="1"/>
  <c r="C18"/>
  <c r="Z18" i="35"/>
  <c r="Q18"/>
  <c r="D68"/>
  <c r="E68" s="1"/>
  <c r="F18"/>
  <c r="AA18" s="1"/>
  <c r="C18"/>
  <c r="Z21" i="37"/>
  <c r="Q21"/>
  <c r="D77"/>
  <c r="E77" s="1"/>
  <c r="C21"/>
  <c r="Z21" i="34"/>
  <c r="Q21"/>
  <c r="D84"/>
  <c r="E84" s="1"/>
  <c r="F21"/>
  <c r="AA21" s="1"/>
  <c r="C21"/>
  <c r="Z21" i="33"/>
  <c r="Q21"/>
  <c r="D83"/>
  <c r="E83" s="1"/>
  <c r="C21"/>
  <c r="C21" i="21"/>
  <c r="Q21"/>
  <c r="Z21" s="1"/>
  <c r="H19"/>
  <c r="D83"/>
  <c r="F21" s="1"/>
  <c r="AA21" s="1"/>
  <c r="D81"/>
  <c r="G20" i="20"/>
  <c r="B86" i="43" s="1"/>
  <c r="C22" i="20"/>
  <c r="AO11" i="1"/>
  <c r="AO13"/>
  <c r="AO9"/>
  <c r="AO12"/>
  <c r="AO10"/>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C31" i="66"/>
  <c r="C27"/>
  <c r="C32" s="1"/>
  <c r="I23"/>
  <c r="D20"/>
  <c r="I19"/>
  <c r="I18"/>
  <c r="I17"/>
  <c r="I20" s="1"/>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E100"/>
  <c r="G100"/>
  <c r="I100"/>
  <c r="K100"/>
  <c r="M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G10" s="1"/>
  <c r="D11"/>
  <c r="D12"/>
  <c r="D13"/>
  <c r="D7"/>
  <c r="D8"/>
  <c r="A7"/>
  <c r="A8"/>
  <c r="B8" s="1"/>
  <c r="E8" s="1"/>
  <c r="A9"/>
  <c r="A10"/>
  <c r="A11"/>
  <c r="A12"/>
  <c r="A13"/>
  <c r="A6"/>
  <c r="F3" i="35" s="1"/>
  <c r="B11" i="1"/>
  <c r="E11" s="1"/>
  <c r="B7"/>
  <c r="E7" s="1"/>
  <c r="K10"/>
  <c r="B13"/>
  <c r="E13" s="1"/>
  <c r="K13"/>
  <c r="M13" s="1"/>
  <c r="O13" s="1"/>
  <c r="P13" s="1"/>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s="1"/>
  <c r="AZ112"/>
  <c r="AX112"/>
  <c r="AW112"/>
  <c r="AV112"/>
  <c r="AC112"/>
  <c r="H112"/>
  <c r="G112"/>
  <c r="BT111"/>
  <c r="BS111"/>
  <c r="BR111"/>
  <c r="BQ111"/>
  <c r="BP111"/>
  <c r="BO111"/>
  <c r="BN111"/>
  <c r="BM111"/>
  <c r="BL111" s="1"/>
  <c r="BK111"/>
  <c r="BJ111"/>
  <c r="BI111"/>
  <c r="BH111"/>
  <c r="BG111"/>
  <c r="BF111"/>
  <c r="BE111"/>
  <c r="BD111"/>
  <c r="BC111"/>
  <c r="BB111"/>
  <c r="BA11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X109"/>
  <c r="AW109"/>
  <c r="AV109"/>
  <c r="AC109"/>
  <c r="H109"/>
  <c r="G109" s="1"/>
  <c r="BT108"/>
  <c r="BS108"/>
  <c r="BR108"/>
  <c r="BQ108"/>
  <c r="BP108"/>
  <c r="BO108"/>
  <c r="BN108"/>
  <c r="BM108"/>
  <c r="BL108"/>
  <c r="BK108"/>
  <c r="BJ108"/>
  <c r="BI108"/>
  <c r="BH108"/>
  <c r="BG108"/>
  <c r="BF108"/>
  <c r="BE108"/>
  <c r="BD108"/>
  <c r="BC108"/>
  <c r="BB108"/>
  <c r="BA108" s="1"/>
  <c r="AZ108"/>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s="1"/>
  <c r="BT106"/>
  <c r="BS106"/>
  <c r="BR106"/>
  <c r="BQ106"/>
  <c r="BP106"/>
  <c r="BO106"/>
  <c r="BN106"/>
  <c r="BM106"/>
  <c r="BL106"/>
  <c r="BK106"/>
  <c r="BJ106"/>
  <c r="BI106"/>
  <c r="BH106"/>
  <c r="BG106"/>
  <c r="BF106"/>
  <c r="BE106"/>
  <c r="BD106"/>
  <c r="BC106"/>
  <c r="BB106"/>
  <c r="BA106" s="1"/>
  <c r="AZ106"/>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c r="AZ100" s="1"/>
  <c r="AX100"/>
  <c r="AW100"/>
  <c r="AV100"/>
  <c r="AC100"/>
  <c r="H100"/>
  <c r="G100" s="1"/>
  <c r="BT99"/>
  <c r="BS99"/>
  <c r="BR99"/>
  <c r="BQ99"/>
  <c r="BP99"/>
  <c r="BO99"/>
  <c r="BN99"/>
  <c r="BM99"/>
  <c r="BL99"/>
  <c r="BK99"/>
  <c r="BJ99"/>
  <c r="BI99"/>
  <c r="BH99"/>
  <c r="BG99"/>
  <c r="BF99"/>
  <c r="BE99"/>
  <c r="BD99"/>
  <c r="BC99"/>
  <c r="BB99"/>
  <c r="BA99" s="1"/>
  <c r="AZ99" s="1"/>
  <c r="AX99"/>
  <c r="AW99"/>
  <c r="AV99"/>
  <c r="AC99"/>
  <c r="H99"/>
  <c r="G99"/>
  <c r="BT98"/>
  <c r="BS98"/>
  <c r="BR98"/>
  <c r="BQ98"/>
  <c r="BP98"/>
  <c r="BO98"/>
  <c r="BN98"/>
  <c r="BM98"/>
  <c r="BL98" s="1"/>
  <c r="BK98"/>
  <c r="BJ98"/>
  <c r="BI98"/>
  <c r="BH98"/>
  <c r="BG98"/>
  <c r="BF98"/>
  <c r="BE98"/>
  <c r="BD98"/>
  <c r="BC98"/>
  <c r="BB98"/>
  <c r="BA98"/>
  <c r="AZ98" s="1"/>
  <c r="AX98"/>
  <c r="AW98"/>
  <c r="AV98"/>
  <c r="AC98"/>
  <c r="H98"/>
  <c r="G98" s="1"/>
  <c r="BT97"/>
  <c r="BS97"/>
  <c r="BR97"/>
  <c r="BQ97"/>
  <c r="BP97"/>
  <c r="BO97"/>
  <c r="BN97"/>
  <c r="BM97"/>
  <c r="BL97"/>
  <c r="BK97"/>
  <c r="BJ97"/>
  <c r="BI97"/>
  <c r="BH97"/>
  <c r="BG97"/>
  <c r="BF97"/>
  <c r="BE97"/>
  <c r="BD97"/>
  <c r="BC97"/>
  <c r="BB97"/>
  <c r="BA97" s="1"/>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X93"/>
  <c r="AW93"/>
  <c r="AV93"/>
  <c r="AC93"/>
  <c r="H93"/>
  <c r="G93" s="1"/>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c r="AZ91" s="1"/>
  <c r="AX91"/>
  <c r="AW91"/>
  <c r="AV91"/>
  <c r="AC91"/>
  <c r="H91"/>
  <c r="G91" s="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c r="AX89"/>
  <c r="AW89"/>
  <c r="AV89"/>
  <c r="AC89"/>
  <c r="H89"/>
  <c r="G89"/>
  <c r="BT88"/>
  <c r="BS88"/>
  <c r="BR88"/>
  <c r="BQ88"/>
  <c r="BP88"/>
  <c r="BO88"/>
  <c r="BN88"/>
  <c r="BM88"/>
  <c r="BL88" s="1"/>
  <c r="BK88"/>
  <c r="BJ88"/>
  <c r="BI88"/>
  <c r="BH88"/>
  <c r="BG88"/>
  <c r="BF88"/>
  <c r="BE88"/>
  <c r="BD88"/>
  <c r="BC88"/>
  <c r="BB88"/>
  <c r="BA88"/>
  <c r="AX88"/>
  <c r="AW88"/>
  <c r="AV88"/>
  <c r="AC88"/>
  <c r="H88"/>
  <c r="G88" s="1"/>
  <c r="BT87"/>
  <c r="BS87"/>
  <c r="BR87"/>
  <c r="BQ87"/>
  <c r="BP87"/>
  <c r="BO87"/>
  <c r="BN87"/>
  <c r="BM87"/>
  <c r="BL87"/>
  <c r="BK87"/>
  <c r="BJ87"/>
  <c r="BI87"/>
  <c r="BH87"/>
  <c r="BG87"/>
  <c r="BF87"/>
  <c r="BE87"/>
  <c r="BD87"/>
  <c r="BC87"/>
  <c r="BB87"/>
  <c r="BA87" s="1"/>
  <c r="AZ87"/>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X85"/>
  <c r="AW85"/>
  <c r="AV85"/>
  <c r="AC85"/>
  <c r="H85"/>
  <c r="G85"/>
  <c r="BT84"/>
  <c r="BS84"/>
  <c r="BR84"/>
  <c r="BQ84"/>
  <c r="BP84"/>
  <c r="BO84"/>
  <c r="BN84"/>
  <c r="BM84"/>
  <c r="BL84" s="1"/>
  <c r="BK84"/>
  <c r="BJ84"/>
  <c r="BI84"/>
  <c r="BH84"/>
  <c r="BG84"/>
  <c r="BF84"/>
  <c r="BE84"/>
  <c r="BD84"/>
  <c r="BC84"/>
  <c r="BB84"/>
  <c r="BA84"/>
  <c r="AX84"/>
  <c r="AW84"/>
  <c r="AV84"/>
  <c r="AC84"/>
  <c r="H84"/>
  <c r="G84" s="1"/>
  <c r="BT83"/>
  <c r="BS83"/>
  <c r="BR83"/>
  <c r="BQ83"/>
  <c r="BP83"/>
  <c r="BO83"/>
  <c r="BN83"/>
  <c r="BM83"/>
  <c r="BL83"/>
  <c r="BK83"/>
  <c r="BJ83"/>
  <c r="BI83"/>
  <c r="BH83"/>
  <c r="BG83"/>
  <c r="BF83"/>
  <c r="BE83"/>
  <c r="BD83"/>
  <c r="BC83"/>
  <c r="BB83"/>
  <c r="BA83" s="1"/>
  <c r="AX83"/>
  <c r="AW83"/>
  <c r="AV83"/>
  <c r="AC83"/>
  <c r="H83"/>
  <c r="G83" s="1"/>
  <c r="BT82"/>
  <c r="BS82"/>
  <c r="BR82"/>
  <c r="BQ82"/>
  <c r="BP82"/>
  <c r="BO82"/>
  <c r="BN82"/>
  <c r="BM82"/>
  <c r="BL82"/>
  <c r="BK82"/>
  <c r="BJ82"/>
  <c r="BI82"/>
  <c r="BH82"/>
  <c r="BG82"/>
  <c r="BF82"/>
  <c r="BE82"/>
  <c r="BD82"/>
  <c r="BC82"/>
  <c r="BB82"/>
  <c r="BA82" s="1"/>
  <c r="AX82"/>
  <c r="AW82"/>
  <c r="AV82"/>
  <c r="AC82"/>
  <c r="H82"/>
  <c r="G82" s="1"/>
  <c r="BT81"/>
  <c r="BS81"/>
  <c r="BR81"/>
  <c r="BQ81"/>
  <c r="BP81"/>
  <c r="BO81"/>
  <c r="BN81"/>
  <c r="BM81"/>
  <c r="BL81"/>
  <c r="BK81"/>
  <c r="BJ81"/>
  <c r="BI81"/>
  <c r="BH81"/>
  <c r="BG81"/>
  <c r="BF81"/>
  <c r="BE81"/>
  <c r="BD81"/>
  <c r="BC81"/>
  <c r="BB81"/>
  <c r="BA81" s="1"/>
  <c r="AZ81"/>
  <c r="AX81"/>
  <c r="AW81"/>
  <c r="AV81"/>
  <c r="AC81"/>
  <c r="H81"/>
  <c r="G81"/>
  <c r="BT80"/>
  <c r="BS80"/>
  <c r="BR80"/>
  <c r="BQ80"/>
  <c r="BP80"/>
  <c r="BO80"/>
  <c r="BN80"/>
  <c r="BM80"/>
  <c r="BL80" s="1"/>
  <c r="BK80"/>
  <c r="BJ80"/>
  <c r="BI80"/>
  <c r="BH80"/>
  <c r="BG80"/>
  <c r="BF80"/>
  <c r="BE80"/>
  <c r="BD80"/>
  <c r="BC80"/>
  <c r="BB80"/>
  <c r="BA80"/>
  <c r="AX80"/>
  <c r="AW80"/>
  <c r="AV80"/>
  <c r="AC80"/>
  <c r="H80"/>
  <c r="G80" s="1"/>
  <c r="BT79"/>
  <c r="BS79"/>
  <c r="BR79"/>
  <c r="BQ79"/>
  <c r="BP79"/>
  <c r="BO79"/>
  <c r="BN79"/>
  <c r="BM79"/>
  <c r="BL79"/>
  <c r="BK79"/>
  <c r="BJ79"/>
  <c r="BI79"/>
  <c r="BH79"/>
  <c r="BG79"/>
  <c r="BF79"/>
  <c r="BE79"/>
  <c r="BD79"/>
  <c r="BC79"/>
  <c r="BB79"/>
  <c r="BA79" s="1"/>
  <c r="AX79"/>
  <c r="AW79"/>
  <c r="AV79"/>
  <c r="AC79"/>
  <c r="H79"/>
  <c r="G79" s="1"/>
  <c r="BT78"/>
  <c r="BS78"/>
  <c r="BR78"/>
  <c r="BQ78"/>
  <c r="BP78"/>
  <c r="BO78"/>
  <c r="BN78"/>
  <c r="BM78"/>
  <c r="BL78"/>
  <c r="BK78"/>
  <c r="BJ78"/>
  <c r="BI78"/>
  <c r="BH78"/>
  <c r="BG78"/>
  <c r="BF78"/>
  <c r="BE78"/>
  <c r="BD78"/>
  <c r="BC78"/>
  <c r="BB78"/>
  <c r="BA78" s="1"/>
  <c r="AZ78"/>
  <c r="AX78"/>
  <c r="AW78"/>
  <c r="AV78"/>
  <c r="AC78"/>
  <c r="H78"/>
  <c r="G78"/>
  <c r="BT77"/>
  <c r="BS77"/>
  <c r="BR77"/>
  <c r="BQ77"/>
  <c r="BP77"/>
  <c r="BO77"/>
  <c r="BN77"/>
  <c r="BM77"/>
  <c r="BL77" s="1"/>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c r="AZ76" s="1"/>
  <c r="AX76"/>
  <c r="AW76"/>
  <c r="AV76"/>
  <c r="AC76"/>
  <c r="H76"/>
  <c r="G76" s="1"/>
  <c r="BT75"/>
  <c r="BS75"/>
  <c r="BR75"/>
  <c r="BQ75"/>
  <c r="BP75"/>
  <c r="BO75"/>
  <c r="BN75"/>
  <c r="BM75"/>
  <c r="BL75"/>
  <c r="BK75"/>
  <c r="BJ75"/>
  <c r="BI75"/>
  <c r="BH75"/>
  <c r="BG75"/>
  <c r="BF75"/>
  <c r="BE75"/>
  <c r="BD75"/>
  <c r="BC75"/>
  <c r="BB75"/>
  <c r="BA75" s="1"/>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X72"/>
  <c r="AW72"/>
  <c r="AV72"/>
  <c r="AC72"/>
  <c r="H72"/>
  <c r="G72"/>
  <c r="BT71"/>
  <c r="BS71"/>
  <c r="BR71"/>
  <c r="BQ71"/>
  <c r="BP71"/>
  <c r="BO71"/>
  <c r="BN71"/>
  <c r="BM71"/>
  <c r="BL71" s="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c r="AZ70" s="1"/>
  <c r="AX70"/>
  <c r="AW70"/>
  <c r="AV70"/>
  <c r="AC70"/>
  <c r="H70"/>
  <c r="G70" s="1"/>
  <c r="BT69"/>
  <c r="BS69"/>
  <c r="BR69"/>
  <c r="BQ69"/>
  <c r="BP69"/>
  <c r="BO69"/>
  <c r="BN69"/>
  <c r="BM69"/>
  <c r="BL69"/>
  <c r="BK69"/>
  <c r="BJ69"/>
  <c r="BI69"/>
  <c r="BH69"/>
  <c r="BG69"/>
  <c r="BF69"/>
  <c r="BE69"/>
  <c r="BD69"/>
  <c r="BC69"/>
  <c r="BB69"/>
  <c r="BA69" s="1"/>
  <c r="AX69"/>
  <c r="AW69"/>
  <c r="AV69"/>
  <c r="AC69"/>
  <c r="H69"/>
  <c r="G69" s="1"/>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Z65" s="1"/>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Z62" s="1"/>
  <c r="AX62"/>
  <c r="AW62"/>
  <c r="AV62"/>
  <c r="AC62"/>
  <c r="H62"/>
  <c r="G62" s="1"/>
  <c r="BT61"/>
  <c r="BS61"/>
  <c r="BR61"/>
  <c r="BQ61"/>
  <c r="BP61"/>
  <c r="BO61"/>
  <c r="BN61"/>
  <c r="BM61"/>
  <c r="BL61"/>
  <c r="BK61"/>
  <c r="BJ61"/>
  <c r="BI61"/>
  <c r="BH61"/>
  <c r="BG61"/>
  <c r="BF61"/>
  <c r="BE61"/>
  <c r="BD61"/>
  <c r="BC61"/>
  <c r="BB61"/>
  <c r="BA61" s="1"/>
  <c r="AX61"/>
  <c r="AW61"/>
  <c r="AV61"/>
  <c r="AC61"/>
  <c r="H61"/>
  <c r="G61" s="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G58"/>
  <c r="BT57"/>
  <c r="BS57"/>
  <c r="BR57"/>
  <c r="BQ57"/>
  <c r="BP57"/>
  <c r="BO57"/>
  <c r="BN57"/>
  <c r="BM57"/>
  <c r="BL57" s="1"/>
  <c r="BK57"/>
  <c r="BJ57"/>
  <c r="BI57"/>
  <c r="BH57"/>
  <c r="BG57"/>
  <c r="BF57"/>
  <c r="BE57"/>
  <c r="BD57"/>
  <c r="BC57"/>
  <c r="BB57"/>
  <c r="BA57"/>
  <c r="AZ57" s="1"/>
  <c r="AX57"/>
  <c r="AW57"/>
  <c r="AV57"/>
  <c r="AC57"/>
  <c r="H57"/>
  <c r="G57" s="1"/>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Z54" s="1"/>
  <c r="AX54"/>
  <c r="AW54"/>
  <c r="AV54"/>
  <c r="AC54"/>
  <c r="H54"/>
  <c r="G54" s="1"/>
  <c r="BT53"/>
  <c r="BS53"/>
  <c r="BR53"/>
  <c r="BQ53"/>
  <c r="BP53"/>
  <c r="BO53"/>
  <c r="BN53"/>
  <c r="BM53"/>
  <c r="BL53"/>
  <c r="BK53"/>
  <c r="BJ53"/>
  <c r="BI53"/>
  <c r="BH53"/>
  <c r="BG53"/>
  <c r="BF53"/>
  <c r="BE53"/>
  <c r="BD53"/>
  <c r="BC53"/>
  <c r="BB53"/>
  <c r="BA53" s="1"/>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c r="AZ49" s="1"/>
  <c r="AX49"/>
  <c r="AW49"/>
  <c r="AV49"/>
  <c r="AC49"/>
  <c r="H49"/>
  <c r="G49" s="1"/>
  <c r="BT48"/>
  <c r="BS48"/>
  <c r="BR48"/>
  <c r="BQ48"/>
  <c r="BP48"/>
  <c r="BO48"/>
  <c r="BN48"/>
  <c r="BM48"/>
  <c r="BL48"/>
  <c r="BK48"/>
  <c r="BJ48"/>
  <c r="BI48"/>
  <c r="BH48"/>
  <c r="BG48"/>
  <c r="BF48"/>
  <c r="BE48"/>
  <c r="BD48"/>
  <c r="BC48"/>
  <c r="BB48"/>
  <c r="BA48" s="1"/>
  <c r="AZ48" s="1"/>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Z46" s="1"/>
  <c r="AX46"/>
  <c r="AW46"/>
  <c r="AV46"/>
  <c r="AC46"/>
  <c r="H46"/>
  <c r="G46" s="1"/>
  <c r="BT45"/>
  <c r="BS45"/>
  <c r="BR45"/>
  <c r="BQ45"/>
  <c r="BP45"/>
  <c r="BO45"/>
  <c r="BN45"/>
  <c r="BM45"/>
  <c r="BL45"/>
  <c r="BK45"/>
  <c r="BJ45"/>
  <c r="BI45"/>
  <c r="BH45"/>
  <c r="BG45"/>
  <c r="BF45"/>
  <c r="BE45"/>
  <c r="BD45"/>
  <c r="BC45"/>
  <c r="BB45"/>
  <c r="BA45" s="1"/>
  <c r="AX45"/>
  <c r="AW45"/>
  <c r="AV45"/>
  <c r="AC45"/>
  <c r="H45"/>
  <c r="G45" s="1"/>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G42"/>
  <c r="BT41"/>
  <c r="BS41"/>
  <c r="BR41"/>
  <c r="BQ41"/>
  <c r="BP41"/>
  <c r="BO41"/>
  <c r="BN41"/>
  <c r="BM41"/>
  <c r="BL41" s="1"/>
  <c r="BK41"/>
  <c r="BJ41"/>
  <c r="BI41"/>
  <c r="BH41"/>
  <c r="BG41"/>
  <c r="BF41"/>
  <c r="BE41"/>
  <c r="BD41"/>
  <c r="BC41"/>
  <c r="BB41"/>
  <c r="BA41"/>
  <c r="AX41"/>
  <c r="AW41"/>
  <c r="AV41"/>
  <c r="AC41"/>
  <c r="H41"/>
  <c r="G41" s="1"/>
  <c r="BT40"/>
  <c r="BS40"/>
  <c r="BR40"/>
  <c r="BQ40"/>
  <c r="BP40"/>
  <c r="BO40"/>
  <c r="BN40"/>
  <c r="BM40"/>
  <c r="BL40"/>
  <c r="BK40"/>
  <c r="BJ40"/>
  <c r="BI40"/>
  <c r="BH40"/>
  <c r="BG40"/>
  <c r="BF40"/>
  <c r="BE40"/>
  <c r="BD40"/>
  <c r="BC40"/>
  <c r="BB40"/>
  <c r="BA40" s="1"/>
  <c r="AZ40" s="1"/>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Z38" s="1"/>
  <c r="AX38"/>
  <c r="AW38"/>
  <c r="AV38"/>
  <c r="AC38"/>
  <c r="H38"/>
  <c r="G38" s="1"/>
  <c r="BT37"/>
  <c r="BS37"/>
  <c r="BR37"/>
  <c r="BQ37"/>
  <c r="BP37"/>
  <c r="BO37"/>
  <c r="BN37"/>
  <c r="BM37"/>
  <c r="BL37"/>
  <c r="BK37"/>
  <c r="BJ37"/>
  <c r="BI37"/>
  <c r="BH37"/>
  <c r="BG37"/>
  <c r="BF37"/>
  <c r="BE37"/>
  <c r="BD37"/>
  <c r="BC37"/>
  <c r="BB37"/>
  <c r="BA37" s="1"/>
  <c r="AX37"/>
  <c r="AW37"/>
  <c r="AV37"/>
  <c r="AC37"/>
  <c r="H37"/>
  <c r="G37" s="1"/>
  <c r="BT36"/>
  <c r="BS36"/>
  <c r="BR36"/>
  <c r="BQ36"/>
  <c r="BP36"/>
  <c r="BO36"/>
  <c r="BN36"/>
  <c r="BM36"/>
  <c r="BL36"/>
  <c r="BK36"/>
  <c r="BJ36"/>
  <c r="BI36"/>
  <c r="BH36"/>
  <c r="BG36"/>
  <c r="BF36"/>
  <c r="BE36"/>
  <c r="BD36"/>
  <c r="BC36"/>
  <c r="BB36"/>
  <c r="BA36" s="1"/>
  <c r="AZ36"/>
  <c r="AX36"/>
  <c r="AW36"/>
  <c r="AV36"/>
  <c r="AC36"/>
  <c r="H36"/>
  <c r="G36"/>
  <c r="BT35"/>
  <c r="BS35"/>
  <c r="BR35"/>
  <c r="BQ35"/>
  <c r="BP35"/>
  <c r="BO35"/>
  <c r="BN35"/>
  <c r="BM35"/>
  <c r="BL35" s="1"/>
  <c r="BK35"/>
  <c r="BJ35"/>
  <c r="BI35"/>
  <c r="BH35"/>
  <c r="BG35"/>
  <c r="BF35"/>
  <c r="BE35"/>
  <c r="BD35"/>
  <c r="BC35"/>
  <c r="BB35"/>
  <c r="BA35"/>
  <c r="AX35"/>
  <c r="AW35"/>
  <c r="AV35"/>
  <c r="AC35"/>
  <c r="H35"/>
  <c r="G35" s="1"/>
  <c r="BT34"/>
  <c r="BS34"/>
  <c r="BR34"/>
  <c r="BQ34"/>
  <c r="BP34"/>
  <c r="BO34"/>
  <c r="BN34"/>
  <c r="BM34"/>
  <c r="BL34"/>
  <c r="BK34"/>
  <c r="BJ34"/>
  <c r="BI34"/>
  <c r="BH34"/>
  <c r="BG34"/>
  <c r="BF34"/>
  <c r="BE34"/>
  <c r="BD34"/>
  <c r="BC34"/>
  <c r="BB34"/>
  <c r="BA34" s="1"/>
  <c r="AZ34"/>
  <c r="AX34"/>
  <c r="AW34"/>
  <c r="AV34"/>
  <c r="AC34"/>
  <c r="H34"/>
  <c r="G34"/>
  <c r="BT33"/>
  <c r="BS33"/>
  <c r="BR33"/>
  <c r="BQ33"/>
  <c r="BP33"/>
  <c r="BO33"/>
  <c r="BN33"/>
  <c r="BM33"/>
  <c r="BL33" s="1"/>
  <c r="BK33"/>
  <c r="BJ33"/>
  <c r="BI33"/>
  <c r="BH33"/>
  <c r="BG33"/>
  <c r="BF33"/>
  <c r="BE33"/>
  <c r="BD33"/>
  <c r="BC33"/>
  <c r="BB33"/>
  <c r="BA33"/>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Z30" s="1"/>
  <c r="AX30"/>
  <c r="AW30"/>
  <c r="AV30"/>
  <c r="AC30"/>
  <c r="H30"/>
  <c r="G30" s="1"/>
  <c r="BT29"/>
  <c r="BS29"/>
  <c r="BR29"/>
  <c r="BQ29"/>
  <c r="BP29"/>
  <c r="BO29"/>
  <c r="BN29"/>
  <c r="BM29"/>
  <c r="BL29"/>
  <c r="BK29"/>
  <c r="BJ29"/>
  <c r="BI29"/>
  <c r="BH29"/>
  <c r="BG29"/>
  <c r="BF29"/>
  <c r="BE29"/>
  <c r="BD29"/>
  <c r="BC29"/>
  <c r="BB29"/>
  <c r="BA29" s="1"/>
  <c r="AX29"/>
  <c r="AW29"/>
  <c r="AV29"/>
  <c r="AC29"/>
  <c r="H29"/>
  <c r="G29" s="1"/>
  <c r="BT28"/>
  <c r="BS28"/>
  <c r="BR28"/>
  <c r="BQ28"/>
  <c r="BP28"/>
  <c r="BO28"/>
  <c r="BN28"/>
  <c r="BM28"/>
  <c r="BL28"/>
  <c r="BK28"/>
  <c r="BJ28"/>
  <c r="BI28"/>
  <c r="BH28"/>
  <c r="BG28"/>
  <c r="BF28"/>
  <c r="BE28"/>
  <c r="BD28"/>
  <c r="BC28"/>
  <c r="BB28"/>
  <c r="BA28" s="1"/>
  <c r="AX28"/>
  <c r="AW28"/>
  <c r="AV28"/>
  <c r="AC28"/>
  <c r="H28"/>
  <c r="G28" s="1"/>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c r="AX26"/>
  <c r="AW26"/>
  <c r="AV26"/>
  <c r="AC26"/>
  <c r="H26"/>
  <c r="G26" s="1"/>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c r="AZ23" s="1"/>
  <c r="AX23"/>
  <c r="AW23"/>
  <c r="AV23"/>
  <c r="AC23"/>
  <c r="H23"/>
  <c r="G23" s="1"/>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c r="AX21"/>
  <c r="AW21"/>
  <c r="AV21"/>
  <c r="AC21"/>
  <c r="H21"/>
  <c r="G21"/>
  <c r="BT20"/>
  <c r="BS20"/>
  <c r="BR20"/>
  <c r="BQ20"/>
  <c r="BP20"/>
  <c r="BO20"/>
  <c r="BN20"/>
  <c r="BM20"/>
  <c r="BL20" s="1"/>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c r="AX19"/>
  <c r="AW19"/>
  <c r="AV19"/>
  <c r="AC19"/>
  <c r="H19"/>
  <c r="G19" s="1"/>
  <c r="BT18"/>
  <c r="BS18"/>
  <c r="BR18"/>
  <c r="BQ18"/>
  <c r="BP18"/>
  <c r="BO18"/>
  <c r="BN18"/>
  <c r="BM18"/>
  <c r="BL18"/>
  <c r="BK18"/>
  <c r="BJ18"/>
  <c r="BI18"/>
  <c r="BH18"/>
  <c r="BG18"/>
  <c r="BF18"/>
  <c r="BE18"/>
  <c r="BD18"/>
  <c r="BC18"/>
  <c r="BB18"/>
  <c r="BA18" s="1"/>
  <c r="AZ18" s="1"/>
  <c r="AX18"/>
  <c r="AW18"/>
  <c r="AV18"/>
  <c r="AC18"/>
  <c r="H18"/>
  <c r="G18"/>
  <c r="BT207"/>
  <c r="BS207"/>
  <c r="BR207"/>
  <c r="BQ207"/>
  <c r="BP207"/>
  <c r="BO207"/>
  <c r="BN207"/>
  <c r="BM207"/>
  <c r="BL207" s="1"/>
  <c r="BK207"/>
  <c r="BJ207"/>
  <c r="BI207"/>
  <c r="BH207"/>
  <c r="BG207"/>
  <c r="BF207"/>
  <c r="BE207"/>
  <c r="BD207"/>
  <c r="BC207"/>
  <c r="BB207"/>
  <c r="BA207"/>
  <c r="AZ207" s="1"/>
  <c r="AX207"/>
  <c r="AW207"/>
  <c r="AV207"/>
  <c r="AC207"/>
  <c r="H207"/>
  <c r="G207" s="1"/>
  <c r="BT206"/>
  <c r="BS206"/>
  <c r="BR206"/>
  <c r="BQ206"/>
  <c r="BP206"/>
  <c r="BO206"/>
  <c r="BN206"/>
  <c r="BM206"/>
  <c r="BL206"/>
  <c r="BK206"/>
  <c r="BJ206"/>
  <c r="BI206"/>
  <c r="BH206"/>
  <c r="BG206"/>
  <c r="BF206"/>
  <c r="BE206"/>
  <c r="BD206"/>
  <c r="BC206"/>
  <c r="BB206"/>
  <c r="BA206" s="1"/>
  <c r="AX206"/>
  <c r="AW206"/>
  <c r="AV206"/>
  <c r="AC206"/>
  <c r="H206"/>
  <c r="G206" s="1"/>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c r="AZ201" s="1"/>
  <c r="AX201"/>
  <c r="AW201"/>
  <c r="AV201"/>
  <c r="AC201"/>
  <c r="H201"/>
  <c r="BT200"/>
  <c r="BS200"/>
  <c r="BR200"/>
  <c r="BQ200"/>
  <c r="BP200"/>
  <c r="BO200"/>
  <c r="BN200"/>
  <c r="BM200"/>
  <c r="BK200"/>
  <c r="BJ200"/>
  <c r="BI200"/>
  <c r="BH200"/>
  <c r="BG200"/>
  <c r="BF200"/>
  <c r="BE200"/>
  <c r="BD200"/>
  <c r="BC200"/>
  <c r="BB200"/>
  <c r="BA200" s="1"/>
  <c r="AX200"/>
  <c r="AW200"/>
  <c r="AV200"/>
  <c r="AC200"/>
  <c r="H200"/>
  <c r="G200" s="1"/>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s="1"/>
  <c r="AX196"/>
  <c r="AW196"/>
  <c r="AV196"/>
  <c r="AC196"/>
  <c r="H196"/>
  <c r="G196" s="1"/>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G194"/>
  <c r="BT193"/>
  <c r="BS193"/>
  <c r="BR193"/>
  <c r="BQ193"/>
  <c r="BP193"/>
  <c r="BO193"/>
  <c r="BN193"/>
  <c r="BM193"/>
  <c r="BL193" s="1"/>
  <c r="BK193"/>
  <c r="BJ193"/>
  <c r="BI193"/>
  <c r="BH193"/>
  <c r="BG193"/>
  <c r="BF193"/>
  <c r="BE193"/>
  <c r="BD193"/>
  <c r="BC193"/>
  <c r="BB193"/>
  <c r="BA193"/>
  <c r="AZ193" s="1"/>
  <c r="AX193"/>
  <c r="AW193"/>
  <c r="AV193"/>
  <c r="AC193"/>
  <c r="H193"/>
  <c r="BT192"/>
  <c r="BS192"/>
  <c r="BR192"/>
  <c r="BQ192"/>
  <c r="BP192"/>
  <c r="BO192"/>
  <c r="BN192"/>
  <c r="BM192"/>
  <c r="BK192"/>
  <c r="BJ192"/>
  <c r="BI192"/>
  <c r="BH192"/>
  <c r="BG192"/>
  <c r="BF192"/>
  <c r="BE192"/>
  <c r="BD192"/>
  <c r="BC192"/>
  <c r="BB192"/>
  <c r="BA192" s="1"/>
  <c r="AX192"/>
  <c r="AW192"/>
  <c r="AV192"/>
  <c r="AC192"/>
  <c r="H192"/>
  <c r="G192" s="1"/>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c r="AX190"/>
  <c r="AW190"/>
  <c r="AV190"/>
  <c r="AC190"/>
  <c r="H190"/>
  <c r="G190"/>
  <c r="BT189"/>
  <c r="BS189"/>
  <c r="BR189"/>
  <c r="BQ189"/>
  <c r="BP189"/>
  <c r="BO189"/>
  <c r="BN189"/>
  <c r="BM189"/>
  <c r="BL189" s="1"/>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s="1"/>
  <c r="AX188"/>
  <c r="AW188"/>
  <c r="AV188"/>
  <c r="AC188"/>
  <c r="H188"/>
  <c r="G188" s="1"/>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c r="AZ185" s="1"/>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s="1"/>
  <c r="AX180"/>
  <c r="AW180"/>
  <c r="AV180"/>
  <c r="AC180"/>
  <c r="H180"/>
  <c r="G180" s="1"/>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s="1"/>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c r="AZ177" s="1"/>
  <c r="AX177"/>
  <c r="AW177"/>
  <c r="AV177"/>
  <c r="AC177"/>
  <c r="H177"/>
  <c r="BT176"/>
  <c r="BS176"/>
  <c r="BR176"/>
  <c r="BQ176"/>
  <c r="BP176"/>
  <c r="BO176"/>
  <c r="BN176"/>
  <c r="BM176"/>
  <c r="BK176"/>
  <c r="BJ176"/>
  <c r="BI176"/>
  <c r="BH176"/>
  <c r="BG176"/>
  <c r="BF176"/>
  <c r="BE176"/>
  <c r="BD176"/>
  <c r="BC176"/>
  <c r="BB176"/>
  <c r="BA176" s="1"/>
  <c r="AX176"/>
  <c r="AW176"/>
  <c r="AV176"/>
  <c r="AC176"/>
  <c r="H176"/>
  <c r="G176" s="1"/>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s="1"/>
  <c r="AX172"/>
  <c r="AW172"/>
  <c r="AV172"/>
  <c r="AC172"/>
  <c r="H172"/>
  <c r="G172" s="1"/>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c r="AZ169" s="1"/>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s="1"/>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c r="AZ161" s="1"/>
  <c r="AX161"/>
  <c r="AW161"/>
  <c r="AV161"/>
  <c r="AC161"/>
  <c r="H161"/>
  <c r="BT160"/>
  <c r="BS160"/>
  <c r="BR160"/>
  <c r="BQ160"/>
  <c r="BP160"/>
  <c r="BO160"/>
  <c r="BN160"/>
  <c r="BM160"/>
  <c r="BK160"/>
  <c r="BJ160"/>
  <c r="BI160"/>
  <c r="BH160"/>
  <c r="BG160"/>
  <c r="BF160"/>
  <c r="BE160"/>
  <c r="BD160"/>
  <c r="BC160"/>
  <c r="BB160"/>
  <c r="BA160" s="1"/>
  <c r="AX160"/>
  <c r="AW160"/>
  <c r="AV160"/>
  <c r="AC160"/>
  <c r="H160"/>
  <c r="G160" s="1"/>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c r="AZ153" s="1"/>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s="1"/>
  <c r="AX148"/>
  <c r="AW148"/>
  <c r="AV148"/>
  <c r="AC148"/>
  <c r="H148"/>
  <c r="G148" s="1"/>
  <c r="BT147"/>
  <c r="BS147"/>
  <c r="BR147"/>
  <c r="BQ147"/>
  <c r="BP147"/>
  <c r="BO147"/>
  <c r="BN147"/>
  <c r="BM147"/>
  <c r="BL147"/>
  <c r="BK147"/>
  <c r="BJ147"/>
  <c r="BI147"/>
  <c r="BH147"/>
  <c r="BG147"/>
  <c r="BF147"/>
  <c r="BE147"/>
  <c r="BD147"/>
  <c r="BC147"/>
  <c r="BB147"/>
  <c r="AX147"/>
  <c r="AW147"/>
  <c r="AV147"/>
  <c r="AC147"/>
  <c r="H147"/>
  <c r="G147" s="1"/>
  <c r="BT146"/>
  <c r="BS146"/>
  <c r="BR146"/>
  <c r="BQ146"/>
  <c r="BP146"/>
  <c r="BO146"/>
  <c r="BN146"/>
  <c r="BM146"/>
  <c r="BL146"/>
  <c r="BK146"/>
  <c r="BJ146"/>
  <c r="BI146"/>
  <c r="BH146"/>
  <c r="BG146"/>
  <c r="BF146"/>
  <c r="BE146"/>
  <c r="BD146"/>
  <c r="BC146"/>
  <c r="BB146"/>
  <c r="BA146" s="1"/>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c r="BK142"/>
  <c r="BJ142"/>
  <c r="BI142"/>
  <c r="BH142"/>
  <c r="BG142"/>
  <c r="BF142"/>
  <c r="BE142"/>
  <c r="BD142"/>
  <c r="BC142"/>
  <c r="BB142"/>
  <c r="BA142" s="1"/>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G139" s="1"/>
  <c r="BT138"/>
  <c r="BS138"/>
  <c r="BR138"/>
  <c r="BQ138"/>
  <c r="BP138"/>
  <c r="BO138"/>
  <c r="BN138"/>
  <c r="BM138"/>
  <c r="BL138"/>
  <c r="BK138"/>
  <c r="BJ138"/>
  <c r="BI138"/>
  <c r="BH138"/>
  <c r="BG138"/>
  <c r="BF138"/>
  <c r="BE138"/>
  <c r="BD138"/>
  <c r="BC138"/>
  <c r="BB138"/>
  <c r="BA138" s="1"/>
  <c r="AX138"/>
  <c r="AW138"/>
  <c r="AV138"/>
  <c r="AC138"/>
  <c r="H138"/>
  <c r="G138" s="1"/>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G135" s="1"/>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G131" s="1"/>
  <c r="BT130"/>
  <c r="BS130"/>
  <c r="BR130"/>
  <c r="BQ130"/>
  <c r="BP130"/>
  <c r="BO130"/>
  <c r="BN130"/>
  <c r="BM130"/>
  <c r="BL130"/>
  <c r="BK130"/>
  <c r="BJ130"/>
  <c r="BI130"/>
  <c r="BH130"/>
  <c r="BG130"/>
  <c r="BF130"/>
  <c r="BE130"/>
  <c r="BD130"/>
  <c r="BC130"/>
  <c r="BB130"/>
  <c r="BA130" s="1"/>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c r="AZ125" s="1"/>
  <c r="AX125"/>
  <c r="AW125"/>
  <c r="AV125"/>
  <c r="AC125"/>
  <c r="H125"/>
  <c r="BT124"/>
  <c r="BS124"/>
  <c r="BR124"/>
  <c r="BQ124"/>
  <c r="BP124"/>
  <c r="BO124"/>
  <c r="BN124"/>
  <c r="BM124"/>
  <c r="BK124"/>
  <c r="BJ124"/>
  <c r="BI124"/>
  <c r="BH124"/>
  <c r="BG124"/>
  <c r="BF124"/>
  <c r="BE124"/>
  <c r="BD124"/>
  <c r="BC124"/>
  <c r="BB124"/>
  <c r="BA124" s="1"/>
  <c r="AX124"/>
  <c r="AW124"/>
  <c r="AV124"/>
  <c r="AC124"/>
  <c r="H124"/>
  <c r="G124" s="1"/>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c r="AZ122" s="1"/>
  <c r="AX122"/>
  <c r="AW122"/>
  <c r="AV122"/>
  <c r="AC122"/>
  <c r="H122"/>
  <c r="G122" s="1"/>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G119" s="1"/>
  <c r="BT118"/>
  <c r="BS118"/>
  <c r="BR118"/>
  <c r="BQ118"/>
  <c r="BP118"/>
  <c r="BO118"/>
  <c r="BN118"/>
  <c r="BM118"/>
  <c r="BL118"/>
  <c r="BK118"/>
  <c r="BJ118"/>
  <c r="BI118"/>
  <c r="BH118"/>
  <c r="BG118"/>
  <c r="BF118"/>
  <c r="BE118"/>
  <c r="BD118"/>
  <c r="BC118"/>
  <c r="BB118"/>
  <c r="BA118" s="1"/>
  <c r="AZ118" s="1"/>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G115" s="1"/>
  <c r="BT114"/>
  <c r="BS114"/>
  <c r="BR114"/>
  <c r="BQ114"/>
  <c r="BP114"/>
  <c r="BO114"/>
  <c r="BN114"/>
  <c r="BM114"/>
  <c r="BL114"/>
  <c r="BK114"/>
  <c r="BJ114"/>
  <c r="BI114"/>
  <c r="BH114"/>
  <c r="BG114"/>
  <c r="BF114"/>
  <c r="BE114"/>
  <c r="BD114"/>
  <c r="BC114"/>
  <c r="BB114"/>
  <c r="BA114" s="1"/>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G302" s="1"/>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c r="AZ300" s="1"/>
  <c r="AX300"/>
  <c r="AW300"/>
  <c r="AV300"/>
  <c r="AC300"/>
  <c r="H300"/>
  <c r="G300" s="1"/>
  <c r="BT299"/>
  <c r="BS299"/>
  <c r="BR299"/>
  <c r="BQ299"/>
  <c r="BP299"/>
  <c r="BO299"/>
  <c r="BN299"/>
  <c r="BM299"/>
  <c r="BL299"/>
  <c r="BK299"/>
  <c r="BJ299"/>
  <c r="BI299"/>
  <c r="BH299"/>
  <c r="BG299"/>
  <c r="BF299"/>
  <c r="BE299"/>
  <c r="BD299"/>
  <c r="BC299"/>
  <c r="BB299"/>
  <c r="BA299" s="1"/>
  <c r="AX299"/>
  <c r="AW299"/>
  <c r="AV299"/>
  <c r="AC299"/>
  <c r="H299"/>
  <c r="G299" s="1"/>
  <c r="BT298"/>
  <c r="BS298"/>
  <c r="BR298"/>
  <c r="BQ298"/>
  <c r="BP298"/>
  <c r="BO298"/>
  <c r="BN298"/>
  <c r="BM298"/>
  <c r="BL298"/>
  <c r="BK298"/>
  <c r="BJ298"/>
  <c r="BI298"/>
  <c r="BH298"/>
  <c r="BG298"/>
  <c r="BF298"/>
  <c r="BE298"/>
  <c r="BD298"/>
  <c r="BC298"/>
  <c r="BB298"/>
  <c r="BA298" s="1"/>
  <c r="AZ298" s="1"/>
  <c r="AX298"/>
  <c r="AW298"/>
  <c r="AV298"/>
  <c r="AC298"/>
  <c r="H298"/>
  <c r="G298"/>
  <c r="BT297"/>
  <c r="BS297"/>
  <c r="BR297"/>
  <c r="BQ297"/>
  <c r="BP297"/>
  <c r="BO297"/>
  <c r="BN297"/>
  <c r="BM297"/>
  <c r="BL297" s="1"/>
  <c r="BK297"/>
  <c r="BJ297"/>
  <c r="BI297"/>
  <c r="BH297"/>
  <c r="BG297"/>
  <c r="BF297"/>
  <c r="BE297"/>
  <c r="BD297"/>
  <c r="BC297"/>
  <c r="BB297"/>
  <c r="BA297"/>
  <c r="AX297"/>
  <c r="AW297"/>
  <c r="AV297"/>
  <c r="AC297"/>
  <c r="H297"/>
  <c r="G297" s="1"/>
  <c r="BT296"/>
  <c r="BS296"/>
  <c r="BR296"/>
  <c r="BQ296"/>
  <c r="BP296"/>
  <c r="BO296"/>
  <c r="BN296"/>
  <c r="BM296"/>
  <c r="BL296"/>
  <c r="BK296"/>
  <c r="BJ296"/>
  <c r="BI296"/>
  <c r="BH296"/>
  <c r="BG296"/>
  <c r="BF296"/>
  <c r="BE296"/>
  <c r="BD296"/>
  <c r="BC296"/>
  <c r="BB296"/>
  <c r="BA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s="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c r="AZ290" s="1"/>
  <c r="AX290"/>
  <c r="AW290"/>
  <c r="AV290"/>
  <c r="AC290"/>
  <c r="H290"/>
  <c r="G290" s="1"/>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c r="AZ284" s="1"/>
  <c r="AX284"/>
  <c r="AW284"/>
  <c r="AV284"/>
  <c r="AC284"/>
  <c r="H284"/>
  <c r="G284" s="1"/>
  <c r="BT283"/>
  <c r="BS283"/>
  <c r="BR283"/>
  <c r="BQ283"/>
  <c r="BP283"/>
  <c r="BO283"/>
  <c r="BN283"/>
  <c r="BM283"/>
  <c r="BL283"/>
  <c r="BK283"/>
  <c r="BJ283"/>
  <c r="BI283"/>
  <c r="BH283"/>
  <c r="BG283"/>
  <c r="BF283"/>
  <c r="BE283"/>
  <c r="BD283"/>
  <c r="BC283"/>
  <c r="BB283"/>
  <c r="BA283" s="1"/>
  <c r="AX283"/>
  <c r="AW283"/>
  <c r="AV283"/>
  <c r="AC283"/>
  <c r="H283"/>
  <c r="G283" s="1"/>
  <c r="BT282"/>
  <c r="BS282"/>
  <c r="BR282"/>
  <c r="BQ282"/>
  <c r="BP282"/>
  <c r="BO282"/>
  <c r="BN282"/>
  <c r="BM282"/>
  <c r="BL282"/>
  <c r="BK282"/>
  <c r="BJ282"/>
  <c r="BI282"/>
  <c r="BH282"/>
  <c r="BG282"/>
  <c r="BF282"/>
  <c r="BE282"/>
  <c r="BD282"/>
  <c r="BC282"/>
  <c r="BB282"/>
  <c r="BA282" s="1"/>
  <c r="AZ282" s="1"/>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s="1"/>
  <c r="BT280"/>
  <c r="BS280"/>
  <c r="BR280"/>
  <c r="BQ280"/>
  <c r="BP280"/>
  <c r="BO280"/>
  <c r="BN280"/>
  <c r="BM280"/>
  <c r="BL280"/>
  <c r="BK280"/>
  <c r="BJ280"/>
  <c r="BI280"/>
  <c r="BH280"/>
  <c r="BG280"/>
  <c r="BF280"/>
  <c r="BE280"/>
  <c r="BD280"/>
  <c r="BC280"/>
  <c r="BB280"/>
  <c r="BA280" s="1"/>
  <c r="AX280"/>
  <c r="AW280"/>
  <c r="AV280"/>
  <c r="AC280"/>
  <c r="H280"/>
  <c r="G280" s="1"/>
  <c r="BT279"/>
  <c r="BS279"/>
  <c r="BR279"/>
  <c r="BQ279"/>
  <c r="BP279"/>
  <c r="BO279"/>
  <c r="BN279"/>
  <c r="BM279"/>
  <c r="BL279"/>
  <c r="BK279"/>
  <c r="BJ279"/>
  <c r="BI279"/>
  <c r="BH279"/>
  <c r="BG279"/>
  <c r="BF279"/>
  <c r="BE279"/>
  <c r="BD279"/>
  <c r="BC279"/>
  <c r="BB279"/>
  <c r="BA279" s="1"/>
  <c r="AX279"/>
  <c r="AW279"/>
  <c r="AV279"/>
  <c r="AC279"/>
  <c r="H279"/>
  <c r="G279" s="1"/>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c r="AZ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c r="AZ270" s="1"/>
  <c r="AX270"/>
  <c r="AW270"/>
  <c r="AV270"/>
  <c r="AC270"/>
  <c r="H270"/>
  <c r="G270" s="1"/>
  <c r="BT269"/>
  <c r="BS269"/>
  <c r="BR269"/>
  <c r="BQ269"/>
  <c r="BP269"/>
  <c r="BO269"/>
  <c r="BN269"/>
  <c r="BM269"/>
  <c r="BL269"/>
  <c r="BK269"/>
  <c r="BJ269"/>
  <c r="BI269"/>
  <c r="BH269"/>
  <c r="BG269"/>
  <c r="BF269"/>
  <c r="BE269"/>
  <c r="BD269"/>
  <c r="BC269"/>
  <c r="BB269"/>
  <c r="BA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s="1"/>
  <c r="BK259"/>
  <c r="BJ259"/>
  <c r="BI259"/>
  <c r="BH259"/>
  <c r="BG259"/>
  <c r="BF259"/>
  <c r="BE259"/>
  <c r="BD259"/>
  <c r="BC259"/>
  <c r="BB259"/>
  <c r="BA259"/>
  <c r="AX259"/>
  <c r="AW259"/>
  <c r="AV259"/>
  <c r="AC259"/>
  <c r="H259"/>
  <c r="G259"/>
  <c r="BT258"/>
  <c r="BS258"/>
  <c r="BR258"/>
  <c r="BQ258"/>
  <c r="BP258"/>
  <c r="BO258"/>
  <c r="BN258"/>
  <c r="BM258"/>
  <c r="BL258" s="1"/>
  <c r="BK258"/>
  <c r="BJ258"/>
  <c r="BI258"/>
  <c r="BH258"/>
  <c r="BG258"/>
  <c r="BF258"/>
  <c r="BE258"/>
  <c r="BD258"/>
  <c r="BC258"/>
  <c r="BB258"/>
  <c r="BA258"/>
  <c r="AZ258" s="1"/>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X256"/>
  <c r="AW256"/>
  <c r="AV256"/>
  <c r="AC256"/>
  <c r="H256"/>
  <c r="G256" s="1"/>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Z252" s="1"/>
  <c r="AX252"/>
  <c r="AW252"/>
  <c r="AV252"/>
  <c r="AC252"/>
  <c r="H252"/>
  <c r="G252"/>
  <c r="BT251"/>
  <c r="BS251"/>
  <c r="BR251"/>
  <c r="BQ251"/>
  <c r="BP251"/>
  <c r="BO251"/>
  <c r="BN251"/>
  <c r="BM251"/>
  <c r="BL251" s="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X248"/>
  <c r="AW248"/>
  <c r="AV248"/>
  <c r="AC248"/>
  <c r="H248"/>
  <c r="G248" s="1"/>
  <c r="BT247"/>
  <c r="BS247"/>
  <c r="BR247"/>
  <c r="BQ247"/>
  <c r="BP247"/>
  <c r="BO247"/>
  <c r="BN247"/>
  <c r="BM247"/>
  <c r="BL247"/>
  <c r="BK247"/>
  <c r="BJ247"/>
  <c r="BI247"/>
  <c r="BH247"/>
  <c r="BG247"/>
  <c r="BF247"/>
  <c r="BE247"/>
  <c r="BD247"/>
  <c r="BC247"/>
  <c r="BB247"/>
  <c r="BA247" s="1"/>
  <c r="AZ247" s="1"/>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Z244" s="1"/>
  <c r="AX244"/>
  <c r="AW244"/>
  <c r="AV244"/>
  <c r="AC244"/>
  <c r="H244"/>
  <c r="G244"/>
  <c r="BT243"/>
  <c r="BS243"/>
  <c r="BR243"/>
  <c r="BQ243"/>
  <c r="BP243"/>
  <c r="BO243"/>
  <c r="BN243"/>
  <c r="BM243"/>
  <c r="BL243" s="1"/>
  <c r="BK243"/>
  <c r="BJ243"/>
  <c r="BI243"/>
  <c r="BH243"/>
  <c r="BG243"/>
  <c r="BF243"/>
  <c r="BE243"/>
  <c r="BD243"/>
  <c r="BC243"/>
  <c r="BB243"/>
  <c r="BA243"/>
  <c r="AX243"/>
  <c r="AW243"/>
  <c r="AV243"/>
  <c r="AC243"/>
  <c r="H243"/>
  <c r="G243"/>
  <c r="BT242"/>
  <c r="BS242"/>
  <c r="BR242"/>
  <c r="BQ242"/>
  <c r="BP242"/>
  <c r="BO242"/>
  <c r="BN242"/>
  <c r="BM242"/>
  <c r="BL242" s="1"/>
  <c r="BK242"/>
  <c r="BJ242"/>
  <c r="BI242"/>
  <c r="BH242"/>
  <c r="BG242"/>
  <c r="BF242"/>
  <c r="BE242"/>
  <c r="BD242"/>
  <c r="BC242"/>
  <c r="BB242"/>
  <c r="BA242"/>
  <c r="AZ242" s="1"/>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X240"/>
  <c r="AW240"/>
  <c r="AV240"/>
  <c r="AC240"/>
  <c r="H240"/>
  <c r="G240" s="1"/>
  <c r="BT239"/>
  <c r="BS239"/>
  <c r="BR239"/>
  <c r="BQ239"/>
  <c r="BP239"/>
  <c r="BO239"/>
  <c r="BN239"/>
  <c r="BM239"/>
  <c r="BL239"/>
  <c r="BK239"/>
  <c r="BJ239"/>
  <c r="BI239"/>
  <c r="BH239"/>
  <c r="BG239"/>
  <c r="BF239"/>
  <c r="BE239"/>
  <c r="BD239"/>
  <c r="BC239"/>
  <c r="BB239"/>
  <c r="BA239" s="1"/>
  <c r="AZ239" s="1"/>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X232"/>
  <c r="AW232"/>
  <c r="AV232"/>
  <c r="AC232"/>
  <c r="H232"/>
  <c r="G232" s="1"/>
  <c r="BT231"/>
  <c r="BS231"/>
  <c r="BR231"/>
  <c r="BQ231"/>
  <c r="BP231"/>
  <c r="BO231"/>
  <c r="BN231"/>
  <c r="BM231"/>
  <c r="BL231"/>
  <c r="BK231"/>
  <c r="BJ231"/>
  <c r="BI231"/>
  <c r="BH231"/>
  <c r="BG231"/>
  <c r="BF231"/>
  <c r="BE231"/>
  <c r="BD231"/>
  <c r="BC231"/>
  <c r="BB231"/>
  <c r="BA231" s="1"/>
  <c r="AZ231" s="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c r="AX227"/>
  <c r="AW227"/>
  <c r="AV227"/>
  <c r="AC227"/>
  <c r="H227"/>
  <c r="G227"/>
  <c r="BT226"/>
  <c r="BS226"/>
  <c r="BR226"/>
  <c r="BQ226"/>
  <c r="BP226"/>
  <c r="BO226"/>
  <c r="BN226"/>
  <c r="BM226"/>
  <c r="BL226" s="1"/>
  <c r="BK226"/>
  <c r="BJ226"/>
  <c r="BI226"/>
  <c r="BH226"/>
  <c r="BG226"/>
  <c r="BF226"/>
  <c r="BE226"/>
  <c r="BD226"/>
  <c r="BC226"/>
  <c r="BB226"/>
  <c r="BA226"/>
  <c r="AZ226" s="1"/>
  <c r="AX226"/>
  <c r="AW226"/>
  <c r="AV226"/>
  <c r="AC226"/>
  <c r="H226"/>
  <c r="G226" s="1"/>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X222"/>
  <c r="AW222"/>
  <c r="AV222"/>
  <c r="AC222"/>
  <c r="H222"/>
  <c r="G222" s="1"/>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c r="AZ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c r="BT217"/>
  <c r="BS217"/>
  <c r="BR217"/>
  <c r="BQ217"/>
  <c r="BP217"/>
  <c r="BO217"/>
  <c r="BN217"/>
  <c r="BM217"/>
  <c r="BL217" s="1"/>
  <c r="BK217"/>
  <c r="BJ217"/>
  <c r="BI217"/>
  <c r="BH217"/>
  <c r="BG217"/>
  <c r="BF217"/>
  <c r="BE217"/>
  <c r="BD217"/>
  <c r="BC217"/>
  <c r="BB217"/>
  <c r="BA217"/>
  <c r="AZ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s="1"/>
  <c r="BT212"/>
  <c r="BS212"/>
  <c r="BR212"/>
  <c r="BQ212"/>
  <c r="BP212"/>
  <c r="BO212"/>
  <c r="BN212"/>
  <c r="BM212"/>
  <c r="BL212"/>
  <c r="BK212"/>
  <c r="BJ212"/>
  <c r="BI212"/>
  <c r="BH212"/>
  <c r="BG212"/>
  <c r="BF212"/>
  <c r="BE212"/>
  <c r="BD212"/>
  <c r="BC212"/>
  <c r="BB212"/>
  <c r="BA212" s="1"/>
  <c r="AZ212" s="1"/>
  <c r="AX212"/>
  <c r="AW212"/>
  <c r="AV212"/>
  <c r="AC212"/>
  <c r="H212"/>
  <c r="G212"/>
  <c r="BT211"/>
  <c r="BS211"/>
  <c r="BR211"/>
  <c r="BQ211"/>
  <c r="BP211"/>
  <c r="BO211"/>
  <c r="BN211"/>
  <c r="BM211"/>
  <c r="BL211" s="1"/>
  <c r="BK211"/>
  <c r="BJ211"/>
  <c r="BI211"/>
  <c r="BH211"/>
  <c r="BG211"/>
  <c r="BF211"/>
  <c r="BE211"/>
  <c r="BD211"/>
  <c r="BC211"/>
  <c r="BB211"/>
  <c r="BA211"/>
  <c r="AZ211" s="1"/>
  <c r="AX211"/>
  <c r="AW211"/>
  <c r="AV211"/>
  <c r="AC211"/>
  <c r="H211"/>
  <c r="G211" s="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c r="AZ208" s="1"/>
  <c r="AX208"/>
  <c r="AW208"/>
  <c r="AV208"/>
  <c r="AC208"/>
  <c r="H208"/>
  <c r="G20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c r="AZ395" s="1"/>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c r="BK368"/>
  <c r="BJ368"/>
  <c r="BI368"/>
  <c r="BH368"/>
  <c r="BG368"/>
  <c r="BF368"/>
  <c r="BE368"/>
  <c r="BD368"/>
  <c r="BC368"/>
  <c r="BB368"/>
  <c r="BA368" s="1"/>
  <c r="AX368"/>
  <c r="AW368"/>
  <c r="AV368"/>
  <c r="AC368"/>
  <c r="H368"/>
  <c r="BT367"/>
  <c r="BS367"/>
  <c r="BR367"/>
  <c r="BQ367"/>
  <c r="BP367"/>
  <c r="BO367"/>
  <c r="BN367"/>
  <c r="BM367"/>
  <c r="BL367" s="1"/>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L353" s="1"/>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L332" s="1"/>
  <c r="BK332"/>
  <c r="BJ332"/>
  <c r="BI332"/>
  <c r="BH332"/>
  <c r="BG332"/>
  <c r="BF332"/>
  <c r="BE332"/>
  <c r="BD332"/>
  <c r="BC332"/>
  <c r="BB332"/>
  <c r="BA332"/>
  <c r="AZ332" s="1"/>
  <c r="AX332"/>
  <c r="AW332"/>
  <c r="AV332"/>
  <c r="AC332"/>
  <c r="H332"/>
  <c r="BT331"/>
  <c r="BS331"/>
  <c r="BR331"/>
  <c r="BQ331"/>
  <c r="BP331"/>
  <c r="BO331"/>
  <c r="BN331"/>
  <c r="BM331"/>
  <c r="BK331"/>
  <c r="BJ331"/>
  <c r="BI331"/>
  <c r="BH331"/>
  <c r="BG331"/>
  <c r="BF331"/>
  <c r="BE331"/>
  <c r="BD331"/>
  <c r="BC331"/>
  <c r="BB331"/>
  <c r="BA331" s="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L316" s="1"/>
  <c r="BK316"/>
  <c r="BJ316"/>
  <c r="BI316"/>
  <c r="BH316"/>
  <c r="BG316"/>
  <c r="BF316"/>
  <c r="BE316"/>
  <c r="BD316"/>
  <c r="BC316"/>
  <c r="BB316"/>
  <c r="BA316"/>
  <c r="AZ316" s="1"/>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s="1"/>
  <c r="AZ492" s="1"/>
  <c r="AX492"/>
  <c r="AW492"/>
  <c r="AV492"/>
  <c r="AC492"/>
  <c r="H492"/>
  <c r="G492"/>
  <c r="BT491"/>
  <c r="BS491"/>
  <c r="BR491"/>
  <c r="BQ491"/>
  <c r="BP491"/>
  <c r="BO491"/>
  <c r="BN491"/>
  <c r="BM491"/>
  <c r="BL491" s="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c r="AX490"/>
  <c r="AW490"/>
  <c r="AV490"/>
  <c r="AC490"/>
  <c r="H490"/>
  <c r="G490" s="1"/>
  <c r="BT489"/>
  <c r="BS489"/>
  <c r="BR489"/>
  <c r="BQ489"/>
  <c r="BP489"/>
  <c r="BO489"/>
  <c r="BN489"/>
  <c r="BM489"/>
  <c r="BL489"/>
  <c r="BK489"/>
  <c r="BJ489"/>
  <c r="BI489"/>
  <c r="BH489"/>
  <c r="BG489"/>
  <c r="BF489"/>
  <c r="BE489"/>
  <c r="BD489"/>
  <c r="BC489"/>
  <c r="BB489"/>
  <c r="BA489" s="1"/>
  <c r="AZ489" s="1"/>
  <c r="AX489"/>
  <c r="AW489"/>
  <c r="AV489"/>
  <c r="AC489"/>
  <c r="H489"/>
  <c r="G489" s="1"/>
  <c r="BT488"/>
  <c r="BS488"/>
  <c r="BR488"/>
  <c r="BQ488"/>
  <c r="BP488"/>
  <c r="BO488"/>
  <c r="BN488"/>
  <c r="BM488"/>
  <c r="BL488"/>
  <c r="BK488"/>
  <c r="BJ488"/>
  <c r="BI488"/>
  <c r="BH488"/>
  <c r="BG488"/>
  <c r="BF488"/>
  <c r="BE488"/>
  <c r="BD488"/>
  <c r="BC488"/>
  <c r="BB488"/>
  <c r="BA488" s="1"/>
  <c r="AZ488" s="1"/>
  <c r="AX488"/>
  <c r="AW488"/>
  <c r="AV488"/>
  <c r="AC488"/>
  <c r="H488"/>
  <c r="G488"/>
  <c r="BT487"/>
  <c r="BS487"/>
  <c r="BR487"/>
  <c r="BQ487"/>
  <c r="BP487"/>
  <c r="BO487"/>
  <c r="BN487"/>
  <c r="BM487"/>
  <c r="BL487" s="1"/>
  <c r="AZ487" s="1"/>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c r="AZ486" s="1"/>
  <c r="AX486"/>
  <c r="AW486"/>
  <c r="AV486"/>
  <c r="AC486"/>
  <c r="H486"/>
  <c r="G486" s="1"/>
  <c r="BT485"/>
  <c r="BS485"/>
  <c r="BR485"/>
  <c r="BQ485"/>
  <c r="BP485"/>
  <c r="BO485"/>
  <c r="BN485"/>
  <c r="BM485"/>
  <c r="BL485"/>
  <c r="BK485"/>
  <c r="BJ485"/>
  <c r="BI485"/>
  <c r="BH485"/>
  <c r="BG485"/>
  <c r="BF485"/>
  <c r="BE485"/>
  <c r="BD485"/>
  <c r="BC485"/>
  <c r="BB485"/>
  <c r="BA485" s="1"/>
  <c r="AZ485" s="1"/>
  <c r="AX485"/>
  <c r="AW485"/>
  <c r="AV485"/>
  <c r="AC485"/>
  <c r="H485"/>
  <c r="G485" s="1"/>
  <c r="BT484"/>
  <c r="BS484"/>
  <c r="BR484"/>
  <c r="BQ484"/>
  <c r="BP484"/>
  <c r="BO484"/>
  <c r="BN484"/>
  <c r="BM484"/>
  <c r="BL484"/>
  <c r="BK484"/>
  <c r="BJ484"/>
  <c r="BI484"/>
  <c r="BH484"/>
  <c r="BG484"/>
  <c r="BF484"/>
  <c r="BE484"/>
  <c r="BD484"/>
  <c r="BC484"/>
  <c r="BB484"/>
  <c r="BA484" s="1"/>
  <c r="AZ484" s="1"/>
  <c r="AX484"/>
  <c r="AW484"/>
  <c r="AV484"/>
  <c r="AC484"/>
  <c r="H484"/>
  <c r="G484"/>
  <c r="BT483"/>
  <c r="BS483"/>
  <c r="BR483"/>
  <c r="BQ483"/>
  <c r="BP483"/>
  <c r="BO483"/>
  <c r="BN483"/>
  <c r="BM483"/>
  <c r="BL483"/>
  <c r="BK483"/>
  <c r="BJ483"/>
  <c r="BI483"/>
  <c r="BH483"/>
  <c r="BG483"/>
  <c r="BF483"/>
  <c r="BE483"/>
  <c r="BD483"/>
  <c r="BC483"/>
  <c r="BB483"/>
  <c r="BA483" s="1"/>
  <c r="AZ483" s="1"/>
  <c r="AX483"/>
  <c r="AW483"/>
  <c r="AV483"/>
  <c r="AC483"/>
  <c r="H483"/>
  <c r="G483" s="1"/>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AZ481" s="1"/>
  <c r="BK481"/>
  <c r="BJ481"/>
  <c r="BI481"/>
  <c r="BH481"/>
  <c r="BG481"/>
  <c r="BF481"/>
  <c r="BE481"/>
  <c r="BD481"/>
  <c r="BC481"/>
  <c r="BB481"/>
  <c r="BA481"/>
  <c r="AX481"/>
  <c r="AW481"/>
  <c r="AV481"/>
  <c r="AC481"/>
  <c r="H481"/>
  <c r="G481"/>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Z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AZ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Z475" s="1"/>
  <c r="AX475"/>
  <c r="AW475"/>
  <c r="AV475"/>
  <c r="AC475"/>
  <c r="H475"/>
  <c r="G475" s="1"/>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Z472" s="1"/>
  <c r="AX472"/>
  <c r="AW472"/>
  <c r="AV472"/>
  <c r="AC472"/>
  <c r="H472"/>
  <c r="G472" s="1"/>
  <c r="BT471"/>
  <c r="BS471"/>
  <c r="BR471"/>
  <c r="BQ471"/>
  <c r="BP471"/>
  <c r="BO471"/>
  <c r="BN471"/>
  <c r="BM471"/>
  <c r="BL471"/>
  <c r="BK471"/>
  <c r="BJ471"/>
  <c r="BI471"/>
  <c r="BH471"/>
  <c r="BG471"/>
  <c r="BF471"/>
  <c r="BE471"/>
  <c r="BD471"/>
  <c r="BC471"/>
  <c r="BB471"/>
  <c r="BA471" s="1"/>
  <c r="AZ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AZ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Z467" s="1"/>
  <c r="AX467"/>
  <c r="AW467"/>
  <c r="AV467"/>
  <c r="AC467"/>
  <c r="H467"/>
  <c r="G467" s="1"/>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s="1"/>
  <c r="BT464"/>
  <c r="BS464"/>
  <c r="BR464"/>
  <c r="BQ464"/>
  <c r="BP464"/>
  <c r="BO464"/>
  <c r="BN464"/>
  <c r="BM464"/>
  <c r="BL464"/>
  <c r="BK464"/>
  <c r="BJ464"/>
  <c r="BI464"/>
  <c r="BH464"/>
  <c r="BG464"/>
  <c r="BF464"/>
  <c r="BE464"/>
  <c r="BD464"/>
  <c r="BC464"/>
  <c r="BB464"/>
  <c r="BA464" s="1"/>
  <c r="AZ464" s="1"/>
  <c r="AX464"/>
  <c r="AW464"/>
  <c r="AV464"/>
  <c r="AC464"/>
  <c r="H464"/>
  <c r="G464" s="1"/>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AZ462" s="1"/>
  <c r="BK462"/>
  <c r="BJ462"/>
  <c r="BI462"/>
  <c r="BH462"/>
  <c r="BG462"/>
  <c r="BF462"/>
  <c r="BE462"/>
  <c r="BD462"/>
  <c r="BC462"/>
  <c r="BB462"/>
  <c r="BA462"/>
  <c r="AX462"/>
  <c r="AW462"/>
  <c r="AV462"/>
  <c r="AC462"/>
  <c r="H462"/>
  <c r="G462"/>
  <c r="BT461"/>
  <c r="BS461"/>
  <c r="BR461"/>
  <c r="BQ461"/>
  <c r="BP461"/>
  <c r="BO461"/>
  <c r="BN461"/>
  <c r="BM461"/>
  <c r="BL461" s="1"/>
  <c r="BK461"/>
  <c r="BJ461"/>
  <c r="BI461"/>
  <c r="BH461"/>
  <c r="BG461"/>
  <c r="BF461"/>
  <c r="BE461"/>
  <c r="BD461"/>
  <c r="BC461"/>
  <c r="BB461"/>
  <c r="BA461"/>
  <c r="AZ461" s="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AZ459" s="1"/>
  <c r="BK459"/>
  <c r="BJ459"/>
  <c r="BI459"/>
  <c r="BH459"/>
  <c r="BG459"/>
  <c r="BF459"/>
  <c r="BE459"/>
  <c r="BD459"/>
  <c r="BC459"/>
  <c r="BB459"/>
  <c r="BA459"/>
  <c r="AX459"/>
  <c r="AW459"/>
  <c r="AV459"/>
  <c r="AC459"/>
  <c r="H459"/>
  <c r="G459"/>
  <c r="BT458"/>
  <c r="BS458"/>
  <c r="BR458"/>
  <c r="BQ458"/>
  <c r="BP458"/>
  <c r="BO458"/>
  <c r="BN458"/>
  <c r="BM458"/>
  <c r="BL458" s="1"/>
  <c r="AZ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X457"/>
  <c r="AW457"/>
  <c r="AV457"/>
  <c r="AC457"/>
  <c r="H457"/>
  <c r="G457" s="1"/>
  <c r="BT456"/>
  <c r="BS456"/>
  <c r="BR456"/>
  <c r="BQ456"/>
  <c r="BP456"/>
  <c r="BO456"/>
  <c r="BN456"/>
  <c r="BM456"/>
  <c r="BL456"/>
  <c r="BK456"/>
  <c r="BJ456"/>
  <c r="BI456"/>
  <c r="BH456"/>
  <c r="BG456"/>
  <c r="BF456"/>
  <c r="BE456"/>
  <c r="BD456"/>
  <c r="BC456"/>
  <c r="BB456"/>
  <c r="BA456" s="1"/>
  <c r="AZ456" s="1"/>
  <c r="AX456"/>
  <c r="AW456"/>
  <c r="AV456"/>
  <c r="AC456"/>
  <c r="H456"/>
  <c r="G456" s="1"/>
  <c r="BT455"/>
  <c r="BS455"/>
  <c r="BR455"/>
  <c r="BQ455"/>
  <c r="BP455"/>
  <c r="BO455"/>
  <c r="BN455"/>
  <c r="BM455"/>
  <c r="BL455"/>
  <c r="BK455"/>
  <c r="BJ455"/>
  <c r="BI455"/>
  <c r="BH455"/>
  <c r="BG455"/>
  <c r="BF455"/>
  <c r="BE455"/>
  <c r="BD455"/>
  <c r="BC455"/>
  <c r="BB455"/>
  <c r="BA455" s="1"/>
  <c r="AZ455" s="1"/>
  <c r="AX455"/>
  <c r="AW455"/>
  <c r="AV455"/>
  <c r="AC455"/>
  <c r="H455"/>
  <c r="G455"/>
  <c r="BT454"/>
  <c r="BS454"/>
  <c r="BR454"/>
  <c r="BQ454"/>
  <c r="BP454"/>
  <c r="BO454"/>
  <c r="BN454"/>
  <c r="BM454"/>
  <c r="BL454" s="1"/>
  <c r="AZ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AZ451" s="1"/>
  <c r="BK451"/>
  <c r="BJ451"/>
  <c r="BI451"/>
  <c r="BH451"/>
  <c r="BG451"/>
  <c r="BF451"/>
  <c r="BE451"/>
  <c r="BD451"/>
  <c r="BC451"/>
  <c r="BB451"/>
  <c r="BA451"/>
  <c r="AX451"/>
  <c r="AW451"/>
  <c r="AV451"/>
  <c r="AC451"/>
  <c r="H451"/>
  <c r="G451"/>
  <c r="BT450"/>
  <c r="BS450"/>
  <c r="BR450"/>
  <c r="BQ450"/>
  <c r="BP450"/>
  <c r="BO450"/>
  <c r="BN450"/>
  <c r="BM450"/>
  <c r="BL450" s="1"/>
  <c r="AZ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Z449" s="1"/>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AZ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AZ443" s="1"/>
  <c r="BK443"/>
  <c r="BJ443"/>
  <c r="BI443"/>
  <c r="BH443"/>
  <c r="BG443"/>
  <c r="BF443"/>
  <c r="BE443"/>
  <c r="BD443"/>
  <c r="BC443"/>
  <c r="BB443"/>
  <c r="BA443"/>
  <c r="AX443"/>
  <c r="AW443"/>
  <c r="AV443"/>
  <c r="AC443"/>
  <c r="H443"/>
  <c r="G443"/>
  <c r="BT442"/>
  <c r="BS442"/>
  <c r="BR442"/>
  <c r="BQ442"/>
  <c r="BP442"/>
  <c r="BO442"/>
  <c r="BN442"/>
  <c r="BM442"/>
  <c r="BL442" s="1"/>
  <c r="AZ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s="1"/>
  <c r="BT440"/>
  <c r="BS440"/>
  <c r="BR440"/>
  <c r="BQ440"/>
  <c r="BP440"/>
  <c r="BO440"/>
  <c r="BN440"/>
  <c r="BM440"/>
  <c r="BL440"/>
  <c r="BK440"/>
  <c r="BJ440"/>
  <c r="BI440"/>
  <c r="BH440"/>
  <c r="BG440"/>
  <c r="BF440"/>
  <c r="BE440"/>
  <c r="BD440"/>
  <c r="BC440"/>
  <c r="BB440"/>
  <c r="BA440" s="1"/>
  <c r="AZ440" s="1"/>
  <c r="AX440"/>
  <c r="AW440"/>
  <c r="AV440"/>
  <c r="AC440"/>
  <c r="H440"/>
  <c r="G440" s="1"/>
  <c r="BT439"/>
  <c r="BS439"/>
  <c r="BR439"/>
  <c r="BQ439"/>
  <c r="BP439"/>
  <c r="BO439"/>
  <c r="BN439"/>
  <c r="BM439"/>
  <c r="BL439"/>
  <c r="BK439"/>
  <c r="BJ439"/>
  <c r="BI439"/>
  <c r="BH439"/>
  <c r="BG439"/>
  <c r="BF439"/>
  <c r="BE439"/>
  <c r="BD439"/>
  <c r="BC439"/>
  <c r="BB439"/>
  <c r="BA439" s="1"/>
  <c r="AZ439" s="1"/>
  <c r="AX439"/>
  <c r="AW439"/>
  <c r="AV439"/>
  <c r="AC439"/>
  <c r="H439"/>
  <c r="G439"/>
  <c r="BT438"/>
  <c r="BS438"/>
  <c r="BR438"/>
  <c r="BQ438"/>
  <c r="BP438"/>
  <c r="BO438"/>
  <c r="BN438"/>
  <c r="BM438"/>
  <c r="BL438" s="1"/>
  <c r="AZ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s="1"/>
  <c r="BT436"/>
  <c r="BS436"/>
  <c r="BR436"/>
  <c r="BQ436"/>
  <c r="BP436"/>
  <c r="BO436"/>
  <c r="BN436"/>
  <c r="BM436"/>
  <c r="BL436"/>
  <c r="BK436"/>
  <c r="BJ436"/>
  <c r="BI436"/>
  <c r="BH436"/>
  <c r="BG436"/>
  <c r="BF436"/>
  <c r="BE436"/>
  <c r="BD436"/>
  <c r="BC436"/>
  <c r="BB436"/>
  <c r="BA436" s="1"/>
  <c r="AZ436" s="1"/>
  <c r="AX436"/>
  <c r="AW436"/>
  <c r="AV436"/>
  <c r="AC436"/>
  <c r="H436"/>
  <c r="G436"/>
  <c r="BT435"/>
  <c r="BS435"/>
  <c r="BR435"/>
  <c r="BQ435"/>
  <c r="BP435"/>
  <c r="BO435"/>
  <c r="BN435"/>
  <c r="BM435"/>
  <c r="BL435" s="1"/>
  <c r="AZ435" s="1"/>
  <c r="BK435"/>
  <c r="BJ435"/>
  <c r="BI435"/>
  <c r="BH435"/>
  <c r="BG435"/>
  <c r="BF435"/>
  <c r="BE435"/>
  <c r="BD435"/>
  <c r="BC435"/>
  <c r="BB435"/>
  <c r="BA435"/>
  <c r="AX435"/>
  <c r="AW435"/>
  <c r="AV435"/>
  <c r="AC435"/>
  <c r="H435"/>
  <c r="G435"/>
  <c r="BT434"/>
  <c r="BS434"/>
  <c r="BR434"/>
  <c r="BQ434"/>
  <c r="BP434"/>
  <c r="BO434"/>
  <c r="BN434"/>
  <c r="BM434"/>
  <c r="BL434" s="1"/>
  <c r="AZ434" s="1"/>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Z431" s="1"/>
  <c r="AX431"/>
  <c r="AW431"/>
  <c r="AV431"/>
  <c r="AC431"/>
  <c r="H431"/>
  <c r="G431" s="1"/>
  <c r="BT430"/>
  <c r="BS430"/>
  <c r="BR430"/>
  <c r="BQ430"/>
  <c r="BP430"/>
  <c r="BO430"/>
  <c r="BN430"/>
  <c r="BM430"/>
  <c r="BL430"/>
  <c r="BK430"/>
  <c r="BJ430"/>
  <c r="BI430"/>
  <c r="BH430"/>
  <c r="BG430"/>
  <c r="BF430"/>
  <c r="BE430"/>
  <c r="BD430"/>
  <c r="BC430"/>
  <c r="BB430"/>
  <c r="BA430" s="1"/>
  <c r="AZ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s="1"/>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s="1"/>
  <c r="BT423"/>
  <c r="BS423"/>
  <c r="BR423"/>
  <c r="BQ423"/>
  <c r="BP423"/>
  <c r="BO423"/>
  <c r="BN423"/>
  <c r="BM423"/>
  <c r="BL423"/>
  <c r="BK423"/>
  <c r="BJ423"/>
  <c r="BI423"/>
  <c r="BH423"/>
  <c r="BG423"/>
  <c r="BF423"/>
  <c r="BE423"/>
  <c r="BD423"/>
  <c r="BC423"/>
  <c r="BB423"/>
  <c r="BA423" s="1"/>
  <c r="AZ423" s="1"/>
  <c r="AX423"/>
  <c r="AW423"/>
  <c r="AV423"/>
  <c r="AC423"/>
  <c r="H423"/>
  <c r="G423"/>
  <c r="BT422"/>
  <c r="BS422"/>
  <c r="BR422"/>
  <c r="BQ422"/>
  <c r="BP422"/>
  <c r="BO422"/>
  <c r="BN422"/>
  <c r="BM422"/>
  <c r="BL422" s="1"/>
  <c r="AZ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Z421" s="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AZ419" s="1"/>
  <c r="BK419"/>
  <c r="BJ419"/>
  <c r="BI419"/>
  <c r="BH419"/>
  <c r="BG419"/>
  <c r="BF419"/>
  <c r="BE419"/>
  <c r="BD419"/>
  <c r="BC419"/>
  <c r="BB419"/>
  <c r="BA419"/>
  <c r="AX419"/>
  <c r="AW419"/>
  <c r="AV419"/>
  <c r="AC419"/>
  <c r="H419"/>
  <c r="G419"/>
  <c r="BT418"/>
  <c r="BS418"/>
  <c r="BR418"/>
  <c r="BQ418"/>
  <c r="BP418"/>
  <c r="BO418"/>
  <c r="BN418"/>
  <c r="BM418"/>
  <c r="BL418" s="1"/>
  <c r="AZ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Z415" s="1"/>
  <c r="AX415"/>
  <c r="AW415"/>
  <c r="AV415"/>
  <c r="AC415"/>
  <c r="H415"/>
  <c r="G415" s="1"/>
  <c r="BT414"/>
  <c r="BS414"/>
  <c r="BR414"/>
  <c r="BQ414"/>
  <c r="BP414"/>
  <c r="BO414"/>
  <c r="BN414"/>
  <c r="BM414"/>
  <c r="BL414"/>
  <c r="BK414"/>
  <c r="BJ414"/>
  <c r="BI414"/>
  <c r="BH414"/>
  <c r="BG414"/>
  <c r="BF414"/>
  <c r="BE414"/>
  <c r="BD414"/>
  <c r="BC414"/>
  <c r="BB414"/>
  <c r="BA414" s="1"/>
  <c r="AZ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s="1"/>
  <c r="BT410"/>
  <c r="BS410"/>
  <c r="BR410"/>
  <c r="BQ410"/>
  <c r="BP410"/>
  <c r="BO410"/>
  <c r="BN410"/>
  <c r="BM410"/>
  <c r="BL410"/>
  <c r="BK410"/>
  <c r="BJ410"/>
  <c r="BI410"/>
  <c r="BH410"/>
  <c r="BG410"/>
  <c r="BF410"/>
  <c r="BE410"/>
  <c r="BD410"/>
  <c r="BC410"/>
  <c r="BB410"/>
  <c r="BA410" s="1"/>
  <c r="AZ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AZ406" s="1"/>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AZ403" s="1"/>
  <c r="BK403"/>
  <c r="BJ403"/>
  <c r="BI403"/>
  <c r="BH403"/>
  <c r="BG403"/>
  <c r="BF403"/>
  <c r="BE403"/>
  <c r="BD403"/>
  <c r="BC403"/>
  <c r="BB403"/>
  <c r="BA403"/>
  <c r="AX403"/>
  <c r="AW403"/>
  <c r="AV403"/>
  <c r="AC403"/>
  <c r="H403"/>
  <c r="G403"/>
  <c r="BT402"/>
  <c r="BS402"/>
  <c r="BR402"/>
  <c r="BQ402"/>
  <c r="BP402"/>
  <c r="BO402"/>
  <c r="BN402"/>
  <c r="BM402"/>
  <c r="BL402" s="1"/>
  <c r="AZ402" s="1"/>
  <c r="BK402"/>
  <c r="BJ402"/>
  <c r="BI402"/>
  <c r="BH402"/>
  <c r="BG402"/>
  <c r="BF402"/>
  <c r="BE402"/>
  <c r="BD402"/>
  <c r="BC402"/>
  <c r="BB402"/>
  <c r="BA402"/>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Z399" s="1"/>
  <c r="AX399"/>
  <c r="AW399"/>
  <c r="AV399"/>
  <c r="AC399"/>
  <c r="H399"/>
  <c r="G399" s="1"/>
  <c r="BT398"/>
  <c r="BS398"/>
  <c r="BR398"/>
  <c r="BQ398"/>
  <c r="BP398"/>
  <c r="BO398"/>
  <c r="BN398"/>
  <c r="BM398"/>
  <c r="BL398"/>
  <c r="BK398"/>
  <c r="BJ398"/>
  <c r="BI398"/>
  <c r="BH398"/>
  <c r="BG398"/>
  <c r="BF398"/>
  <c r="BE398"/>
  <c r="BD398"/>
  <c r="BC398"/>
  <c r="BB398"/>
  <c r="BA398" s="1"/>
  <c r="AZ398" s="1"/>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37" i="48"/>
  <c r="B2" i="72" s="1"/>
  <c r="B13" i="53"/>
  <c r="B29" i="72" s="1"/>
  <c r="R35" i="4"/>
  <c r="Q35"/>
  <c r="P35"/>
  <c r="O35"/>
  <c r="N35"/>
  <c r="M35"/>
  <c r="L35"/>
  <c r="K34"/>
  <c r="T34" s="1"/>
  <c r="G13" i="1"/>
  <c r="G11"/>
  <c r="I15" i="4"/>
  <c r="H15"/>
  <c r="G15"/>
  <c r="E15"/>
  <c r="D15"/>
  <c r="F7" i="1"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E21"/>
  <c r="K8" i="1" s="1"/>
  <c r="M8" s="1"/>
  <c r="F23" i="15"/>
  <c r="D24" s="1"/>
  <c r="O8" i="1"/>
  <c r="P8"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s="1"/>
  <c r="AZ548" s="1"/>
  <c r="BQ548"/>
  <c r="BR548"/>
  <c r="BS548"/>
  <c r="BT548"/>
  <c r="H549"/>
  <c r="AC549"/>
  <c r="BB549"/>
  <c r="BC549"/>
  <c r="BD549"/>
  <c r="BE549"/>
  <c r="BF549"/>
  <c r="BG549"/>
  <c r="BH549"/>
  <c r="BI549"/>
  <c r="BJ549"/>
  <c r="BK549"/>
  <c r="BM549"/>
  <c r="BN549"/>
  <c r="BO549"/>
  <c r="BP549"/>
  <c r="BR549"/>
  <c r="BS549"/>
  <c r="BT549"/>
  <c r="H550"/>
  <c r="AC550"/>
  <c r="BB550"/>
  <c r="BA550" s="1"/>
  <c r="BC550"/>
  <c r="BD550"/>
  <c r="BE550"/>
  <c r="BF550"/>
  <c r="BG550"/>
  <c r="BH550"/>
  <c r="BI550"/>
  <c r="BJ550"/>
  <c r="BK550"/>
  <c r="BM550"/>
  <c r="BN550"/>
  <c r="BO550"/>
  <c r="BL550" s="1"/>
  <c r="BP550"/>
  <c r="BQ550"/>
  <c r="BR550"/>
  <c r="BS550"/>
  <c r="BT550"/>
  <c r="H551"/>
  <c r="G551" s="1"/>
  <c r="AC551"/>
  <c r="BB551"/>
  <c r="BC551"/>
  <c r="BD551"/>
  <c r="BA551" s="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s="1"/>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s="1"/>
  <c r="J40"/>
  <c r="W40" s="1"/>
  <c r="H40"/>
  <c r="AB40" s="1"/>
  <c r="F40"/>
  <c r="AA40" s="1"/>
  <c r="Q39"/>
  <c r="Z39"/>
  <c r="H39"/>
  <c r="U39" s="1"/>
  <c r="Q38"/>
  <c r="Z38" s="1"/>
  <c r="J38"/>
  <c r="AC38" s="1"/>
  <c r="H38"/>
  <c r="AB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F34"/>
  <c r="AA34" s="1"/>
  <c r="D107"/>
  <c r="E107" s="1"/>
  <c r="D105"/>
  <c r="E105" s="1"/>
  <c r="F105" s="1"/>
  <c r="G105" s="1"/>
  <c r="H105" s="1"/>
  <c r="I105" s="1"/>
  <c r="J105" s="1"/>
  <c r="K105" s="1"/>
  <c r="L105" s="1"/>
  <c r="M105" s="1"/>
  <c r="D101"/>
  <c r="D99"/>
  <c r="E99" s="1"/>
  <c r="F99" s="1"/>
  <c r="G99" s="1"/>
  <c r="Q39"/>
  <c r="Z39"/>
  <c r="Q40"/>
  <c r="Z40"/>
  <c r="Q41"/>
  <c r="Z41"/>
  <c r="Q42"/>
  <c r="Z42"/>
  <c r="Q43"/>
  <c r="Z43"/>
  <c r="Q44"/>
  <c r="Z44"/>
  <c r="Q45"/>
  <c r="Z45"/>
  <c r="Q38"/>
  <c r="Z38"/>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s="1"/>
  <c r="Q17"/>
  <c r="Z17"/>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c r="J25"/>
  <c r="AC25" s="1"/>
  <c r="F25"/>
  <c r="AA25" s="1"/>
  <c r="Q23"/>
  <c r="Z23"/>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c r="AC24" s="1"/>
  <c r="B71"/>
  <c r="D70"/>
  <c r="H22"/>
  <c r="AB22" s="1"/>
  <c r="D68"/>
  <c r="E68" s="1"/>
  <c r="F68" s="1"/>
  <c r="G68" s="1"/>
  <c r="D64"/>
  <c r="E64" s="1"/>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s="1"/>
  <c r="Q28"/>
  <c r="Z28" s="1"/>
  <c r="J28"/>
  <c r="AC28" s="1"/>
  <c r="Q27"/>
  <c r="Z27"/>
  <c r="Q26"/>
  <c r="Z26"/>
  <c r="H26"/>
  <c r="AB26" s="1"/>
  <c r="Q25"/>
  <c r="Z25" s="1"/>
  <c r="Q24"/>
  <c r="Z24" s="1"/>
  <c r="H24"/>
  <c r="AB24" s="1"/>
  <c r="Q23"/>
  <c r="Z23"/>
  <c r="J23"/>
  <c r="AC23" s="1"/>
  <c r="H23"/>
  <c r="AB23" s="1"/>
  <c r="F23"/>
  <c r="AA23" s="1"/>
  <c r="Q22"/>
  <c r="Z22" s="1"/>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B77"/>
  <c r="B75"/>
  <c r="J24"/>
  <c r="AC24" s="1"/>
  <c r="B73"/>
  <c r="H23"/>
  <c r="U23" s="1"/>
  <c r="B57"/>
  <c r="B61"/>
  <c r="B59"/>
  <c r="B131" i="34"/>
  <c r="B129"/>
  <c r="B127"/>
  <c r="B99"/>
  <c r="B97"/>
  <c r="B95"/>
  <c r="B93"/>
  <c r="B75"/>
  <c r="B73"/>
  <c r="B7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AC31"/>
  <c r="AB31"/>
  <c r="AA31"/>
  <c r="Q30"/>
  <c r="Z30" s="1"/>
  <c r="Q29"/>
  <c r="Z29" s="1"/>
  <c r="Q28"/>
  <c r="Z28" s="1"/>
  <c r="J28"/>
  <c r="AC28" s="1"/>
  <c r="H28"/>
  <c r="AB28" s="1"/>
  <c r="F28"/>
  <c r="AA28" s="1"/>
  <c r="Q27"/>
  <c r="Z27" s="1"/>
  <c r="Q26"/>
  <c r="Z26" s="1"/>
  <c r="Q25"/>
  <c r="Z25" s="1"/>
  <c r="Q24"/>
  <c r="Z24" s="1"/>
  <c r="Q23"/>
  <c r="Z23"/>
  <c r="J23"/>
  <c r="AC23" s="1"/>
  <c r="Q22"/>
  <c r="Z22" s="1"/>
  <c r="Q20"/>
  <c r="Z20" s="1"/>
  <c r="Q16"/>
  <c r="Z16" s="1"/>
  <c r="Q14"/>
  <c r="Z14" s="1"/>
  <c r="Q13"/>
  <c r="Z13" s="1"/>
  <c r="Q12"/>
  <c r="Z12" s="1"/>
  <c r="J12"/>
  <c r="W12" s="1"/>
  <c r="H12"/>
  <c r="U12" s="1"/>
  <c r="F12"/>
  <c r="S12" s="1"/>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s="1"/>
  <c r="C23"/>
  <c r="C19"/>
  <c r="C17"/>
  <c r="C15"/>
  <c r="C15" i="21"/>
  <c r="D125" i="33"/>
  <c r="D123"/>
  <c r="D117"/>
  <c r="E117"/>
  <c r="F117" s="1"/>
  <c r="G117" s="1"/>
  <c r="D115"/>
  <c r="E115"/>
  <c r="F115" s="1"/>
  <c r="G115" s="1"/>
  <c r="H115" s="1"/>
  <c r="I115" s="1"/>
  <c r="J115" s="1"/>
  <c r="K115" s="1"/>
  <c r="L115" s="1"/>
  <c r="M115" s="1"/>
  <c r="D108"/>
  <c r="E108"/>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F54"/>
  <c r="P49"/>
  <c r="P48"/>
  <c r="V47"/>
  <c r="T47"/>
  <c r="R47"/>
  <c r="P47"/>
  <c r="Q46"/>
  <c r="Z46" s="1"/>
  <c r="Q45"/>
  <c r="Z45" s="1"/>
  <c r="Q44"/>
  <c r="Z44" s="1"/>
  <c r="Q43"/>
  <c r="Z43" s="1"/>
  <c r="Q42"/>
  <c r="Z42" s="1"/>
  <c r="J42"/>
  <c r="AC42" s="1"/>
  <c r="AC41"/>
  <c r="W41"/>
  <c r="Q41"/>
  <c r="Z41"/>
  <c r="Q40"/>
  <c r="Z40"/>
  <c r="J40"/>
  <c r="AC40" s="1"/>
  <c r="H40"/>
  <c r="AB40" s="1"/>
  <c r="AA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H12"/>
  <c r="U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G3" i="43" s="1"/>
  <c r="J5" i="3"/>
  <c r="BE10"/>
  <c r="BB585"/>
  <c r="BC585"/>
  <c r="BD585"/>
  <c r="BE585"/>
  <c r="BF585"/>
  <c r="BG585"/>
  <c r="BH585"/>
  <c r="BI585"/>
  <c r="BJ585"/>
  <c r="BK585"/>
  <c r="BM585"/>
  <c r="BN585"/>
  <c r="BO585"/>
  <c r="BP585"/>
  <c r="BQ585"/>
  <c r="BR585"/>
  <c r="BS585"/>
  <c r="BL585" s="1"/>
  <c r="AZ585" s="1"/>
  <c r="BT585"/>
  <c r="BB586"/>
  <c r="BC586"/>
  <c r="BD586"/>
  <c r="BE586"/>
  <c r="BF586"/>
  <c r="BG586"/>
  <c r="BH586"/>
  <c r="BI586"/>
  <c r="BJ586"/>
  <c r="BK586"/>
  <c r="BM586"/>
  <c r="BL586" s="1"/>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U14"/>
  <c r="F29" i="36"/>
  <c r="AA29" s="1"/>
  <c r="W8"/>
  <c r="F16"/>
  <c r="AA16" s="1"/>
  <c r="U9"/>
  <c r="W28"/>
  <c r="S30"/>
  <c r="AA31"/>
  <c r="AC31"/>
  <c r="W31"/>
  <c r="U31"/>
  <c r="J33"/>
  <c r="W33" s="1"/>
  <c r="H22" i="35"/>
  <c r="AB22" s="1"/>
  <c r="AC27"/>
  <c r="W28"/>
  <c r="U31"/>
  <c r="S34"/>
  <c r="W34"/>
  <c r="W36"/>
  <c r="W22"/>
  <c r="S31"/>
  <c r="U34"/>
  <c r="F36" i="34"/>
  <c r="J35"/>
  <c r="W9"/>
  <c r="S34"/>
  <c r="U34"/>
  <c r="H39" i="33"/>
  <c r="AB39" s="1"/>
  <c r="F26"/>
  <c r="AA26" s="1"/>
  <c r="S9"/>
  <c r="U33"/>
  <c r="U35"/>
  <c r="S40"/>
  <c r="W33"/>
  <c r="W39"/>
  <c r="H39" i="37"/>
  <c r="AB39" s="1"/>
  <c r="S27" i="35"/>
  <c r="F11" i="40"/>
  <c r="AA11" s="1"/>
  <c r="H11"/>
  <c r="AB11" s="1"/>
  <c r="W8"/>
  <c r="AB39"/>
  <c r="AC40"/>
  <c r="AA9"/>
  <c r="AC9"/>
  <c r="U9"/>
  <c r="S34"/>
  <c r="U38"/>
  <c r="S40"/>
  <c r="W31"/>
  <c r="U34"/>
  <c r="S38"/>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c r="H42" i="39"/>
  <c r="AB42" s="1"/>
  <c r="J34"/>
  <c r="AC34" s="1"/>
  <c r="F109"/>
  <c r="G109"/>
  <c r="H109" s="1"/>
  <c r="I109" s="1"/>
  <c r="J109" s="1"/>
  <c r="K109" s="1"/>
  <c r="L109" s="1"/>
  <c r="M109" s="1"/>
  <c r="J31"/>
  <c r="F101"/>
  <c r="H27"/>
  <c r="U27" s="1"/>
  <c r="J19"/>
  <c r="AC19" s="1"/>
  <c r="J17"/>
  <c r="J27"/>
  <c r="AC27" s="1"/>
  <c r="F27"/>
  <c r="F11" i="21"/>
  <c r="S11" s="1"/>
  <c r="S40"/>
  <c r="U34"/>
  <c r="S34"/>
  <c r="C25" i="39"/>
  <c r="C27"/>
  <c r="C21"/>
  <c r="H11"/>
  <c r="S40"/>
  <c r="C15"/>
  <c r="H32" i="33"/>
  <c r="AB32" s="1"/>
  <c r="H11" i="21"/>
  <c r="U11" s="1"/>
  <c r="J11"/>
  <c r="W11" s="1"/>
  <c r="H37" i="40"/>
  <c r="U37" s="1"/>
  <c r="H36"/>
  <c r="AB36" s="1"/>
  <c r="F35"/>
  <c r="AA35" s="1"/>
  <c r="H23"/>
  <c r="AB23" s="1"/>
  <c r="H17"/>
  <c r="U17" s="1"/>
  <c r="J15"/>
  <c r="W15" s="1"/>
  <c r="J11"/>
  <c r="W11" s="1"/>
  <c r="AB8" i="39"/>
  <c r="AB12" i="33"/>
  <c r="AC12" i="34"/>
  <c r="AA12"/>
  <c r="AB12" i="35"/>
  <c r="AB12" i="36"/>
  <c r="W32" i="40"/>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F11"/>
  <c r="AA11" s="1"/>
  <c r="S26"/>
  <c r="U40"/>
  <c r="W40"/>
  <c r="U8"/>
  <c r="S8"/>
  <c r="F37" i="40"/>
  <c r="AA37" s="1"/>
  <c r="F36"/>
  <c r="AA36" s="1"/>
  <c r="H28"/>
  <c r="U28" s="1"/>
  <c r="F23"/>
  <c r="AA23" s="1"/>
  <c r="F17"/>
  <c r="AA17" s="1"/>
  <c r="J17"/>
  <c r="W17" s="1"/>
  <c r="F15"/>
  <c r="S15" s="1"/>
  <c r="H15"/>
  <c r="AB15" s="1"/>
  <c r="AC11"/>
  <c r="S12" i="36"/>
  <c r="AA12"/>
  <c r="AB30"/>
  <c r="AC34"/>
  <c r="U30" i="35"/>
  <c r="U33"/>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H11"/>
  <c r="AB11" s="1"/>
  <c r="F28" i="40"/>
  <c r="AA28" s="1"/>
  <c r="AA29" i="35"/>
  <c r="AA42" i="34"/>
  <c r="S42"/>
  <c r="AC38"/>
  <c r="AA38"/>
  <c r="J37"/>
  <c r="AC37" s="1"/>
  <c r="J11" i="33"/>
  <c r="W11" s="1"/>
  <c r="S28" i="34"/>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AA13" i="35"/>
  <c r="U31" i="34"/>
  <c r="U46" i="33"/>
  <c r="AA14"/>
  <c r="J36" i="37"/>
  <c r="AC36" s="1"/>
  <c r="G105"/>
  <c r="AB11" i="36"/>
  <c r="AB11" i="35"/>
  <c r="J10" i="36"/>
  <c r="AC10" s="1"/>
  <c r="AB26" i="33"/>
  <c r="AB30" i="21"/>
  <c r="AA14" i="37"/>
  <c r="W31" i="34"/>
  <c r="AC13" i="36"/>
  <c r="W13"/>
  <c r="S11"/>
  <c r="W11"/>
  <c r="W11" i="35"/>
  <c r="AB46" i="34"/>
  <c r="AC30"/>
  <c r="AA14"/>
  <c r="S45" i="33"/>
  <c r="AB45"/>
  <c r="AB31"/>
  <c r="U31"/>
  <c r="W29"/>
  <c r="U13"/>
  <c r="AC28" i="21"/>
  <c r="S44" i="34"/>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s="1"/>
  <c r="BA580"/>
  <c r="AZ580"/>
  <c r="BA578"/>
  <c r="AZ578"/>
  <c r="BA576"/>
  <c r="AZ576"/>
  <c r="BA574"/>
  <c r="AZ574"/>
  <c r="BA572"/>
  <c r="AZ572"/>
  <c r="BA570"/>
  <c r="AZ570"/>
  <c r="BA568"/>
  <c r="AZ568"/>
  <c r="BA566"/>
  <c r="AZ566"/>
  <c r="BA564"/>
  <c r="AZ564"/>
  <c r="BA562"/>
  <c r="AZ562"/>
  <c r="BA560"/>
  <c r="BA558"/>
  <c r="AZ558" s="1"/>
  <c r="BA556"/>
  <c r="AZ556" s="1"/>
  <c r="BA554"/>
  <c r="AZ554" s="1"/>
  <c r="BA552"/>
  <c r="AZ552" s="1"/>
  <c r="BA548"/>
  <c r="BA546"/>
  <c r="BA544"/>
  <c r="AZ544" s="1"/>
  <c r="BA542"/>
  <c r="AZ542" s="1"/>
  <c r="BA540"/>
  <c r="AZ540" s="1"/>
  <c r="BA538"/>
  <c r="AZ538" s="1"/>
  <c r="BA536"/>
  <c r="AZ536" s="1"/>
  <c r="BA534"/>
  <c r="AZ534" s="1"/>
  <c r="BA532"/>
  <c r="AZ532" s="1"/>
  <c r="BA530"/>
  <c r="BA528"/>
  <c r="AZ528"/>
  <c r="BA526"/>
  <c r="AZ526"/>
  <c r="BA524"/>
  <c r="AZ524" s="1"/>
  <c r="BA522"/>
  <c r="BA520"/>
  <c r="BA518"/>
  <c r="AZ518" s="1"/>
  <c r="BA516"/>
  <c r="AZ516" s="1"/>
  <c r="BA514"/>
  <c r="BA512"/>
  <c r="AZ512"/>
  <c r="BA510"/>
  <c r="AZ510"/>
  <c r="BA508"/>
  <c r="BA506"/>
  <c r="BA504"/>
  <c r="AZ504"/>
  <c r="BA502"/>
  <c r="BA500"/>
  <c r="BA498"/>
  <c r="AZ498"/>
  <c r="BA496"/>
  <c r="BA494"/>
  <c r="BA587"/>
  <c r="AZ587"/>
  <c r="BA583"/>
  <c r="BA581"/>
  <c r="AZ581" s="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Z557" s="1"/>
  <c r="AC557"/>
  <c r="G557"/>
  <c r="BQ557"/>
  <c r="BL557"/>
  <c r="BQ583"/>
  <c r="BL583" s="1"/>
  <c r="AZ583" s="1"/>
  <c r="BQ581"/>
  <c r="BL581"/>
  <c r="BQ579"/>
  <c r="BL579"/>
  <c r="AZ579" s="1"/>
  <c r="BQ577"/>
  <c r="BL577" s="1"/>
  <c r="AZ577" s="1"/>
  <c r="BQ575"/>
  <c r="BL575"/>
  <c r="AZ575" s="1"/>
  <c r="BQ573"/>
  <c r="BL573" s="1"/>
  <c r="AZ573" s="1"/>
  <c r="BQ571"/>
  <c r="BL571"/>
  <c r="AZ571" s="1"/>
  <c r="BQ569"/>
  <c r="BL569" s="1"/>
  <c r="AZ569" s="1"/>
  <c r="BQ567"/>
  <c r="BL567"/>
  <c r="AZ567" s="1"/>
  <c r="BQ565"/>
  <c r="BL565" s="1"/>
  <c r="AZ565" s="1"/>
  <c r="BQ563"/>
  <c r="BL563"/>
  <c r="BQ561"/>
  <c r="BL561"/>
  <c r="AZ561" s="1"/>
  <c r="BQ559"/>
  <c r="BL559" s="1"/>
  <c r="AZ559" s="1"/>
  <c r="G559"/>
  <c r="G555"/>
  <c r="G553"/>
  <c r="G549"/>
  <c r="G547"/>
  <c r="G545"/>
  <c r="G543"/>
  <c r="G541"/>
  <c r="G539"/>
  <c r="G537"/>
  <c r="BQ555"/>
  <c r="BL555"/>
  <c r="AZ555" s="1"/>
  <c r="BQ553"/>
  <c r="BL553" s="1"/>
  <c r="AZ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Z521" s="1"/>
  <c r="AC521"/>
  <c r="G521"/>
  <c r="BQ521"/>
  <c r="BL521"/>
  <c r="BL520"/>
  <c r="AZ520" s="1"/>
  <c r="G519"/>
  <c r="G517"/>
  <c r="G515"/>
  <c r="G513"/>
  <c r="G511"/>
  <c r="BQ519"/>
  <c r="BL519"/>
  <c r="AZ519" s="1"/>
  <c r="BQ517"/>
  <c r="BL517" s="1"/>
  <c r="AZ517" s="1"/>
  <c r="BQ515"/>
  <c r="BL515"/>
  <c r="AZ515" s="1"/>
  <c r="BQ513"/>
  <c r="BL513" s="1"/>
  <c r="AZ513" s="1"/>
  <c r="BQ511"/>
  <c r="BL511"/>
  <c r="AZ511" s="1"/>
  <c r="BA509"/>
  <c r="AC509"/>
  <c r="BQ509"/>
  <c r="BL509"/>
  <c r="BL508"/>
  <c r="AZ508"/>
  <c r="G507"/>
  <c r="G505"/>
  <c r="G503"/>
  <c r="G501"/>
  <c r="G499"/>
  <c r="G497"/>
  <c r="G495"/>
  <c r="BQ507"/>
  <c r="BL507" s="1"/>
  <c r="AZ507" s="1"/>
  <c r="BQ505"/>
  <c r="BL505"/>
  <c r="AZ505" s="1"/>
  <c r="BQ503"/>
  <c r="BL503" s="1"/>
  <c r="AZ503" s="1"/>
  <c r="BQ501"/>
  <c r="BL501"/>
  <c r="BQ499"/>
  <c r="BL499"/>
  <c r="BQ497"/>
  <c r="BL497"/>
  <c r="BQ495"/>
  <c r="BL495"/>
  <c r="AZ495" s="1"/>
  <c r="BQ493"/>
  <c r="AZ584"/>
  <c r="S505" i="31"/>
  <c r="S503"/>
  <c r="S501"/>
  <c r="S499"/>
  <c r="O27"/>
  <c r="O28"/>
  <c r="O26"/>
  <c r="M27"/>
  <c r="M28"/>
  <c r="M26"/>
  <c r="I26"/>
  <c r="I25"/>
  <c r="S25"/>
  <c r="Q26"/>
  <c r="K26"/>
  <c r="I27"/>
  <c r="Q27"/>
  <c r="K27"/>
  <c r="I28"/>
  <c r="Q28"/>
  <c r="K28"/>
  <c r="AC28" i="34"/>
  <c r="S21" i="40"/>
  <c r="AA12" i="21"/>
  <c r="H25"/>
  <c r="U25" s="1"/>
  <c r="F25"/>
  <c r="S25" s="1"/>
  <c r="J25"/>
  <c r="AC25" s="1"/>
  <c r="E125" i="33"/>
  <c r="F125"/>
  <c r="H43"/>
  <c r="AB43" s="1"/>
  <c r="H17" i="37"/>
  <c r="U17" s="1"/>
  <c r="AB27"/>
  <c r="U32" i="33"/>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G125"/>
  <c r="J43"/>
  <c r="AC43" s="1"/>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s="1"/>
  <c r="W15" i="34"/>
  <c r="AC15"/>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AA25" i="21"/>
  <c r="C12" i="43"/>
  <c r="H19" i="40"/>
  <c r="U19" s="1"/>
  <c r="F88"/>
  <c r="G88" s="1"/>
  <c r="F19"/>
  <c r="S19" s="1"/>
  <c r="S14"/>
  <c r="AC13"/>
  <c r="AB33"/>
  <c r="W23" i="39"/>
  <c r="AC43"/>
  <c r="W43"/>
  <c r="U45"/>
  <c r="AB45"/>
  <c r="AB44"/>
  <c r="U44"/>
  <c r="G101"/>
  <c r="H37"/>
  <c r="AB37" s="1"/>
  <c r="AC37"/>
  <c r="W37"/>
  <c r="H25"/>
  <c r="AB25" s="1"/>
  <c r="J25"/>
  <c r="F25"/>
  <c r="AA25" s="1"/>
  <c r="F15"/>
  <c r="AA15" s="1"/>
  <c r="H15"/>
  <c r="U15" s="1"/>
  <c r="J15"/>
  <c r="W15" s="1"/>
  <c r="H41"/>
  <c r="AB34"/>
  <c r="U40"/>
  <c r="W14"/>
  <c r="AA41"/>
  <c r="W9"/>
  <c r="W8"/>
  <c r="J19" i="40"/>
  <c r="AC19" s="1"/>
  <c r="J50"/>
  <c r="B54" i="72"/>
  <c r="H103" i="9"/>
  <c r="D8" i="53" s="1"/>
  <c r="B16"/>
  <c r="B33" i="72" s="1"/>
  <c r="C7" i="37"/>
  <c r="C7" i="34"/>
  <c r="C7" i="36"/>
  <c r="W35" i="40"/>
  <c r="A118" i="9"/>
  <c r="A4" i="52"/>
  <c r="B41" i="72" s="1"/>
  <c r="J11" i="39"/>
  <c r="W11" s="1"/>
  <c r="F11"/>
  <c r="AA11" s="1"/>
  <c r="A12" i="52"/>
  <c r="B56" i="72" s="1"/>
  <c r="S11" i="39"/>
  <c r="G4" i="4"/>
  <c r="I4"/>
  <c r="K5"/>
  <c r="B47" i="48" s="1"/>
  <c r="A2" i="9"/>
  <c r="N2" i="43"/>
  <c r="F59" s="1"/>
  <c r="AZ20" i="3"/>
  <c r="AZ24"/>
  <c r="AZ28"/>
  <c r="AZ32"/>
  <c r="AZ497"/>
  <c r="BL549"/>
  <c r="AZ494"/>
  <c r="AZ502"/>
  <c r="AZ514"/>
  <c r="AZ522"/>
  <c r="AZ530"/>
  <c r="AZ546"/>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BA345"/>
  <c r="BL355"/>
  <c r="G356"/>
  <c r="BL357"/>
  <c r="BA359"/>
  <c r="AZ359"/>
  <c r="BA360"/>
  <c r="BL360"/>
  <c r="G361"/>
  <c r="BA362"/>
  <c r="AZ362" s="1"/>
  <c r="G370"/>
  <c r="BL371"/>
  <c r="G372"/>
  <c r="BL373"/>
  <c r="BA375"/>
  <c r="AZ375" s="1"/>
  <c r="BA376"/>
  <c r="BL376"/>
  <c r="G377"/>
  <c r="BA378"/>
  <c r="AZ378"/>
  <c r="BL378"/>
  <c r="G379"/>
  <c r="BA380"/>
  <c r="G388"/>
  <c r="BL389"/>
  <c r="G390"/>
  <c r="BL391"/>
  <c r="BA393"/>
  <c r="AZ393" s="1"/>
  <c r="BA394"/>
  <c r="BL394"/>
  <c r="G113"/>
  <c r="BA115"/>
  <c r="AZ115"/>
  <c r="BL116"/>
  <c r="AZ116"/>
  <c r="G117"/>
  <c r="BA119"/>
  <c r="AZ119" s="1"/>
  <c r="BL120"/>
  <c r="G121"/>
  <c r="BA123"/>
  <c r="AZ123" s="1"/>
  <c r="BL124"/>
  <c r="AZ124" s="1"/>
  <c r="G125"/>
  <c r="BA127"/>
  <c r="AZ127"/>
  <c r="BL128"/>
  <c r="G129"/>
  <c r="BA131"/>
  <c r="AZ131"/>
  <c r="BL132"/>
  <c r="AZ132"/>
  <c r="G133"/>
  <c r="BA135"/>
  <c r="AZ135" s="1"/>
  <c r="BL136"/>
  <c r="G137"/>
  <c r="BA139"/>
  <c r="AZ139" s="1"/>
  <c r="BL140"/>
  <c r="AZ140" s="1"/>
  <c r="G141"/>
  <c r="BA143"/>
  <c r="AZ143"/>
  <c r="BL144"/>
  <c r="G145"/>
  <c r="BA147"/>
  <c r="AZ147"/>
  <c r="BL148"/>
  <c r="AZ148"/>
  <c r="G149"/>
  <c r="BA151"/>
  <c r="AZ151" s="1"/>
  <c r="BL152"/>
  <c r="G153"/>
  <c r="BA155"/>
  <c r="AZ155" s="1"/>
  <c r="BL156"/>
  <c r="AZ156" s="1"/>
  <c r="G157"/>
  <c r="BA159"/>
  <c r="AZ159"/>
  <c r="BL160"/>
  <c r="G161"/>
  <c r="BA163"/>
  <c r="AZ163"/>
  <c r="BL164"/>
  <c r="AZ164"/>
  <c r="G165"/>
  <c r="BA167"/>
  <c r="AZ167" s="1"/>
  <c r="BL168"/>
  <c r="G169"/>
  <c r="BA171"/>
  <c r="AZ171" s="1"/>
  <c r="BL172"/>
  <c r="AZ172" s="1"/>
  <c r="G173"/>
  <c r="BA175"/>
  <c r="AZ175"/>
  <c r="BL176"/>
  <c r="G177"/>
  <c r="BA179"/>
  <c r="AZ179"/>
  <c r="BL180"/>
  <c r="AZ180"/>
  <c r="G181"/>
  <c r="BA183"/>
  <c r="AZ183" s="1"/>
  <c r="BL184"/>
  <c r="G185"/>
  <c r="BA187"/>
  <c r="AZ187" s="1"/>
  <c r="BL188"/>
  <c r="AZ188" s="1"/>
  <c r="G189"/>
  <c r="BA191"/>
  <c r="AZ191"/>
  <c r="BL192"/>
  <c r="G193"/>
  <c r="BA195"/>
  <c r="AZ195"/>
  <c r="BL196"/>
  <c r="AZ196"/>
  <c r="G197"/>
  <c r="BA199"/>
  <c r="AZ199" s="1"/>
  <c r="BL200"/>
  <c r="G201"/>
  <c r="BA203"/>
  <c r="AZ203" s="1"/>
  <c r="BL204"/>
  <c r="AZ204" s="1"/>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G16"/>
  <c r="G15"/>
  <c r="BA304"/>
  <c r="AZ304" s="1"/>
  <c r="BA305"/>
  <c r="AZ305" s="1"/>
  <c r="BL305"/>
  <c r="G306"/>
  <c r="G309"/>
  <c r="BL310"/>
  <c r="BA312"/>
  <c r="AZ312"/>
  <c r="BA313"/>
  <c r="BL313"/>
  <c r="AZ313" s="1"/>
  <c r="G314"/>
  <c r="G317"/>
  <c r="BL318"/>
  <c r="BA320"/>
  <c r="AZ320" s="1"/>
  <c r="BA321"/>
  <c r="AZ321" s="1"/>
  <c r="BL321"/>
  <c r="G322"/>
  <c r="G325"/>
  <c r="BL326"/>
  <c r="BA328"/>
  <c r="AZ328"/>
  <c r="BA329"/>
  <c r="BL329"/>
  <c r="AZ329" s="1"/>
  <c r="G330"/>
  <c r="G333"/>
  <c r="BL334"/>
  <c r="BA336"/>
  <c r="AZ336" s="1"/>
  <c r="BA337"/>
  <c r="AZ337" s="1"/>
  <c r="BL337"/>
  <c r="G338"/>
  <c r="G341"/>
  <c r="BA342"/>
  <c r="BL342"/>
  <c r="AZ342"/>
  <c r="BA344"/>
  <c r="BL344"/>
  <c r="AZ344" s="1"/>
  <c r="BA346"/>
  <c r="AZ346" s="1"/>
  <c r="BA347"/>
  <c r="AZ347" s="1"/>
  <c r="BL347"/>
  <c r="G350"/>
  <c r="BA351"/>
  <c r="AZ351"/>
  <c r="BL351"/>
  <c r="G352"/>
  <c r="G354"/>
  <c r="BA355"/>
  <c r="AZ355" s="1"/>
  <c r="BA356"/>
  <c r="BL356"/>
  <c r="G357"/>
  <c r="G360"/>
  <c r="BL361"/>
  <c r="BA363"/>
  <c r="AZ363"/>
  <c r="BA364"/>
  <c r="BL364"/>
  <c r="G365"/>
  <c r="G368"/>
  <c r="BL369"/>
  <c r="BA371"/>
  <c r="AZ371" s="1"/>
  <c r="BA372"/>
  <c r="AZ372" s="1"/>
  <c r="BL372"/>
  <c r="G373"/>
  <c r="G376"/>
  <c r="BL377"/>
  <c r="BL379"/>
  <c r="BA381"/>
  <c r="AZ381"/>
  <c r="BA382"/>
  <c r="BL382"/>
  <c r="G383"/>
  <c r="G386"/>
  <c r="BL387"/>
  <c r="BA389"/>
  <c r="AZ389" s="1"/>
  <c r="BA390"/>
  <c r="BL390"/>
  <c r="G391"/>
  <c r="G394"/>
  <c r="AZ138"/>
  <c r="AZ142"/>
  <c r="AZ146"/>
  <c r="AZ150"/>
  <c r="AZ154"/>
  <c r="AZ158"/>
  <c r="AZ162"/>
  <c r="AZ166"/>
  <c r="AZ170"/>
  <c r="AZ174"/>
  <c r="AZ178"/>
  <c r="AZ182"/>
  <c r="AZ186"/>
  <c r="AZ190"/>
  <c r="AZ194"/>
  <c r="AZ198"/>
  <c r="AZ202"/>
  <c r="AZ206"/>
  <c r="AZ500"/>
  <c r="BA16"/>
  <c r="AZ16" s="1"/>
  <c r="BL303"/>
  <c r="G304"/>
  <c r="BA306"/>
  <c r="AZ306"/>
  <c r="BL307"/>
  <c r="AZ307"/>
  <c r="G308"/>
  <c r="BA310"/>
  <c r="AZ310" s="1"/>
  <c r="BL311"/>
  <c r="AZ311" s="1"/>
  <c r="G312"/>
  <c r="BA314"/>
  <c r="AZ314" s="1"/>
  <c r="BL315"/>
  <c r="AZ315" s="1"/>
  <c r="G316"/>
  <c r="BA318"/>
  <c r="AZ318"/>
  <c r="BL319"/>
  <c r="G320"/>
  <c r="BA322"/>
  <c r="AZ322"/>
  <c r="BL323"/>
  <c r="AZ323"/>
  <c r="G324"/>
  <c r="BA326"/>
  <c r="AZ326" s="1"/>
  <c r="BL327"/>
  <c r="AZ327" s="1"/>
  <c r="G328"/>
  <c r="BA330"/>
  <c r="AZ330" s="1"/>
  <c r="BL331"/>
  <c r="AZ331" s="1"/>
  <c r="G332"/>
  <c r="BA334"/>
  <c r="AZ334"/>
  <c r="BL335"/>
  <c r="G336"/>
  <c r="BA338"/>
  <c r="AZ338"/>
  <c r="BL339"/>
  <c r="AZ339"/>
  <c r="G340"/>
  <c r="BL343"/>
  <c r="G344"/>
  <c r="G348"/>
  <c r="G355"/>
  <c r="AZ209"/>
  <c r="AZ214"/>
  <c r="AZ218"/>
  <c r="AZ222"/>
  <c r="AZ303"/>
  <c r="AZ319"/>
  <c r="AZ335"/>
  <c r="G342"/>
  <c r="BL345"/>
  <c r="AZ345" s="1"/>
  <c r="G346"/>
  <c r="AZ348"/>
  <c r="BL349"/>
  <c r="AZ349"/>
  <c r="BL352"/>
  <c r="G353"/>
  <c r="BA357"/>
  <c r="AZ357"/>
  <c r="BL358"/>
  <c r="AZ358"/>
  <c r="G359"/>
  <c r="BA361"/>
  <c r="AZ361" s="1"/>
  <c r="BL362"/>
  <c r="G363"/>
  <c r="BA365"/>
  <c r="AZ365" s="1"/>
  <c r="BL366"/>
  <c r="AZ366" s="1"/>
  <c r="G367"/>
  <c r="BA369"/>
  <c r="AZ369"/>
  <c r="BL370"/>
  <c r="G371"/>
  <c r="BA373"/>
  <c r="AZ373"/>
  <c r="BL374"/>
  <c r="AZ374"/>
  <c r="G375"/>
  <c r="BA377"/>
  <c r="AZ377" s="1"/>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O5"/>
  <c r="BM5"/>
  <c r="F29" i="6" s="1"/>
  <c r="BJ5" i="3"/>
  <c r="BH5"/>
  <c r="BF5"/>
  <c r="BD5"/>
  <c r="AZ309"/>
  <c r="AZ317"/>
  <c r="AZ325"/>
  <c r="AZ333"/>
  <c r="AZ341"/>
  <c r="BQ5"/>
  <c r="AC5"/>
  <c r="AZ549"/>
  <c r="AZ506"/>
  <c r="AZ496"/>
  <c r="G548"/>
  <c r="G538"/>
  <c r="G520"/>
  <c r="G502"/>
  <c r="BS5"/>
  <c r="BP5"/>
  <c r="BN5"/>
  <c r="AZ343"/>
  <c r="BK5"/>
  <c r="BI5"/>
  <c r="BG5"/>
  <c r="BE5"/>
  <c r="BC5"/>
  <c r="G17"/>
  <c r="BA17"/>
  <c r="BT5"/>
  <c r="AZ350"/>
  <c r="AZ352"/>
  <c r="AZ356"/>
  <c r="AZ360"/>
  <c r="AZ364"/>
  <c r="AZ368"/>
  <c r="BA15"/>
  <c r="BB5"/>
  <c r="BR5"/>
  <c r="G28" i="6" s="1"/>
  <c r="AZ380" i="3"/>
  <c r="AZ384"/>
  <c r="AZ388"/>
  <c r="AZ392"/>
  <c r="AZ396"/>
  <c r="AZ394"/>
  <c r="AZ499"/>
  <c r="AZ509"/>
  <c r="E8" i="6"/>
  <c r="F27" s="1"/>
  <c r="G509" i="3"/>
  <c r="BL493"/>
  <c r="AZ491"/>
  <c r="AZ376"/>
  <c r="AZ390"/>
  <c r="AZ382"/>
  <c r="AZ493"/>
  <c r="U36" i="40"/>
  <c r="N4" i="43"/>
  <c r="F36"/>
  <c r="F81"/>
  <c r="H83" s="1"/>
  <c r="H113"/>
  <c r="F48"/>
  <c r="H52" s="1"/>
  <c r="N7"/>
  <c r="F70"/>
  <c r="H73" s="1"/>
  <c r="M6"/>
  <c r="M11"/>
  <c r="E17"/>
  <c r="F39"/>
  <c r="I17"/>
  <c r="F35"/>
  <c r="J17"/>
  <c r="F6" i="1"/>
  <c r="U17" i="39"/>
  <c r="S14" i="35"/>
  <c r="U43" i="21"/>
  <c r="U35"/>
  <c r="AC35"/>
  <c r="U10"/>
  <c r="G9" i="1"/>
  <c r="F48" i="9"/>
  <c r="O52" s="1"/>
  <c r="AZ563" i="3"/>
  <c r="AZ501"/>
  <c r="W37" i="37"/>
  <c r="W44" i="34"/>
  <c r="AC44"/>
  <c r="S15" i="37"/>
  <c r="U13"/>
  <c r="U12" i="40"/>
  <c r="AA12"/>
  <c r="J37" i="33"/>
  <c r="W37" s="1"/>
  <c r="AC17" i="34"/>
  <c r="F106" i="33"/>
  <c r="G106" s="1"/>
  <c r="H106" s="1"/>
  <c r="I106" s="1"/>
  <c r="J106" s="1"/>
  <c r="K106" s="1"/>
  <c r="L106" s="1"/>
  <c r="M106" s="1"/>
  <c r="J34"/>
  <c r="W34" s="1"/>
  <c r="F33" i="34"/>
  <c r="S33" s="1"/>
  <c r="W12" i="36"/>
  <c r="AC12"/>
  <c r="H20"/>
  <c r="U20" s="1"/>
  <c r="J20"/>
  <c r="W20" s="1"/>
  <c r="W24"/>
  <c r="J27"/>
  <c r="W27" s="1"/>
  <c r="AB25" i="37"/>
  <c r="AC33" i="40"/>
  <c r="F111"/>
  <c r="G111"/>
  <c r="H111" s="1"/>
  <c r="I111" s="1"/>
  <c r="J111" s="1"/>
  <c r="K111" s="1"/>
  <c r="L111" s="1"/>
  <c r="M111" s="1"/>
  <c r="H35"/>
  <c r="AB35" s="1"/>
  <c r="AC29" i="35"/>
  <c r="W29"/>
  <c r="H35" i="37"/>
  <c r="U35" s="1"/>
  <c r="AC14" i="35"/>
  <c r="H20"/>
  <c r="U20" s="1"/>
  <c r="F20"/>
  <c r="AA20" s="1"/>
  <c r="AB23"/>
  <c r="AB29" i="36"/>
  <c r="U29"/>
  <c r="H32" i="37"/>
  <c r="AB32" s="1"/>
  <c r="F96"/>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3" i="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4" i="43"/>
  <c r="H49"/>
  <c r="I20"/>
  <c r="F23" i="39"/>
  <c r="AA23" s="1"/>
  <c r="H27" i="36"/>
  <c r="U27" s="1"/>
  <c r="F27"/>
  <c r="AA27" s="1"/>
  <c r="H33" i="34"/>
  <c r="U33" s="1"/>
  <c r="F32" i="37"/>
  <c r="AA32" s="1"/>
  <c r="G96"/>
  <c r="H96"/>
  <c r="I96" s="1"/>
  <c r="J96" s="1"/>
  <c r="K96" s="1"/>
  <c r="L96" s="1"/>
  <c r="M96" s="1"/>
  <c r="F20" i="36"/>
  <c r="AA20" s="1"/>
  <c r="J33" i="34"/>
  <c r="AC33" s="1"/>
  <c r="H23" i="39"/>
  <c r="U23" s="1"/>
  <c r="D48" i="9"/>
  <c r="M52" s="1"/>
  <c r="H86" i="43"/>
  <c r="H82"/>
  <c r="H87"/>
  <c r="K9" i="1"/>
  <c r="M9" s="1"/>
  <c r="O9" s="1"/>
  <c r="P9" s="1"/>
  <c r="AE9"/>
  <c r="AC11" i="39" l="1"/>
  <c r="J51" i="15"/>
  <c r="H48" i="43"/>
  <c r="H50"/>
  <c r="H75"/>
  <c r="G8" i="1"/>
  <c r="G7"/>
  <c r="S42" i="39"/>
  <c r="W27"/>
  <c r="BL15" i="3"/>
  <c r="AZ15" s="1"/>
  <c r="A15" i="62"/>
  <c r="B61" i="72" s="1"/>
  <c r="D93" i="9"/>
  <c r="E12" i="6"/>
  <c r="E15"/>
  <c r="E60" i="40" s="1"/>
  <c r="K6" i="1"/>
  <c r="E13" i="6"/>
  <c r="E58" i="40"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R12"/>
  <c r="B12"/>
  <c r="E12" s="1"/>
  <c r="S10"/>
  <c r="AQ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F53" i="9" s="1"/>
  <c r="S22" i="3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E10" i="6"/>
  <c r="BA5" i="3"/>
  <c r="E27" i="6" s="1"/>
  <c r="E11"/>
  <c r="E61" i="39" s="1"/>
  <c r="BL17" i="3"/>
  <c r="AZ17" s="1"/>
  <c r="BL13"/>
  <c r="E65" i="39"/>
  <c r="G30" i="6"/>
  <c r="G31" s="1"/>
  <c r="J56" i="9"/>
  <c r="J57" s="1"/>
  <c r="A24" i="51"/>
  <c r="B18" i="72" s="1"/>
  <c r="U29" i="34"/>
  <c r="C106" i="43"/>
  <c r="E14" i="6"/>
  <c r="E64" i="39" s="1"/>
  <c r="E5" i="6"/>
  <c r="D9" i="11" s="1"/>
  <c r="C9" s="1"/>
  <c r="J105" i="43"/>
  <c r="I115"/>
  <c r="J115" s="1"/>
  <c r="K115" s="1"/>
  <c r="L115" s="1"/>
  <c r="M115" s="1"/>
  <c r="G102"/>
  <c r="P10" i="1"/>
  <c r="H22" i="43"/>
  <c r="L101"/>
  <c r="L109" s="1"/>
  <c r="H101"/>
  <c r="D101"/>
  <c r="D109" s="1"/>
  <c r="M101"/>
  <c r="M109" s="1"/>
  <c r="I101"/>
  <c r="I109" s="1"/>
  <c r="E101"/>
  <c r="G22"/>
  <c r="E32" i="6"/>
  <c r="L19" s="1"/>
  <c r="G1" i="68"/>
  <c r="K1" i="12"/>
  <c r="F30" i="6"/>
  <c r="F31" s="1"/>
  <c r="E28"/>
  <c r="N103" i="43"/>
  <c r="N105"/>
  <c r="N106"/>
  <c r="J107"/>
  <c r="J103"/>
  <c r="J102"/>
  <c r="F107"/>
  <c r="F106"/>
  <c r="C105"/>
  <c r="K107"/>
  <c r="K102"/>
  <c r="K104"/>
  <c r="G107"/>
  <c r="G103"/>
  <c r="G104"/>
  <c r="I118"/>
  <c r="J118" s="1"/>
  <c r="K118" s="1"/>
  <c r="L118" s="1"/>
  <c r="M118" s="1"/>
  <c r="D118"/>
  <c r="E118" s="1"/>
  <c r="F118" s="1"/>
  <c r="B116"/>
  <c r="C116" s="1"/>
  <c r="I117"/>
  <c r="J117" s="1"/>
  <c r="K117" s="1"/>
  <c r="L117" s="1"/>
  <c r="M117" s="1"/>
  <c r="E57" i="40"/>
  <c r="B117" i="43"/>
  <c r="C117" s="1"/>
  <c r="D115"/>
  <c r="E115" s="1"/>
  <c r="F115" s="1"/>
  <c r="G115" s="1"/>
  <c r="H115" s="1"/>
  <c r="G106"/>
  <c r="K106"/>
  <c r="K105"/>
  <c r="C102"/>
  <c r="S2" s="1"/>
  <c r="F105"/>
  <c r="J106"/>
  <c r="N104"/>
  <c r="N107"/>
  <c r="E56" i="40"/>
  <c r="AR12" i="1"/>
  <c r="AQ12"/>
  <c r="T12"/>
  <c r="AR10"/>
  <c r="E19" i="69"/>
  <c r="E19" i="68"/>
  <c r="E19" i="11"/>
  <c r="E1" i="73"/>
  <c r="K1" s="1"/>
  <c r="G41" i="69"/>
  <c r="G22"/>
  <c r="G41" i="68"/>
  <c r="G22"/>
  <c r="G27" i="12"/>
  <c r="G26"/>
  <c r="G41" i="11"/>
  <c r="G22"/>
  <c r="G25" i="12"/>
  <c r="J109" i="43"/>
  <c r="C100"/>
  <c r="K109"/>
  <c r="E11"/>
  <c r="E10"/>
  <c r="E9"/>
  <c r="E8"/>
  <c r="C7" s="1"/>
  <c r="E81"/>
  <c r="B79" s="1"/>
  <c r="F109"/>
  <c r="AJ11"/>
  <c r="AJ13" s="1"/>
  <c r="AH11"/>
  <c r="AH13" s="1"/>
  <c r="AF11"/>
  <c r="AF13" s="1"/>
  <c r="AD11"/>
  <c r="AD13" s="1"/>
  <c r="AB11"/>
  <c r="AB13" s="1"/>
  <c r="Z11"/>
  <c r="Z13" s="1"/>
  <c r="Z7"/>
  <c r="S5"/>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7" i="33"/>
  <c r="C58" s="1"/>
  <c r="D58" s="1"/>
  <c r="E58" s="1"/>
  <c r="F58" s="1"/>
  <c r="G58" s="1"/>
  <c r="H58" s="1"/>
  <c r="I58" s="1"/>
  <c r="J58" s="1"/>
  <c r="K58" s="1"/>
  <c r="L58" s="1"/>
  <c r="M58" s="1"/>
  <c r="N58" s="1"/>
  <c r="O58" s="1"/>
  <c r="C7" i="21"/>
  <c r="C7" i="40"/>
  <c r="C63" s="1"/>
  <c r="M47" i="9"/>
  <c r="G19" i="43"/>
  <c r="M20" s="1"/>
  <c r="T35" i="4"/>
  <c r="A19" i="51" s="1"/>
  <c r="B14" i="72" s="1"/>
  <c r="C46" i="36"/>
  <c r="D46" s="1"/>
  <c r="E46" s="1"/>
  <c r="C59" i="34"/>
  <c r="D59" s="1"/>
  <c r="C52" i="37"/>
  <c r="D52" s="1"/>
  <c r="A4" i="51"/>
  <c r="B6" i="72" s="1"/>
  <c r="C48" i="35"/>
  <c r="D48" s="1"/>
  <c r="C58" i="21"/>
  <c r="D58" s="1"/>
  <c r="C94" i="9"/>
  <c r="C4" i="12"/>
  <c r="C92" i="9"/>
  <c r="H62" i="43"/>
  <c r="H66"/>
  <c r="H61"/>
  <c r="H65"/>
  <c r="H60"/>
  <c r="H64"/>
  <c r="H59"/>
  <c r="H63"/>
  <c r="H67"/>
  <c r="H55"/>
  <c r="H51"/>
  <c r="H56"/>
  <c r="H76"/>
  <c r="H72"/>
  <c r="H77"/>
  <c r="L20" i="6"/>
  <c r="E62" i="39"/>
  <c r="E56"/>
  <c r="E51" i="40"/>
  <c r="B6" i="1"/>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J10" s="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C4" i="4" s="1"/>
  <c r="B8" i="49"/>
  <c r="E4"/>
  <c r="E11"/>
  <c r="F40" i="15"/>
  <c r="M26" i="67"/>
  <c r="F36"/>
  <c r="M6"/>
  <c r="M23" i="15"/>
  <c r="F9" i="67"/>
  <c r="J15"/>
  <c r="M22" i="15"/>
  <c r="F37" i="67"/>
  <c r="F43"/>
  <c r="F6"/>
  <c r="M26" i="15"/>
  <c r="F36"/>
  <c r="M6"/>
  <c r="L48"/>
  <c r="M9" i="67"/>
  <c r="F7" i="15"/>
  <c r="M28" i="67"/>
  <c r="F37" i="15"/>
  <c r="M24" i="67"/>
  <c r="F13" i="15"/>
  <c r="J15"/>
  <c r="M24"/>
  <c r="F16"/>
  <c r="L48" i="67"/>
  <c r="C76"/>
  <c r="M22"/>
  <c r="F7"/>
  <c r="G1" i="73"/>
  <c r="F6" i="15"/>
  <c r="F42" i="67"/>
  <c r="C76" i="15"/>
  <c r="F9"/>
  <c r="M29"/>
  <c r="F26"/>
  <c r="M28"/>
  <c r="M8" i="67"/>
  <c r="M8" i="15"/>
  <c r="F42"/>
  <c r="F40" i="67"/>
  <c r="L47"/>
  <c r="F13"/>
  <c r="M29"/>
  <c r="F16"/>
  <c r="F38" i="15"/>
  <c r="L47"/>
  <c r="F8"/>
  <c r="F26" i="67"/>
  <c r="F43" i="15"/>
  <c r="M9"/>
  <c r="F8" i="67"/>
  <c r="M23"/>
  <c r="F38"/>
  <c r="C109" i="43" l="1"/>
  <c r="T10" i="1"/>
  <c r="F103" i="43"/>
  <c r="I116"/>
  <c r="J116" s="1"/>
  <c r="K116" s="1"/>
  <c r="L116" s="1"/>
  <c r="M116" s="1"/>
  <c r="B118"/>
  <c r="C118" s="1"/>
  <c r="G118"/>
  <c r="H118" s="1"/>
  <c r="D116"/>
  <c r="E116" s="1"/>
  <c r="F116" s="1"/>
  <c r="G116" s="1"/>
  <c r="H116" s="1"/>
  <c r="C103"/>
  <c r="C107"/>
  <c r="F102"/>
  <c r="D22"/>
  <c r="E4" i="4"/>
  <c r="B5" i="62" s="1"/>
  <c r="C53" i="15"/>
  <c r="C10" i="67"/>
  <c r="C53"/>
  <c r="L58"/>
  <c r="L58" i="15"/>
  <c r="Q73" s="1"/>
  <c r="N59" i="67"/>
  <c r="L59" s="1"/>
  <c r="M59"/>
  <c r="M59" i="15"/>
  <c r="J53" i="67"/>
  <c r="I54"/>
  <c r="N59" i="15"/>
  <c r="I54"/>
  <c r="J53"/>
  <c r="L56" s="1"/>
  <c r="AQ13" i="1"/>
  <c r="AZ13" i="3"/>
  <c r="M6" i="1"/>
  <c r="O6" s="1"/>
  <c r="P6" s="1"/>
  <c r="F30" i="68"/>
  <c r="C30" s="1"/>
  <c r="F30" i="11"/>
  <c r="C48" s="1"/>
  <c r="F28" i="67"/>
  <c r="C28" s="1"/>
  <c r="F31" i="12"/>
  <c r="F52" i="9"/>
  <c r="C31" i="12"/>
  <c r="M18" i="67"/>
  <c r="F32"/>
  <c r="F60" s="1"/>
  <c r="F30" i="69"/>
  <c r="C48" s="1"/>
  <c r="F32" i="15"/>
  <c r="F60" s="1"/>
  <c r="M18"/>
  <c r="F28"/>
  <c r="C28" s="1"/>
  <c r="E63" i="39"/>
  <c r="T11" i="1"/>
  <c r="D9" i="69"/>
  <c r="C9" s="1"/>
  <c r="D19" i="12"/>
  <c r="C19" s="1"/>
  <c r="AQ9" i="1"/>
  <c r="AR11"/>
  <c r="E59" i="40"/>
  <c r="D68" i="39"/>
  <c r="D70" s="1"/>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77" i="9"/>
  <c r="C74" s="1"/>
  <c r="E66" i="39"/>
  <c r="K20" i="6"/>
  <c r="S7" i="1" s="1"/>
  <c r="E7" i="70"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S6" i="43"/>
  <c r="C23"/>
  <c r="C21" s="1"/>
  <c r="S4"/>
  <c r="S3"/>
  <c r="S7"/>
  <c r="D113"/>
  <c r="J2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C19" i="43"/>
  <c r="J59" i="9"/>
  <c r="J61" s="1"/>
  <c r="K21" i="6"/>
  <c r="M21" s="1"/>
  <c r="I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M22" s="1"/>
  <c r="I22" s="1"/>
  <c r="E102" i="43"/>
  <c r="E104"/>
  <c r="E106"/>
  <c r="E107"/>
  <c r="E103"/>
  <c r="E105"/>
  <c r="M102"/>
  <c r="M104"/>
  <c r="M106"/>
  <c r="M107"/>
  <c r="M103"/>
  <c r="M105"/>
  <c r="H102"/>
  <c r="H107"/>
  <c r="H103"/>
  <c r="H106"/>
  <c r="H104"/>
  <c r="H105"/>
  <c r="K19" i="6"/>
  <c r="S6" i="1" s="1"/>
  <c r="AQ6"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AQ7"/>
  <c r="R22" i="31"/>
  <c r="B21" s="1"/>
  <c r="B40" i="1"/>
  <c r="O19" i="43"/>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S21" i="6"/>
  <c r="L27"/>
  <c r="S22"/>
  <c r="M20"/>
  <c r="I20" s="1"/>
  <c r="G16" i="1"/>
  <c r="H10" i="40" s="1"/>
  <c r="U10" s="1"/>
  <c r="C27" i="67"/>
  <c r="L56"/>
  <c r="J57"/>
  <c r="J55" s="1"/>
  <c r="J58" s="1"/>
  <c r="Q50" s="1"/>
  <c r="F70"/>
  <c r="F51"/>
  <c r="F68"/>
  <c r="F71"/>
  <c r="F66"/>
  <c r="F50"/>
  <c r="M7"/>
  <c r="Q71"/>
  <c r="F64"/>
  <c r="C6"/>
  <c r="F65"/>
  <c r="F71" i="15"/>
  <c r="C27"/>
  <c r="Q71"/>
  <c r="F64"/>
  <c r="F51"/>
  <c r="F65"/>
  <c r="J57"/>
  <c r="J55" s="1"/>
  <c r="J58" s="1"/>
  <c r="Q50" s="1"/>
  <c r="F68"/>
  <c r="M7"/>
  <c r="F50"/>
  <c r="F66"/>
  <c r="C6"/>
  <c r="C10" s="1"/>
  <c r="AP7" i="1"/>
  <c r="M7"/>
  <c r="O7" s="1"/>
  <c r="Q16"/>
  <c r="F27" i="69" s="1"/>
  <c r="H16" i="1"/>
  <c r="K16"/>
  <c r="AB45" i="21"/>
  <c r="AC33"/>
  <c r="W33"/>
  <c r="S33"/>
  <c r="AA33"/>
  <c r="W32"/>
  <c r="AC32"/>
  <c r="AB9"/>
  <c r="U9"/>
  <c r="AA32"/>
  <c r="S32"/>
  <c r="W9"/>
  <c r="AC9"/>
  <c r="AB32"/>
  <c r="U32"/>
  <c r="AA10"/>
  <c r="S10"/>
  <c r="C36" i="69"/>
  <c r="F59" i="67"/>
  <c r="F59" i="15"/>
  <c r="M17" i="67"/>
  <c r="F31" i="15"/>
  <c r="M17"/>
  <c r="F31" i="67"/>
  <c r="D9" i="68"/>
  <c r="C17" i="15"/>
  <c r="C16" i="67"/>
  <c r="C16" i="15"/>
  <c r="B71" i="72" l="1"/>
  <c r="B73"/>
  <c r="C9" i="68"/>
  <c r="K4" i="4"/>
  <c r="B46" i="48" s="1"/>
  <c r="C30" i="69"/>
  <c r="C48" i="68"/>
  <c r="M19" i="6"/>
  <c r="AR6" i="1"/>
  <c r="T7"/>
  <c r="AR7"/>
  <c r="L59" i="15"/>
  <c r="Q74" s="1"/>
  <c r="C30" i="11"/>
  <c r="E6" i="70"/>
  <c r="K27" i="6"/>
  <c r="A18" i="62"/>
  <c r="B64" i="72"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J10" s="1"/>
  <c r="T6" i="1"/>
  <c r="F7" i="36"/>
  <c r="S7" s="1"/>
  <c r="H7" i="37"/>
  <c r="U7" s="1"/>
  <c r="H6" i="3"/>
  <c r="AC6"/>
  <c r="C5" i="15"/>
  <c r="C32" s="1"/>
  <c r="E6" i="6"/>
  <c r="D19" i="11"/>
  <c r="C19" s="1"/>
  <c r="C20" s="1"/>
  <c r="C17" i="4"/>
  <c r="B4" i="52" s="1"/>
  <c r="B43" i="72" s="1"/>
  <c r="D37" i="11"/>
  <c r="L18" i="9"/>
  <c r="D14" i="12"/>
  <c r="D17" s="1"/>
  <c r="C17" s="1"/>
  <c r="D3" i="37"/>
  <c r="M18" i="9"/>
  <c r="B118" s="1"/>
  <c r="B14" i="74" s="1"/>
  <c r="B1"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7"/>
  <c r="C32" s="1"/>
  <c r="F10" i="40"/>
  <c r="AA10" s="1"/>
  <c r="S20" i="6"/>
  <c r="I19"/>
  <c r="M27"/>
  <c r="H10" i="39"/>
  <c r="J10"/>
  <c r="C49" i="15"/>
  <c r="Q60"/>
  <c r="M16" i="1"/>
  <c r="N16" s="1"/>
  <c r="Q60" i="67"/>
  <c r="Q73"/>
  <c r="F27" i="11"/>
  <c r="Q61" i="67"/>
  <c r="Q74"/>
  <c r="C49"/>
  <c r="F1"/>
  <c r="Q52"/>
  <c r="F27" i="68"/>
  <c r="B4" i="72" l="1"/>
  <c r="C29" i="68"/>
  <c r="D27" s="1"/>
  <c r="Q61" i="15"/>
  <c r="E37" i="43"/>
  <c r="AA7" i="36"/>
  <c r="R36" s="1"/>
  <c r="E36" s="1"/>
  <c r="E40" s="1"/>
  <c r="F40" s="1"/>
  <c r="AC11" i="37"/>
  <c r="W11"/>
  <c r="AB7"/>
  <c r="T42" s="1"/>
  <c r="G42" s="1"/>
  <c r="G46" s="1"/>
  <c r="H46" s="1"/>
  <c r="W11" i="34"/>
  <c r="AC11"/>
  <c r="J5" i="67"/>
  <c r="J5" i="15"/>
  <c r="H20" i="6"/>
  <c r="AB7" i="36"/>
  <c r="T36" s="1"/>
  <c r="C38" i="15"/>
  <c r="E38" i="43"/>
  <c r="E6" i="3"/>
  <c r="C47" i="68"/>
  <c r="D45" s="1"/>
  <c r="AA10" i="39"/>
  <c r="D10" i="11"/>
  <c r="C10" s="1"/>
  <c r="D20" i="12"/>
  <c r="C20" s="1"/>
  <c r="C18" s="1"/>
  <c r="M19" i="9"/>
  <c r="C118" s="1"/>
  <c r="C14" i="74" s="1"/>
  <c r="B2" s="1"/>
  <c r="D19" i="6"/>
  <c r="D25"/>
  <c r="D26"/>
  <c r="D15"/>
  <c r="C18" i="4"/>
  <c r="D22" i="6"/>
  <c r="D8"/>
  <c r="D21"/>
  <c r="D23"/>
  <c r="D24"/>
  <c r="D14"/>
  <c r="D20"/>
  <c r="D5"/>
  <c r="D6"/>
  <c r="D12"/>
  <c r="D9"/>
  <c r="D11"/>
  <c r="D10"/>
  <c r="D13"/>
  <c r="L19" i="9"/>
  <c r="D28" i="6"/>
  <c r="D29"/>
  <c r="E61" i="40"/>
  <c r="H25" i="6"/>
  <c r="R25" s="1"/>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S19"/>
  <c r="S27" s="1"/>
  <c r="I27"/>
  <c r="W10" i="39"/>
  <c r="AC10"/>
  <c r="U10"/>
  <c r="AB10"/>
  <c r="F50" i="11"/>
  <c r="F50" i="69"/>
  <c r="F50" i="68"/>
  <c r="C47" i="11"/>
  <c r="D45" s="1"/>
  <c r="C29"/>
  <c r="D27" s="1"/>
  <c r="C28"/>
  <c r="C27" s="1"/>
  <c r="L16" i="1"/>
  <c r="C34" i="11"/>
  <c r="D10" i="68"/>
  <c r="C36"/>
  <c r="R20" i="6" l="1"/>
  <c r="R7" i="1" s="1"/>
  <c r="C36" i="11"/>
  <c r="J24" i="67"/>
  <c r="J18"/>
  <c r="J24" i="15"/>
  <c r="J18"/>
  <c r="G36" i="36"/>
  <c r="R37"/>
  <c r="AB7" i="34"/>
  <c r="T49" s="1"/>
  <c r="G49" s="1"/>
  <c r="G53" s="1"/>
  <c r="H53" s="1"/>
  <c r="W7" i="21"/>
  <c r="AA7"/>
  <c r="R48" s="1"/>
  <c r="E48" s="1"/>
  <c r="E52" s="1"/>
  <c r="F52" s="1"/>
  <c r="R26" i="6"/>
  <c r="R23"/>
  <c r="R24"/>
  <c r="R21"/>
  <c r="R8" i="1" s="1"/>
  <c r="R22" i="6"/>
  <c r="D30"/>
  <c r="D16"/>
  <c r="A7" i="51"/>
  <c r="C4" i="52"/>
  <c r="B45" i="72" s="1"/>
  <c r="A10" i="51"/>
  <c r="D27" i="6"/>
  <c r="D19" i="68"/>
  <c r="C10"/>
  <c r="C8" s="1"/>
  <c r="C12" i="12"/>
  <c r="C15"/>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38"/>
  <c r="C14" i="12"/>
  <c r="C23"/>
  <c r="E6" i="76"/>
  <c r="C34" i="68"/>
  <c r="B9" i="72" l="1"/>
  <c r="B7"/>
  <c r="D31" i="6"/>
  <c r="I6" s="1"/>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F35" i="15"/>
  <c r="F35" i="67"/>
  <c r="M21"/>
  <c r="B6" i="76"/>
  <c r="M21" i="15"/>
  <c r="I5" i="6" l="1"/>
  <c r="B2" i="76"/>
  <c r="B3" s="1"/>
  <c r="B3" i="43"/>
  <c r="C49" i="21"/>
  <c r="F63" i="67"/>
  <c r="C62" s="1"/>
  <c r="C34"/>
  <c r="J20"/>
  <c r="C24" i="68"/>
  <c r="J20" i="15"/>
  <c r="F63"/>
  <c r="C62" s="1"/>
  <c r="C34"/>
  <c r="R16" i="1"/>
  <c r="C22" i="12"/>
  <c r="C30" s="1"/>
  <c r="C28" s="1"/>
  <c r="C33" i="68"/>
  <c r="I63" i="40"/>
  <c r="H65"/>
  <c r="C39" i="11"/>
  <c r="C43" s="1"/>
  <c r="C41" s="1"/>
  <c r="I70" i="39"/>
  <c r="C27" i="12" l="1"/>
  <c r="C25" s="1"/>
  <c r="C32" s="1"/>
  <c r="B2" s="1"/>
  <c r="B3" s="1"/>
  <c r="C39" i="68"/>
  <c r="C43" s="1"/>
  <c r="C42"/>
  <c r="J63" i="40"/>
  <c r="I65"/>
  <c r="C46" i="11"/>
  <c r="C45" s="1"/>
  <c r="C49" s="1"/>
  <c r="C51" s="1"/>
  <c r="C52" s="1"/>
  <c r="B2" s="1"/>
  <c r="B3" s="1"/>
  <c r="J70" i="39"/>
  <c r="C41" i="68" l="1"/>
  <c r="C46"/>
  <c r="C45" s="1"/>
  <c r="K63" i="40"/>
  <c r="J65"/>
  <c r="K70" i="39"/>
  <c r="C56" i="11"/>
  <c r="C57" s="1"/>
  <c r="C49" i="68" l="1"/>
  <c r="C51"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L51" i="67"/>
  <c r="C14" i="15"/>
  <c r="L57" i="6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C66" i="15" l="1"/>
  <c r="C60"/>
  <c r="C59" s="1"/>
  <c r="AG6" i="1"/>
  <c r="C80" i="15"/>
  <c r="C79" s="1"/>
  <c r="C65"/>
  <c r="Q68"/>
  <c r="L57"/>
  <c r="L60" s="1"/>
  <c r="L51"/>
  <c r="F41"/>
  <c r="M27" i="67"/>
  <c r="M27" i="15"/>
  <c r="F41" i="67"/>
  <c r="Q67" i="15" l="1"/>
  <c r="J26"/>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6" i="1"/>
  <c r="AO7"/>
  <c r="AO8"/>
  <c r="E2" i="69"/>
  <c r="B8" i="70" l="1"/>
  <c r="B7"/>
  <c r="B6"/>
  <c r="C46" i="15"/>
  <c r="B2" i="69"/>
  <c r="B3" s="1"/>
  <c r="B3" i="67"/>
  <c r="E2" i="68"/>
  <c r="D2" i="35"/>
  <c r="F20" i="31"/>
  <c r="D2" i="37"/>
  <c r="D2" i="33"/>
  <c r="D2" i="34"/>
  <c r="D2" i="21"/>
  <c r="D2" i="36"/>
  <c r="B20" i="31" l="1"/>
  <c r="B2" i="36"/>
  <c r="B3" s="1"/>
  <c r="B2" i="35"/>
  <c r="B3" s="1"/>
  <c r="B2" i="37"/>
  <c r="B3" s="1"/>
  <c r="B2" i="34"/>
  <c r="B3" s="1"/>
  <c r="B2" i="21"/>
  <c r="B3" s="1"/>
  <c r="B2" i="70"/>
  <c r="B3" s="1"/>
  <c r="D19" i="9"/>
  <c r="D20"/>
  <c r="D102" l="1"/>
  <c r="D21"/>
  <c r="D103"/>
  <c r="D34"/>
  <c r="J7" i="33" l="1"/>
  <c r="W7" s="1"/>
  <c r="F7"/>
  <c r="S7" s="1"/>
  <c r="H7"/>
  <c r="AB7" s="1"/>
  <c r="T48" s="1"/>
  <c r="G48" s="1"/>
  <c r="G52" l="1"/>
  <c r="H52" s="1"/>
  <c r="AA7"/>
  <c r="R48" s="1"/>
  <c r="U7"/>
  <c r="AC7"/>
  <c r="V48" s="1"/>
  <c r="I48" s="1"/>
  <c r="I52" l="1"/>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D35" i="9"/>
  <c r="B3" i="39" l="1"/>
  <c r="C6" i="68"/>
  <c r="C7" l="1"/>
  <c r="C5" s="1"/>
  <c r="C23" l="1"/>
  <c r="C20"/>
  <c r="H112" i="9"/>
  <c r="D21" i="53" s="1"/>
  <c r="B39" i="72" s="1"/>
  <c r="H111" i="9"/>
  <c r="D126" s="1"/>
  <c r="D59"/>
  <c r="M55"/>
  <c r="C28" i="68" l="1"/>
  <c r="C27" s="1"/>
  <c r="C25"/>
  <c r="C22" s="1"/>
  <c r="D19" i="53"/>
  <c r="B38" i="72"/>
  <c r="D20" i="53"/>
  <c r="B40" i="72" s="1"/>
  <c r="I14" i="74"/>
  <c r="B8" s="1"/>
  <c r="D127" i="9"/>
  <c r="D13" i="52" s="1"/>
  <c r="D12"/>
  <c r="C31" i="68" l="1"/>
  <c r="C52" s="1"/>
  <c r="D8" i="74"/>
  <c r="C8"/>
  <c r="C57" i="68" l="1"/>
  <c r="C56" s="1"/>
  <c r="B2"/>
  <c r="B3"/>
  <c r="C19" i="9"/>
  <c r="C102" l="1"/>
  <c r="C21"/>
  <c r="G19"/>
  <c r="D22"/>
  <c r="C20"/>
  <c r="C103" l="1"/>
  <c r="G20"/>
  <c r="G21"/>
  <c r="C32"/>
  <c r="C35" l="1"/>
  <c r="F118" s="1"/>
  <c r="H118"/>
  <c r="C104" l="1"/>
  <c r="H101"/>
  <c r="H119"/>
  <c r="H5" i="52" s="1"/>
  <c r="H4"/>
  <c r="I118" i="9"/>
  <c r="D14" i="74"/>
  <c r="G118" i="9"/>
  <c r="G4" i="52" s="1"/>
  <c r="F119" i="9"/>
  <c r="F5" i="52" s="1"/>
  <c r="F4"/>
  <c r="C34" i="9"/>
  <c r="D118" s="1"/>
  <c r="B51" i="72" l="1"/>
  <c r="B52"/>
  <c r="B53"/>
  <c r="C105" i="9"/>
  <c r="I4" i="52"/>
  <c r="H102" i="9"/>
  <c r="D7" i="53" s="1"/>
  <c r="E118" i="9"/>
  <c r="E4" i="52" s="1"/>
  <c r="D119" i="9"/>
  <c r="D5" i="52" s="1"/>
  <c r="D4"/>
  <c r="B5" i="74"/>
  <c r="E14"/>
  <c r="F14"/>
  <c r="H107" i="9"/>
  <c r="H109"/>
  <c r="M48"/>
  <c r="D45"/>
  <c r="D5" i="53"/>
  <c r="AD3" i="71"/>
  <c r="P21" i="43" s="1"/>
  <c r="B49" i="72" l="1"/>
  <c r="B21"/>
  <c r="B47"/>
  <c r="B48"/>
  <c r="D16" i="53"/>
  <c r="M49" i="9"/>
  <c r="H110"/>
  <c r="D18" i="53" s="1"/>
  <c r="D124" i="9"/>
  <c r="D53"/>
  <c r="D52"/>
  <c r="C85"/>
  <c r="D55"/>
  <c r="M53" s="1"/>
  <c r="C93"/>
  <c r="C86" s="1"/>
  <c r="C78"/>
  <c r="C73" s="1"/>
  <c r="C72"/>
  <c r="C64"/>
  <c r="C63" s="1"/>
  <c r="C67" s="1"/>
  <c r="C68" s="1"/>
  <c r="D54" s="1"/>
  <c r="C5" i="74"/>
  <c r="D5"/>
  <c r="B20" i="72"/>
  <c r="D6" i="53"/>
  <c r="D122" i="9"/>
  <c r="D13" i="53"/>
  <c r="H108" i="9"/>
  <c r="D15" i="53" s="1"/>
  <c r="P22" i="43"/>
  <c r="P23"/>
  <c r="B71" i="39" s="1"/>
  <c r="P24" i="43"/>
  <c r="B66" i="40" s="1"/>
  <c r="P25" i="43"/>
  <c r="B31" i="72" l="1"/>
  <c r="B35"/>
  <c r="B22"/>
  <c r="C79" i="9"/>
  <c r="C80" s="1"/>
  <c r="E80" s="1"/>
  <c r="E81" s="1"/>
  <c r="D123"/>
  <c r="D9" i="52" s="1"/>
  <c r="G14" i="74"/>
  <c r="B6" s="1"/>
  <c r="D8" i="52"/>
  <c r="D17" i="53"/>
  <c r="B34" i="72"/>
  <c r="C95" i="9"/>
  <c r="B30" i="72"/>
  <c r="D14" i="53"/>
  <c r="H14" i="74"/>
  <c r="B7" s="1"/>
  <c r="D125" i="9"/>
  <c r="D11" i="52" s="1"/>
  <c r="D10"/>
  <c r="L65" i="9"/>
  <c r="M65" s="1"/>
  <c r="L68"/>
  <c r="M68" s="1"/>
  <c r="L64"/>
  <c r="M64" s="1"/>
  <c r="L66"/>
  <c r="M66" s="1"/>
  <c r="L63"/>
  <c r="M63" s="1"/>
  <c r="L67"/>
  <c r="M67" s="1"/>
  <c r="C81" l="1"/>
  <c r="B32" i="72"/>
  <c r="B36"/>
  <c r="M69" i="9"/>
  <c r="N69" s="1"/>
  <c r="D7" i="74"/>
  <c r="C7"/>
  <c r="C96" i="9"/>
  <c r="E96" s="1"/>
  <c r="E97" s="1"/>
  <c r="C6" i="74"/>
  <c r="D6"/>
  <c r="C97" i="9" l="1"/>
  <c r="D58" s="1"/>
  <c r="D56" s="1"/>
  <c r="M54" s="1"/>
  <c r="N57" s="1"/>
  <c r="P57" s="1"/>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<sst xmlns="http://schemas.openxmlformats.org/spreadsheetml/2006/main" count="8093" uniqueCount="3600">
  <si>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</si>
  <si>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</si>
  <si>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</si>
  <si>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</si>
  <si>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</si>
  <si>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</si>
  <si>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</si>
  <si>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</si>
  <si>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</si>
  <si>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</si>
  <si>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</si>
  <si>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</si>
  <si>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</si>
  <si>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</si>
  <si>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</si>
  <si>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</si>
  <si>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</si>
  <si>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</si>
  <si>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</si>
  <si>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</si>
  <si>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</si>
  <si>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</si>
  <si>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</si>
  <si>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</si>
  <si>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</si>
  <si>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</si>
  <si>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</si>
  <si>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</si>
  <si>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</si>
  <si>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</si>
  <si>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</si>
  <si>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</si>
  <si>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</si>
  <si>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</si>
  <si>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</si>
  <si>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</si>
  <si>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</si>
  <si>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</si>
  <si>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</si>
  <si>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</si>
  <si>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</si>
  <si>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</si>
  <si>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</si>
  <si>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</si>
  <si>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</si>
  <si>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</si>
  <si>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</si>
  <si>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</si>
  <si>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</si>
  <si>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</si>
  <si>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</si>
  <si>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</si>
  <si>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</si>
  <si>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</si>
  <si>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</si>
  <si>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</si>
  <si>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</si>
  <si>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</si>
  <si>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</si>
  <si>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</si>
  <si>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</si>
  <si>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</si>
  <si>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</si>
  <si>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</si>
  <si>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</si>
  <si>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</si>
  <si>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</si>
  <si>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</si>
  <si>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</si>
  <si>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</si>
  <si>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</si>
  <si>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</si>
  <si>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</si>
  <si>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</si>
  <si>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</si>
  <si>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</si>
  <si>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</si>
  <si>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</si>
  <si>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</si>
  <si>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</si>
  <si>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</si>
  <si>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</si>
  <si>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</si>
  <si>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</si>
  <si>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</si>
  <si>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</si>
  <si>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</si>
  <si>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</si>
  <si>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</si>
  <si>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</si>
  <si>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</si>
  <si>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</si>
  <si>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</si>
  <si>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</si>
  <si>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</si>
  <si>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</si>
  <si>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</si>
  <si>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</si>
  <si>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</si>
  <si>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</si>
  <si>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</si>
  <si>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</si>
  <si>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</si>
  <si>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</si>
  <si>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</si>
  <si>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</si>
  <si>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</si>
  <si>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</si>
  <si>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</si>
  <si>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</si>
  <si>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</si>
  <si>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</si>
  <si>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</si>
  <si>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</si>
  <si>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</si>
  <si>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</si>
  <si>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</si>
  <si>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</si>
  <si>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</si>
  <si>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</si>
  <si>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</si>
  <si>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</si>
  <si>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</si>
  <si>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</si>
  <si>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</si>
  <si>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</si>
  <si>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</si>
  <si>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</si>
  <si>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</si>
  <si>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</si>
  <si>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</si>
  <si>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</si>
  <si>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</si>
  <si>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</si>
  <si>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</si>
  <si>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</si>
  <si>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</si>
  <si>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</si>
  <si>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</si>
  <si>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</si>
  <si>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</si>
  <si>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</si>
  <si>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</si>
  <si>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</si>
  <si>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</si>
  <si>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</si>
  <si>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</si>
  <si>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</si>
  <si>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</si>
  <si>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</si>
  <si>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</si>
  <si>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</si>
  <si>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</si>
  <si>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</si>
  <si>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</si>
  <si>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</si>
  <si>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</si>
  <si>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</si>
  <si>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</si>
  <si>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</si>
  <si>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</si>
  <si>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</si>
  <si>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</si>
  <si>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</si>
  <si>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</si>
  <si>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</si>
  <si>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</si>
  <si>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</si>
  <si>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</si>
  <si>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</si>
  <si>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</si>
  <si>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</si>
  <si>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</si>
  <si>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</si>
  <si>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</si>
  <si>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</si>
  <si>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</si>
  <si>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</si>
  <si>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</si>
  <si>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</si>
  <si>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</si>
  <si>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</si>
  <si>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</si>
  <si>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</si>
  <si>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</si>
  <si>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</si>
  <si>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</si>
  <si>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</si>
  <si>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</si>
  <si>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</si>
  <si>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</si>
  <si>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</si>
  <si>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</si>
  <si>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</si>
  <si>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</si>
  <si>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</si>
  <si>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</si>
  <si>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</si>
  <si>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</si>
  <si>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</si>
  <si>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</si>
  <si>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</si>
  <si>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</si>
  <si>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</si>
  <si>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</si>
  <si>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</si>
  <si>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</si>
  <si>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</si>
  <si>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</si>
  <si>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</si>
  <si>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</si>
  <si>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</si>
  <si>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</si>
  <si>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</si>
  <si>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</si>
  <si>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</si>
  <si>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</si>
  <si>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</si>
  <si>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</si>
  <si>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</si>
  <si>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</si>
  <si>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</si>
  <si>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</si>
  <si>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</si>
  <si>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</si>
  <si>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</si>
  <si>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</si>
  <si>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</si>
  <si>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</si>
  <si>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</si>
  <si>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</si>
  <si>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</si>
  <si>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</si>
  <si>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</si>
  <si>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</si>
  <si>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</si>
  <si>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</si>
  <si>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</si>
  <si>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</si>
  <si>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</si>
  <si>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</si>
  <si>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</si>
  <si>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</si>
  <si>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</si>
  <si>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</si>
  <si>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</si>
  <si>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</si>
  <si>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</si>
  <si>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</si>
  <si>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</si>
  <si>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</si>
  <si>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</si>
  <si>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</si>
  <si>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</si>
  <si>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</si>
  <si>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</si>
  <si>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</si>
  <si>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</si>
  <si>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</si>
  <si>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</si>
  <si>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</si>
  <si>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</si>
  <si>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</si>
  <si>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</si>
  <si>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</si>
  <si>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</si>
  <si>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</si>
  <si>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</si>
  <si>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</si>
  <si>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</si>
  <si>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</si>
  <si>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</si>
  <si>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</si>
  <si>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</si>
  <si>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</si>
  <si>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</si>
  <si>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</si>
  <si>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</si>
  <si>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</si>
  <si>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</si>
  <si>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</si>
  <si>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</si>
  <si>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</si>
  <si>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</si>
  <si>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</si>
  <si>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</si>
  <si>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</si>
  <si>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</si>
  <si>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</si>
  <si>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</si>
  <si>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</si>
  <si>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</si>
  <si>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</si>
  <si>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</si>
  <si>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</si>
  <si>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</si>
  <si>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</si>
  <si>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</si>
  <si>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</si>
  <si>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</si>
  <si>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</si>
  <si>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</si>
  <si>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</si>
  <si>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</si>
  <si>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</si>
  <si>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</si>
  <si>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</si>
  <si>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</si>
  <si>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</si>
  <si>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</si>
  <si>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</si>
  <si>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</si>
  <si>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</si>
  <si>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</si>
  <si>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</si>
  <si>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</si>
  <si>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</si>
  <si>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</si>
  <si>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</si>
  <si>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</si>
  <si>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</si>
  <si>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</si>
  <si>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</si>
  <si>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</si>
  <si>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</si>
  <si>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</si>
  <si>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</si>
  <si>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</si>
  <si>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</si>
  <si>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</si>
  <si>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</si>
  <si>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</si>
  <si>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</si>
  <si>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</si>
  <si>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</si>
  <si>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</si>
  <si>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</si>
  <si>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</si>
  <si>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</si>
  <si>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</si>
  <si>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</si>
  <si>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</si>
  <si>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</si>
  <si>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</si>
  <si>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</si>
  <si>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</si>
  <si>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</si>
  <si>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</si>
  <si>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</si>
  <si>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</si>
  <si>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</si>
  <si>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</si>
  <si>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</si>
  <si>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</si>
  <si>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</si>
  <si>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</si>
  <si>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</si>
  <si>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</si>
  <si>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</si>
  <si>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</si>
  <si>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</si>
  <si>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</si>
  <si>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</si>
  <si>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</si>
  <si>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</si>
  <si>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</si>
  <si>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</si>
  <si>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</si>
  <si>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</si>
  <si>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</si>
  <si>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</si>
  <si>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</si>
  <si>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</si>
  <si>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</si>
  <si>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</si>
  <si>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</si>
  <si>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</si>
  <si>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</si>
  <si>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</si>
  <si>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</si>
  <si>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</si>
  <si>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</si>
  <si>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</si>
  <si>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</si>
  <si>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</si>
  <si>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</si>
  <si>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</si>
  <si>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</si>
  <si>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</si>
  <si>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</si>
  <si>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</si>
  <si>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</si>
  <si>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</si>
  <si>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</si>
  <si>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</si>
  <si>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</si>
  <si>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</si>
  <si>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</si>
  <si>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</si>
  <si>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</si>
  <si>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</si>
  <si>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</si>
  <si>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</si>
  <si>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</si>
  <si>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</si>
  <si>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</si>
  <si>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</si>
  <si>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</si>
  <si>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</si>
  <si>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</si>
  <si>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</si>
  <si>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</si>
  <si>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</si>
  <si>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</si>
  <si>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</si>
  <si>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</si>
  <si>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</si>
  <si>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</si>
  <si>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</si>
  <si>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</si>
  <si>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</si>
  <si>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</si>
  <si>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</si>
  <si>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</si>
  <si>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</si>
  <si>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</si>
  <si>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</si>
  <si>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</si>
  <si>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</si>
  <si>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</si>
  <si>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</si>
  <si>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</si>
  <si>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</si>
  <si>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</si>
  <si>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</si>
  <si>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</si>
  <si>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</si>
  <si>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</si>
  <si>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</si>
  <si>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</si>
  <si>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</si>
  <si>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</si>
  <si>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</si>
  <si>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</si>
  <si>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</si>
  <si>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</si>
  <si>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</si>
  <si>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</si>
  <si>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</si>
  <si>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</si>
  <si>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</si>
  <si>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</si>
  <si>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</si>
  <si>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</si>
  <si>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</si>
  <si>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</si>
  <si>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</si>
  <si>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</si>
  <si>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</si>
  <si>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</si>
  <si>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</si>
  <si>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</si>
  <si>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</si>
  <si>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</si>
  <si>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</si>
  <si>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</si>
  <si>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</si>
  <si>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</si>
  <si>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</si>
  <si>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</si>
  <si>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</si>
  <si>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</si>
  <si>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</si>
  <si>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</si>
  <si>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</si>
  <si>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</si>
  <si>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</si>
  <si>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</si>
  <si>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</si>
  <si>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</si>
  <si>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</si>
  <si>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</si>
  <si>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</si>
  <si>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</si>
  <si>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</si>
  <si>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</si>
  <si>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</si>
  <si>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</si>
  <si>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</si>
  <si>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</si>
  <si>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</si>
  <si>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</si>
  <si>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</si>
  <si>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</si>
  <si>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</si>
  <si>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</si>
  <si>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</si>
  <si>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</si>
  <si>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</si>
  <si>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</si>
  <si>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</si>
  <si>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</si>
  <si>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</si>
  <si>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</si>
  <si>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</si>
  <si>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</si>
  <si>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</si>
  <si>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</si>
  <si>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</si>
  <si>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</si>
  <si>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</si>
  <si>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</si>
  <si>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</si>
  <si>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</si>
  <si>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</si>
  <si>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</si>
  <si>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</si>
  <si>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</si>
  <si>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</si>
  <si>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</si>
  <si>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</si>
  <si>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</si>
  <si>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</si>
  <si>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</si>
  <si>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</si>
  <si>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</si>
  <si>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</si>
  <si>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</si>
  <si>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</si>
  <si>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</si>
  <si>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</si>
  <si>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</si>
  <si>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</si>
  <si>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</si>
  <si>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</si>
  <si>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</si>
  <si>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</si>
  <si>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</si>
  <si>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</si>
  <si>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</si>
  <si>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</si>
  <si>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</si>
  <si>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</si>
  <si>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</si>
  <si>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</si>
  <si>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</si>
  <si>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</si>
  <si>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</si>
  <si>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</si>
  <si>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</si>
  <si>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</si>
  <si>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</si>
  <si>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</si>
  <si>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</si>
  <si>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</si>
  <si>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</si>
  <si>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</si>
  <si>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</si>
  <si>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</si>
  <si>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</si>
  <si>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</si>
  <si>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</si>
  <si>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</si>
  <si>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</si>
  <si>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</si>
  <si>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</si>
  <si>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</si>
  <si>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</si>
  <si>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</si>
  <si>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</si>
  <si>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</si>
  <si>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</si>
  <si>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</si>
  <si>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</si>
  <si>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</si>
  <si>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</si>
  <si>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</si>
  <si>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</si>
  <si>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</si>
  <si>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</si>
  <si>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</si>
  <si>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</si>
  <si>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</si>
  <si>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</si>
  <si>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</si>
  <si>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</si>
  <si>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</si>
  <si>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</si>
  <si>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</si>
  <si>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</si>
  <si>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</si>
  <si>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</si>
  <si>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</si>
  <si>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</si>
  <si>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</si>
  <si>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</si>
  <si>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</si>
  <si>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</si>
  <si>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</si>
  <si>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</si>
  <si>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</si>
  <si>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</si>
  <si>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</si>
  <si>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</si>
  <si>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</si>
  <si>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</si>
  <si>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</si>
  <si>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</si>
  <si>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</si>
  <si>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</si>
  <si>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</si>
  <si>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</si>
  <si>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</si>
  <si>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</si>
  <si>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</si>
  <si>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</si>
  <si>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</si>
  <si>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</si>
  <si>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</si>
  <si>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</si>
  <si>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</si>
  <si>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</si>
  <si>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</si>
  <si>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</si>
  <si>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</si>
  <si>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</si>
  <si>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</si>
  <si>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</si>
  <si>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</si>
  <si>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</si>
  <si>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</si>
  <si>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</si>
  <si>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</si>
  <si>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</si>
  <si>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</si>
  <si>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</si>
  <si>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</si>
  <si>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</si>
  <si>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</si>
  <si>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</si>
  <si>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</si>
  <si>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</si>
  <si>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</si>
  <si>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</si>
  <si>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</si>
  <si>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</si>
  <si>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</si>
  <si>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</si>
  <si>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</si>
  <si>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</si>
  <si>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</si>
  <si>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</si>
  <si>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</si>
  <si>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</si>
  <si>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</si>
  <si>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</si>
  <si>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</si>
  <si>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</si>
  <si>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</si>
  <si>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</si>
  <si>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</si>
  <si>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</si>
  <si>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</si>
  <si>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</si>
  <si>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</si>
  <si>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</si>
  <si>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</si>
  <si>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</si>
  <si>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</si>
  <si>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</si>
  <si>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</si>
  <si>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</si>
  <si>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</si>
  <si>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</si>
  <si>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</si>
  <si>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</si>
  <si>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</si>
  <si>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</si>
  <si>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</si>
  <si>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</si>
  <si>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</si>
  <si>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</si>
  <si>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</si>
  <si>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</si>
  <si>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</si>
  <si>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</si>
  <si>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</si>
  <si>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</si>
  <si>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</si>
  <si>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</si>
  <si>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</si>
  <si>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</si>
  <si>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</si>
  <si>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</si>
  <si>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</si>
  <si>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</si>
  <si>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</si>
  <si>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</si>
  <si>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</si>
  <si>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</si>
  <si>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</si>
  <si>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</si>
  <si>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</si>
  <si>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</si>
  <si>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</si>
  <si>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</si>
  <si>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</si>
  <si>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</si>
  <si>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</si>
  <si>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</si>
  <si>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</si>
  <si>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</si>
  <si>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</si>
  <si>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</si>
  <si>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</si>
  <si>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</si>
  <si>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</si>
  <si>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</si>
  <si>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</si>
  <si>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</si>
  <si>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</si>
  <si>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</si>
  <si>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</si>
  <si>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</si>
  <si>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</si>
  <si>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</si>
  <si>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</si>
  <si>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</si>
  <si>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</si>
  <si>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</si>
  <si>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</si>
  <si>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</si>
  <si>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</si>
  <si>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</si>
  <si>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</si>
  <si>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</si>
  <si>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</si>
  <si>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</si>
  <si>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</si>
  <si>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</si>
  <si>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</si>
  <si>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</si>
  <si>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</si>
  <si>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</si>
  <si>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</si>
  <si>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</si>
  <si>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</si>
  <si>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</si>
  <si>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</si>
  <si>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</si>
  <si>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</si>
  <si>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</si>
  <si>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</si>
  <si>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</si>
  <si>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</si>
  <si>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</si>
  <si>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</si>
  <si>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</si>
  <si>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</si>
  <si>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</si>
  <si>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</si>
  <si>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</si>
  <si>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</si>
  <si>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</si>
  <si>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</si>
  <si>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</si>
  <si>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</si>
  <si>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</si>
  <si>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</si>
  <si>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</si>
  <si>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</si>
  <si>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</si>
  <si>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</si>
  <si>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</si>
  <si>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</si>
  <si>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</si>
  <si>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</si>
  <si>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</si>
  <si>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</si>
  <si>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</si>
  <si>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</si>
  <si>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</si>
  <si>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</si>
  <si>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</si>
  <si>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</si>
  <si>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</si>
  <si>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</si>
  <si>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</si>
  <si>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</si>
  <si>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</si>
  <si>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</si>
  <si>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</si>
  <si>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</si>
  <si>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</si>
  <si>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</si>
  <si>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</si>
  <si>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</si>
  <si>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</si>
  <si>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</si>
  <si>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</si>
  <si>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</si>
  <si>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</si>
  <si>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</si>
  <si>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</si>
  <si>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</si>
  <si>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</si>
  <si>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</si>
  <si>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</si>
  <si>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</si>
  <si>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</si>
  <si>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</si>
  <si>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</si>
  <si>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</si>
  <si>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</si>
  <si>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</si>
  <si>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</si>
  <si>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</si>
  <si>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</si>
  <si>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</si>
  <si>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</si>
  <si>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</si>
  <si>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</si>
  <si>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</si>
  <si>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</si>
  <si>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</si>
  <si>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</si>
  <si>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</si>
  <si>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</si>
  <si>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</si>
  <si>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</si>
  <si>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</si>
  <si>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</si>
  <si>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</si>
  <si>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</si>
  <si>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</si>
  <si>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</si>
  <si>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</si>
  <si>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</si>
  <si>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</si>
  <si>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</si>
  <si>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</si>
  <si>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马琳琳</t>
    <phoneticPr fontId="87" type="noConversion"/>
  </si>
  <si>
    <t>刘梅</t>
    <phoneticPr fontId="87" type="noConversion"/>
  </si>
  <si>
    <t>赵雯</t>
    <phoneticPr fontId="87" type="noConversion"/>
  </si>
  <si>
    <t>刘敬东</t>
    <phoneticPr fontId="87" type="noConversion"/>
  </si>
  <si>
    <t>王萌</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</si>
  <si>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</si>
  <si>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</si>
  <si>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</si>
  <si>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</si>
  <si>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</si>
  <si>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</si>
  <si>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</si>
  <si>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</si>
  <si>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</si>
  <si>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</si>
  <si>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</si>
  <si>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</si>
  <si>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</si>
  <si>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</si>
  <si>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</si>
  <si>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</si>
  <si>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</si>
  <si>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</si>
  <si>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</si>
  <si>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</si>
  <si>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</si>
  <si>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</si>
  <si>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</si>
  <si>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</si>
  <si>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</si>
  <si>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</si>
  <si>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</si>
  <si>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</si>
  <si>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</si>
  <si>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</si>
  <si>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</si>
  <si>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</si>
  <si>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</si>
  <si>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</si>
  <si>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</si>
  <si>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</si>
  <si>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</si>
  <si>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</si>
  <si>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</si>
  <si>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</si>
  <si>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</si>
  <si>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</si>
  <si>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</si>
  <si>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</si>
  <si>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</si>
  <si>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</si>
  <si>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</si>
  <si>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</si>
  <si>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</si>
  <si>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</si>
  <si>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</si>
  <si>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</si>
  <si>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</si>
  <si>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</si>
  <si>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</si>
  <si>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</si>
  <si>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</si>
  <si>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</si>
  <si>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</si>
  <si>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</si>
  <si>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</si>
  <si>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</si>
  <si>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</si>
  <si>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</si>
  <si>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</si>
  <si>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</si>
  <si>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</si>
  <si>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</si>
  <si>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</si>
  <si>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</si>
  <si>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</si>
  <si>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</si>
  <si>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</si>
  <si>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</si>
  <si>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</si>
  <si>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</si>
  <si>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</si>
  <si>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</si>
  <si>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</si>
  <si>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</si>
  <si>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</si>
  <si>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</si>
  <si>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</si>
  <si>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</si>
  <si>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</si>
  <si>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</si>
  <si>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</si>
  <si>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</si>
  <si>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</si>
  <si>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</si>
  <si>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</si>
  <si>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</si>
  <si>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</si>
  <si>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</si>
  <si>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</si>
  <si>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</si>
  <si>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</si>
  <si>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</si>
  <si>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</si>
  <si>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</si>
  <si>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</si>
  <si>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</si>
  <si>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</si>
  <si>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</si>
  <si>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</si>
  <si>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</si>
  <si>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</si>
  <si>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</si>
  <si>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</si>
  <si>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</si>
  <si>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</si>
  <si>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</si>
  <si>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</si>
  <si>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</si>
  <si>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</si>
  <si>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</si>
  <si>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</si>
  <si>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</si>
  <si>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</si>
  <si>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</si>
  <si>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</si>
  <si>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</si>
  <si>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</si>
  <si>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</si>
  <si>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</si>
  <si>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</si>
  <si>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</si>
  <si>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</si>
  <si>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</si>
  <si>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</si>
  <si>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</si>
  <si>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</si>
  <si>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</si>
  <si>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</si>
  <si>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</si>
  <si>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</si>
  <si>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</si>
  <si>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</si>
  <si>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</si>
  <si>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</si>
  <si>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</si>
  <si>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</si>
  <si>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</si>
  <si>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</si>
  <si>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</si>
  <si>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</si>
  <si>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</si>
  <si>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</si>
  <si>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</si>
  <si>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</si>
  <si>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</si>
  <si>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</si>
  <si>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</si>
  <si>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</si>
  <si>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</si>
  <si>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</si>
  <si>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</si>
  <si>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</si>
  <si>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</si>
  <si>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</si>
  <si>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</si>
  <si>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</si>
  <si>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</si>
  <si>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</si>
  <si>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</si>
  <si>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</si>
  <si>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</si>
  <si>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</si>
  <si>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</si>
  <si>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</si>
  <si>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</si>
  <si>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</si>
  <si>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</si>
  <si>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</si>
  <si>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</si>
  <si>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</si>
  <si>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</si>
  <si>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</si>
  <si>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</si>
  <si>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</si>
  <si>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</si>
  <si>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</si>
  <si>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</si>
  <si>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</si>
  <si>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</si>
  <si>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</si>
  <si>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</si>
  <si>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</si>
  <si>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</si>
  <si>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</si>
  <si>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</si>
  <si>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</si>
  <si>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</si>
  <si>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</si>
  <si>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</si>
  <si>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</si>
  <si>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</si>
  <si>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</si>
  <si>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</si>
  <si>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</si>
  <si>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</si>
  <si>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</si>
  <si>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</si>
  <si>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</si>
  <si>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</si>
  <si>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</si>
  <si>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</si>
  <si>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</si>
  <si>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</si>
  <si>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</si>
  <si>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</si>
  <si>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</si>
  <si>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</si>
  <si>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</si>
  <si>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</si>
  <si>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</si>
  <si>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</si>
  <si>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</si>
  <si>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</si>
  <si>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</si>
  <si>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</si>
  <si>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</si>
  <si>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</si>
  <si>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</si>
  <si>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</si>
  <si>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</si>
  <si>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</si>
  <si>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</si>
  <si>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</si>
  <si>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</si>
  <si>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</si>
  <si>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</si>
  <si>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</si>
  <si>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</si>
  <si>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</si>
  <si>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</si>
  <si>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</si>
  <si>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</si>
  <si>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</si>
  <si>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</si>
  <si>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</si>
  <si>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</si>
  <si>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</si>
  <si>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</si>
  <si>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</si>
  <si>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</si>
  <si>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</si>
  <si>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</si>
  <si>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</si>
  <si>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</si>
  <si>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</si>
  <si>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</si>
  <si>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</si>
  <si>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</si>
  <si>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</si>
  <si>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</si>
  <si>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</si>
  <si>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</si>
  <si>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</si>
  <si>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</si>
  <si>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</si>
  <si>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</si>
  <si>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</si>
  <si>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</si>
  <si>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</si>
  <si>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</si>
  <si>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</si>
  <si>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</si>
  <si>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</si>
  <si>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</si>
  <si>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</si>
  <si>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</si>
  <si>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</si>
  <si>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</si>
  <si>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</si>
  <si>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</si>
  <si>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</si>
  <si>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</si>
  <si>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</si>
  <si>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</si>
  <si>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</si>
  <si>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</si>
  <si>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</si>
  <si>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</si>
  <si>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</si>
  <si>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</si>
  <si>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</si>
  <si>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</si>
  <si>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</si>
  <si>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</si>
  <si>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</si>
  <si>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</si>
  <si>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</si>
  <si>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</si>
  <si>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</si>
  <si>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</si>
  <si>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</si>
  <si>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</si>
  <si>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</si>
  <si>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</si>
  <si>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</si>
  <si>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</si>
  <si>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</si>
  <si>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杨红英</t>
    <phoneticPr fontId="87" type="noConversion"/>
  </si>
  <si>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</si>
  <si>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</si>
  <si>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</si>
  <si>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</si>
  <si>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</si>
  <si>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</si>
  <si>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</si>
  <si>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</si>
  <si>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</si>
  <si>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</si>
  <si>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</si>
  <si>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</si>
  <si>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</si>
  <si>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</si>
  <si>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</si>
  <si>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</si>
  <si>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</si>
  <si>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</si>
  <si>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</si>
  <si>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</si>
  <si>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</si>
  <si>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</si>
  <si>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</si>
  <si>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</si>
  <si>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</si>
  <si>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</si>
  <si>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</si>
  <si>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</si>
  <si>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</si>
  <si>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</si>
  <si>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</si>
  <si>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</si>
  <si>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</si>
  <si>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</si>
  <si>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</si>
  <si>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</si>
  <si>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</si>
  <si>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</si>
  <si>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</si>
  <si>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</si>
  <si>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</si>
  <si>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</si>
  <si>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</si>
  <si>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</si>
  <si>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</si>
  <si>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</si>
  <si>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</si>
  <si>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</si>
  <si>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</si>
  <si>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</si>
  <si>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</si>
  <si>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</si>
  <si>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</si>
  <si>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</si>
  <si>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</si>
  <si>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</si>
  <si>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</si>
  <si>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</si>
  <si>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</si>
  <si>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</si>
  <si>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</si>
  <si>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</si>
  <si>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</si>
  <si>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</si>
  <si>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</si>
  <si>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</si>
  <si>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</si>
  <si>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</si>
  <si>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</si>
  <si>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</si>
  <si>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</si>
  <si>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</si>
  <si>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</si>
  <si>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</si>
  <si>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</si>
  <si>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</si>
  <si>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</si>
  <si>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</si>
  <si>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</si>
  <si>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</si>
  <si>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</si>
  <si>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</si>
  <si>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</si>
  <si>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</si>
  <si>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</si>
  <si>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</si>
  <si>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</si>
  <si>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</si>
  <si>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</si>
  <si>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</si>
  <si>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</si>
  <si>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</si>
  <si>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</si>
  <si>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</si>
  <si>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</si>
  <si>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</si>
  <si>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</si>
  <si>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</si>
  <si>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</si>
  <si>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</si>
  <si>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</si>
  <si>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</si>
  <si>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</si>
  <si>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</si>
  <si>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</si>
  <si>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</si>
  <si>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</si>
  <si>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</si>
  <si>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</si>
  <si>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</si>
  <si>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</si>
  <si>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</si>
  <si>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</si>
  <si>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</si>
  <si>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</si>
  <si>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</si>
  <si>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</si>
  <si>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</si>
  <si>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</si>
  <si>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</si>
  <si>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</si>
  <si>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</si>
  <si>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</si>
  <si>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</si>
  <si>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</si>
  <si>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</si>
  <si>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</si>
  <si>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</si>
  <si>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</si>
  <si>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</si>
  <si>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</si>
  <si>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</si>
  <si>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</si>
  <si>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</si>
  <si>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</si>
  <si>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</si>
  <si>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</si>
  <si>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</si>
  <si>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</si>
  <si>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</si>
  <si>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</si>
  <si>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</si>
  <si>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</si>
  <si>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</si>
  <si>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</si>
  <si>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</si>
  <si>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</si>
  <si>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</si>
  <si>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</si>
  <si>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</si>
  <si>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</si>
  <si>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</si>
  <si>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</si>
  <si>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</si>
  <si>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</si>
  <si>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</si>
  <si>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</si>
  <si>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</si>
  <si>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</si>
  <si>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</si>
  <si>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</si>
  <si>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</si>
  <si>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</si>
  <si>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</si>
  <si>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</si>
  <si>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</si>
  <si>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</si>
  <si>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</si>
  <si>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</si>
  <si>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</si>
  <si>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</si>
  <si>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</si>
  <si>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</si>
  <si>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</si>
  <si>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</si>
  <si>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</si>
  <si>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</si>
  <si>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</si>
  <si>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</si>
  <si>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</si>
  <si>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</si>
  <si>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</si>
  <si>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</si>
  <si>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</si>
  <si>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</si>
  <si>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</si>
  <si>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</si>
  <si>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</si>
  <si>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</si>
  <si>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</si>
  <si>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</si>
  <si>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</si>
  <si>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</si>
  <si>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</si>
  <si>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</si>
  <si>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</si>
  <si>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</si>
  <si>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</si>
  <si>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</si>
  <si>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</si>
  <si>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</si>
  <si>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</si>
  <si>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</si>
  <si>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</si>
  <si>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</si>
  <si>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</si>
  <si>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</si>
  <si>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</si>
  <si>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</si>
  <si>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</si>
  <si>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</si>
  <si>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</si>
  <si>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</si>
  <si>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</si>
  <si>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</si>
  <si>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</si>
  <si>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</si>
  <si>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</si>
  <si>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</si>
  <si>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</si>
  <si>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</si>
  <si>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</si>
  <si>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</si>
  <si>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</si>
  <si>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</si>
  <si>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</si>
  <si>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</si>
  <si>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</si>
  <si>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</si>
  <si>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</si>
  <si>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</si>
  <si>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</si>
  <si>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</si>
  <si>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</si>
  <si>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2017A-006</t>
    <phoneticPr fontId="138"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</si>
  <si>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</si>
  <si>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</si>
  <si>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</si>
  <si>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</si>
  <si>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</si>
  <si>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</si>
  <si>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</si>
  <si>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</si>
  <si>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</si>
  <si>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</si>
  <si>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</si>
  <si>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</si>
  <si>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</si>
  <si>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</si>
  <si>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</si>
  <si>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</si>
  <si>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</si>
  <si>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</si>
  <si>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</si>
  <si>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</si>
  <si>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</si>
  <si>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</si>
  <si>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</si>
  <si>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</si>
  <si>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</si>
  <si>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</si>
  <si>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</si>
  <si>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</si>
  <si>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</si>
  <si>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</si>
  <si>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</si>
  <si>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</si>
  <si>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</si>
  <si>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</si>
  <si>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</si>
  <si>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</si>
  <si>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</si>
  <si>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</si>
  <si>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</si>
  <si>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</si>
  <si>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</si>
  <si>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</si>
  <si>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</si>
  <si>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</si>
  <si>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</si>
  <si>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</si>
  <si>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</si>
  <si>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</si>
  <si>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</si>
  <si>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</si>
  <si>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</si>
  <si>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</si>
  <si>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</si>
  <si>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</si>
  <si>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</si>
  <si>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</si>
  <si>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</si>
  <si>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</si>
  <si>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</si>
  <si>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</si>
  <si>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</si>
  <si>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</si>
  <si>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</si>
  <si>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</si>
  <si>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</si>
  <si>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</si>
  <si>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</si>
  <si>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</si>
  <si>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</si>
  <si>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</si>
  <si>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</si>
  <si>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</si>
  <si>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</si>
  <si>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</si>
  <si>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</si>
  <si>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</si>
  <si>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</si>
  <si>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</si>
  <si>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</si>
  <si>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</si>
  <si>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</si>
  <si>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</si>
  <si>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</si>
  <si>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</si>
  <si>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</si>
  <si>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</si>
  <si>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</si>
  <si>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</si>
  <si>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</si>
  <si>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</si>
  <si>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</si>
  <si>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</si>
  <si>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</si>
  <si>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</si>
  <si>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</si>
  <si>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</si>
  <si>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</si>
  <si>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</si>
  <si>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</si>
  <si>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</si>
  <si>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</si>
  <si>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</si>
  <si>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</si>
  <si>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</si>
  <si>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</si>
  <si>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</si>
  <si>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</si>
  <si>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</si>
  <si>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</si>
  <si>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</si>
  <si>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</si>
  <si>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</si>
  <si>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</si>
  <si>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</si>
  <si>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</si>
  <si>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</si>
  <si>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</si>
  <si>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</si>
  <si>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</si>
  <si>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</si>
  <si>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</si>
  <si>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</si>
  <si>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</si>
  <si>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</si>
  <si>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</si>
  <si>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</si>
  <si>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</si>
  <si>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</si>
  <si>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</si>
  <si>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</si>
  <si>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</si>
  <si>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</si>
  <si>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</si>
  <si>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</si>
  <si>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</si>
  <si>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</si>
  <si>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</si>
  <si>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</si>
  <si>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</si>
  <si>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</si>
  <si>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</si>
  <si>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</si>
  <si>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</si>
  <si>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</si>
  <si>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</si>
  <si>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</si>
  <si>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</si>
  <si>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</si>
  <si>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</si>
  <si>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</si>
  <si>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</si>
  <si>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</si>
  <si>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</si>
  <si>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</si>
  <si>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</si>
  <si>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</si>
  <si>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</si>
  <si>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</si>
  <si>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</si>
  <si>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</si>
  <si>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</si>
  <si>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</si>
  <si>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</si>
  <si>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</si>
  <si>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</si>
  <si>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</si>
  <si>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</si>
  <si>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</si>
  <si>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</si>
  <si>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</si>
  <si>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</si>
  <si>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</si>
  <si>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</si>
  <si>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</si>
  <si>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</si>
  <si>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</si>
  <si>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</si>
  <si>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</si>
  <si>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</si>
  <si>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</si>
  <si>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</si>
  <si>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</si>
  <si>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</si>
  <si>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</si>
  <si>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</si>
  <si>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</si>
  <si>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</si>
  <si>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</si>
  <si>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</si>
  <si>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</si>
  <si>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</si>
  <si>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</si>
  <si>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</si>
  <si>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</si>
  <si>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</si>
  <si>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</si>
  <si>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</si>
  <si>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</si>
  <si>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</si>
  <si>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</si>
  <si>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</si>
  <si>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</si>
  <si>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</si>
  <si>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</si>
  <si>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</si>
  <si>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</si>
  <si>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</si>
  <si>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</si>
  <si>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</si>
  <si>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</si>
  <si>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</si>
  <si>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</si>
  <si>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</si>
  <si>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</si>
  <si>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</si>
  <si>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</si>
  <si>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</si>
  <si>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</si>
  <si>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</si>
  <si>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</si>
  <si>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</si>
  <si>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</si>
  <si>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</si>
  <si>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</si>
  <si>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</si>
  <si>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</si>
  <si>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</si>
  <si>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</si>
  <si>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</si>
  <si>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</si>
  <si>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</si>
  <si>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</si>
  <si>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</si>
  <si>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</si>
  <si>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</si>
  <si>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</si>
  <si>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</si>
  <si>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</si>
  <si>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</si>
  <si>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</si>
  <si>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</si>
  <si>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</si>
  <si>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</si>
  <si>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</si>
  <si>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</si>
  <si>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</si>
  <si>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</si>
  <si>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</si>
  <si>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</si>
  <si>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</si>
  <si>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</si>
  <si>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</si>
  <si>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</si>
  <si>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</si>
  <si>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</si>
  <si>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</si>
  <si>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</si>
  <si>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</si>
  <si>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</si>
  <si>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</si>
  <si>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</si>
  <si>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</si>
  <si>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</si>
  <si>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</si>
  <si>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</si>
  <si>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</si>
  <si>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</si>
  <si>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</si>
  <si>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</si>
  <si>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</si>
  <si>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</si>
  <si>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</si>
  <si>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</si>
  <si>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</si>
  <si>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</si>
  <si>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</si>
  <si>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</si>
  <si>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</si>
  <si>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</si>
  <si>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</si>
  <si>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</si>
  <si>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</si>
  <si>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</si>
  <si>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</si>
  <si>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</si>
  <si>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</si>
  <si>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</si>
  <si>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</si>
  <si>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</si>
  <si>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</si>
  <si>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</si>
  <si>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</si>
  <si>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</si>
  <si>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</si>
  <si>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</si>
  <si>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</si>
  <si>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</si>
  <si>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</si>
  <si>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</si>
  <si>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</si>
  <si>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</si>
  <si>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</si>
  <si>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</si>
  <si>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</si>
  <si>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</si>
  <si>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</si>
  <si>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</si>
  <si>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</si>
  <si>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</si>
  <si>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</si>
  <si>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</si>
  <si>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</si>
  <si>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</si>
  <si>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</si>
  <si>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</si>
  <si>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</si>
  <si>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</si>
  <si>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</si>
  <si>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</si>
  <si>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</si>
  <si>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</si>
  <si>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</si>
  <si>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</si>
  <si>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</si>
  <si>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</si>
  <si>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</si>
  <si>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</si>
  <si>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</si>
  <si>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</si>
  <si>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</si>
  <si>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</si>
  <si>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</si>
  <si>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</si>
  <si>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</si>
  <si>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</si>
  <si>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</si>
  <si>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</si>
  <si>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</si>
  <si>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</si>
  <si>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</si>
  <si>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</si>
  <si>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</si>
  <si>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</si>
  <si>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</si>
  <si>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</si>
  <si>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</si>
  <si>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</si>
  <si>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</si>
  <si>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</si>
  <si>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</si>
  <si>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</si>
  <si>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</si>
  <si>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</si>
  <si>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</si>
  <si>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</si>
  <si>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</si>
  <si>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</si>
  <si>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</si>
  <si>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</si>
  <si>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</si>
  <si>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</si>
  <si>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</si>
  <si>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</si>
  <si>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</si>
  <si>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</si>
  <si>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</si>
  <si>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</si>
  <si>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</si>
  <si>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</si>
  <si>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</si>
  <si>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</si>
  <si>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</si>
  <si>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</si>
  <si>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</si>
  <si>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</si>
  <si>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</si>
  <si>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</si>
  <si>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</si>
  <si>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</si>
  <si>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</si>
  <si>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</si>
  <si>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</si>
  <si>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</si>
  <si>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</si>
  <si>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</si>
  <si>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</si>
  <si>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</si>
  <si>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</si>
  <si>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</si>
  <si>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</si>
  <si>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</si>
  <si>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</si>
  <si>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</si>
  <si>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</si>
  <si>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</si>
  <si>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</si>
  <si>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</si>
  <si>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</si>
  <si>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</si>
  <si>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</si>
  <si>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</si>
  <si>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</si>
  <si>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</si>
  <si>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</si>
  <si>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</si>
  <si>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</si>
  <si>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</si>
  <si>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</si>
  <si>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</si>
  <si>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</si>
  <si>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</si>
  <si>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</si>
  <si>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</si>
  <si>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</si>
  <si>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</si>
  <si>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</si>
  <si>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</si>
  <si>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</si>
  <si>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</si>
  <si>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</si>
  <si>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indexed="8"/>
        <rFont val="宋体"/>
        <family val="3"/>
        <charset val="134"/>
      </rPr>
      <t>建筑与土地面积依据相同</t>
    </r>
  </si>
  <si>
    <r>
      <rPr>
        <sz val="12"/>
        <color indexed="8"/>
        <rFont val="宋体"/>
        <family val="3"/>
        <charset val="134"/>
      </rPr>
      <t>土地面积</t>
    </r>
    <phoneticPr fontId="87"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</si>
  <si>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</si>
  <si>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</si>
  <si>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</si>
  <si>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</si>
  <si>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</si>
  <si>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</si>
  <si>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</si>
  <si>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</si>
  <si>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</si>
  <si>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10"/>
        <color theme="9" tint="-0.249977111117893"/>
        <rFont val="宋体"/>
        <family val="3"/>
        <charset val="134"/>
      </rPr>
      <t>《房屋他项权利证书》</t>
    </r>
    <phoneticPr fontId="89"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</si>
  <si>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</si>
  <si>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</si>
  <si>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</si>
  <si>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</si>
  <si>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</si>
  <si>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</si>
  <si>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</si>
  <si>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</si>
  <si>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</si>
  <si>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</si>
  <si>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</si>
  <si>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</si>
  <si>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</si>
  <si>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</si>
  <si>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</si>
  <si>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</si>
  <si>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</si>
  <si>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</si>
  <si>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</si>
  <si>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</si>
  <si>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</si>
  <si>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</si>
  <si>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</si>
  <si>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</si>
  <si>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</si>
  <si>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</si>
  <si>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</si>
  <si>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</si>
  <si>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</si>
  <si>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</si>
  <si>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</si>
  <si>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</si>
  <si>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</si>
  <si>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</si>
  <si>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</si>
  <si>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</si>
  <si>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</si>
  <si>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</si>
  <si>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</si>
  <si>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</si>
  <si>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</si>
  <si>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</si>
  <si>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</si>
  <si>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</si>
  <si>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</si>
  <si>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</si>
  <si>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</si>
  <si>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</si>
  <si>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</si>
  <si>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</si>
  <si>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</si>
  <si>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</si>
  <si>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</si>
  <si>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</si>
  <si>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</si>
  <si>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</si>
  <si>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</si>
  <si>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</si>
  <si>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</si>
  <si>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</si>
  <si>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</si>
  <si>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</si>
  <si>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</si>
  <si>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</si>
  <si>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</si>
  <si>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</si>
  <si>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</si>
  <si>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</si>
  <si>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</si>
  <si>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</si>
  <si>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</si>
  <si>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</si>
  <si>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</si>
  <si>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</si>
  <si>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</si>
  <si>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</si>
  <si>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</si>
  <si>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</si>
  <si>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</si>
  <si>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</si>
  <si>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</si>
  <si>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</si>
  <si>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</si>
  <si>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</si>
  <si>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</si>
  <si>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</si>
  <si>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</si>
  <si>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</si>
  <si>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</si>
  <si>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</si>
  <si>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</si>
  <si>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</si>
  <si>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</si>
  <si>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</si>
  <si>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</si>
  <si>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</si>
  <si>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</si>
  <si>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</si>
  <si>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</si>
  <si>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</si>
  <si>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</si>
  <si>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</si>
  <si>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</si>
  <si>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</si>
  <si>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</si>
  <si>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</si>
  <si>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</si>
  <si>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</si>
  <si>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</si>
  <si>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</si>
  <si>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</si>
  <si>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</si>
  <si>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</si>
  <si>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</si>
  <si>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</si>
  <si>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</si>
  <si>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</si>
  <si>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</si>
  <si>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</si>
  <si>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</si>
  <si>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</si>
  <si>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</si>
  <si>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</si>
  <si>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</si>
  <si>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</si>
  <si>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</si>
  <si>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</si>
  <si>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</si>
  <si>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</si>
  <si>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</si>
  <si>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</si>
  <si>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</si>
  <si>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</si>
  <si>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</si>
  <si>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</si>
  <si>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</si>
  <si>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</si>
  <si>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</si>
  <si>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</si>
  <si>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</si>
  <si>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</si>
  <si>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</si>
  <si>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</si>
  <si>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</si>
  <si>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</si>
  <si>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</si>
  <si>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</si>
  <si>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</si>
  <si>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</si>
  <si>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</si>
  <si>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</si>
  <si>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</si>
  <si>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</si>
  <si>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</si>
  <si>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</si>
  <si>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</si>
  <si>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</si>
  <si>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</si>
  <si>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</si>
  <si>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</si>
  <si>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</si>
  <si>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</si>
  <si>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</si>
  <si>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</si>
  <si>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</si>
  <si>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</si>
  <si>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</si>
  <si>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</si>
  <si>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</si>
  <si>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</si>
  <si>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</si>
  <si>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</si>
  <si>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</si>
  <si>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</si>
  <si>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</si>
  <si>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</si>
  <si>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</si>
  <si>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</si>
  <si>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</si>
  <si>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</si>
  <si>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</si>
  <si>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</si>
  <si>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</si>
  <si>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</si>
  <si>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</si>
  <si>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</si>
  <si>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</si>
  <si>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</si>
  <si>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</si>
  <si>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</si>
  <si>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</si>
  <si>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</si>
  <si>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</si>
  <si>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</si>
  <si>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</si>
  <si>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</si>
  <si>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</si>
  <si>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</si>
  <si>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</si>
  <si>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</si>
  <si>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</si>
  <si>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</si>
  <si>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</si>
  <si>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</si>
  <si>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</si>
  <si>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</si>
  <si>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</si>
  <si>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</si>
  <si>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</si>
  <si>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</si>
  <si>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</si>
  <si>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</si>
  <si>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</si>
  <si>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</si>
  <si>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</si>
  <si>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</si>
  <si>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</si>
  <si>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</si>
  <si>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</si>
  <si>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</si>
  <si>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</si>
  <si>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</si>
  <si>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</si>
  <si>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</si>
  <si>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</si>
  <si>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</si>
  <si>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</si>
  <si>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</si>
  <si>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</si>
  <si>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</si>
  <si>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</si>
  <si>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</si>
  <si>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</si>
  <si>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</si>
  <si>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</si>
  <si>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</si>
  <si>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</si>
  <si>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</si>
  <si>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</si>
  <si>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</si>
  <si>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</si>
  <si>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</si>
  <si>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</si>
  <si>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</si>
  <si>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</si>
  <si>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</si>
  <si>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</si>
  <si>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</si>
  <si>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</si>
  <si>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</si>
  <si>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</si>
  <si>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</si>
  <si>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</si>
  <si>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</si>
  <si>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</si>
  <si>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</si>
  <si>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</si>
  <si>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</si>
  <si>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</si>
  <si>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</si>
  <si>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</si>
  <si>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</si>
  <si>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</si>
  <si>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</si>
  <si>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</si>
  <si>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</si>
  <si>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</si>
  <si>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</si>
  <si>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</si>
  <si>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3"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</si>
  <si>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</si>
  <si>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</si>
  <si>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</si>
  <si>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7"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</si>
  <si>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</si>
  <si>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</si>
  <si>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</si>
  <si>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7"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</si>
  <si>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</si>
  <si>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</si>
  <si>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</si>
  <si>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</si>
  <si>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</si>
  <si>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</si>
  <si>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</si>
  <si>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</si>
  <si>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3" type="noConversion"/>
  </si>
  <si>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</si>
  <si>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</si>
  <si>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</si>
  <si>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</si>
  <si>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</si>
  <si>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</si>
  <si>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</si>
  <si>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</si>
  <si>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</si>
  <si>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</si>
  <si>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</si>
  <si>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</si>
  <si>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</si>
  <si>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</si>
  <si>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</si>
  <si>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</si>
  <si>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</si>
  <si>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</si>
  <si>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</si>
  <si>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</si>
  <si>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</si>
  <si>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</si>
  <si>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</si>
  <si>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</si>
  <si>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</si>
  <si>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</si>
  <si>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</si>
  <si>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</si>
  <si>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</si>
  <si>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</si>
  <si>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</si>
  <si>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</si>
  <si>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</si>
  <si>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</si>
  <si>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</si>
  <si>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</si>
  <si>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</si>
  <si>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</si>
  <si>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</si>
  <si>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</si>
  <si>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</si>
  <si>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</si>
  <si>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</si>
  <si>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</si>
  <si>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</si>
  <si>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</si>
  <si>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</si>
  <si>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</si>
  <si>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</si>
  <si>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</si>
  <si>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</si>
  <si>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</si>
  <si>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</si>
  <si>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</si>
  <si>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</si>
  <si>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</si>
  <si>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</si>
  <si>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</si>
  <si>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</si>
  <si>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</si>
  <si>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</si>
  <si>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</si>
  <si>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</si>
  <si>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</si>
  <si>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</si>
  <si>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</si>
  <si>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</si>
  <si>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</si>
  <si>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</si>
  <si>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</si>
  <si>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</si>
  <si>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</si>
  <si>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</si>
  <si>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</si>
  <si>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</si>
  <si>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</si>
  <si>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</si>
  <si>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</si>
  <si>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</si>
  <si>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</si>
  <si>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</si>
  <si>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</si>
  <si>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</si>
  <si>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</si>
  <si>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</si>
  <si>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</si>
  <si>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</si>
  <si>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</si>
  <si>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</si>
  <si>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</si>
  <si>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</si>
  <si>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</si>
  <si>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</si>
  <si>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</si>
  <si>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</si>
  <si>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</si>
  <si>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</si>
  <si>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</si>
  <si>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</si>
  <si>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</si>
  <si>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</si>
  <si>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</si>
  <si>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</si>
  <si>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</si>
  <si>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</si>
  <si>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</si>
  <si>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</si>
  <si>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</si>
  <si>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</si>
  <si>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</si>
  <si>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</si>
  <si>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</si>
  <si>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</si>
  <si>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</si>
  <si>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</si>
  <si>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</si>
  <si>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</si>
  <si>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</si>
  <si>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</si>
  <si>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</si>
  <si>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</si>
  <si>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</si>
  <si>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</si>
  <si>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</si>
  <si>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</si>
  <si>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</si>
  <si>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</si>
  <si>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</si>
  <si>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</si>
  <si>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</si>
  <si>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</si>
  <si>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</si>
  <si>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</si>
  <si>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</si>
  <si>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</si>
  <si>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</si>
  <si>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</si>
  <si>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</si>
  <si>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</si>
  <si>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</si>
  <si>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</si>
  <si>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</si>
  <si>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</si>
  <si>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</si>
  <si>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</si>
  <si>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</si>
  <si>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</si>
  <si>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</si>
  <si>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</si>
  <si>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</si>
  <si>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</si>
  <si>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</si>
  <si>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</si>
  <si>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</si>
  <si>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</si>
  <si>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</si>
  <si>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</si>
  <si>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</si>
  <si>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</si>
  <si>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</si>
  <si>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</si>
  <si>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</si>
  <si>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</si>
  <si>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</si>
  <si>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</si>
  <si>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</si>
  <si>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</si>
  <si>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</si>
  <si>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</si>
  <si>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</si>
  <si>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</si>
  <si>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</si>
  <si>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</si>
  <si>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</si>
  <si>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</si>
  <si>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</si>
  <si>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</si>
  <si>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</si>
  <si>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</si>
  <si>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</si>
  <si>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</si>
  <si>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</si>
  <si>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</si>
  <si>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</si>
  <si>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</si>
  <si>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</si>
  <si>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</si>
  <si>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</si>
  <si>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</si>
  <si>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</si>
  <si>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</si>
  <si>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</si>
  <si>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</si>
  <si>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</si>
  <si>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</si>
  <si>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</si>
  <si>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</si>
  <si>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</si>
  <si>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</si>
  <si>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</si>
  <si>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</si>
  <si>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</si>
  <si>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</si>
  <si>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</si>
  <si>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</si>
  <si>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</si>
  <si>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</si>
  <si>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</si>
  <si>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</si>
  <si>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</si>
  <si>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</si>
  <si>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</si>
  <si>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</si>
  <si>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</si>
  <si>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</si>
  <si>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</si>
  <si>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</si>
  <si>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</si>
  <si>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</si>
  <si>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</si>
  <si>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</si>
  <si>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</si>
  <si>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</si>
  <si>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</si>
  <si>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</si>
  <si>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</si>
  <si>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</si>
  <si>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</si>
  <si>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</si>
  <si>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</si>
  <si>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</si>
  <si>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</si>
  <si>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</si>
  <si>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</si>
  <si>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</si>
  <si>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</si>
  <si>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</si>
  <si>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</si>
  <si>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</si>
  <si>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</si>
  <si>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</si>
  <si>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</si>
  <si>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</si>
  <si>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</si>
  <si>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</si>
  <si>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</si>
  <si>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</si>
  <si>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</si>
  <si>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</si>
  <si>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</si>
  <si>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</si>
  <si>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</si>
  <si>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</si>
  <si>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</si>
  <si>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</si>
  <si>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</si>
  <si>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</si>
  <si>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</si>
  <si>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</si>
  <si>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</si>
  <si>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</si>
  <si>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</si>
  <si>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</si>
  <si>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</si>
  <si>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</si>
  <si>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</si>
  <si>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</si>
  <si>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</si>
  <si>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</si>
  <si>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</si>
  <si>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</si>
  <si>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</si>
  <si>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</si>
  <si>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</si>
  <si>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</si>
  <si>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</si>
  <si>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</si>
  <si>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</si>
  <si>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</si>
  <si>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</si>
  <si>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</si>
  <si>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</si>
  <si>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</si>
  <si>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</si>
  <si>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</si>
  <si>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</si>
  <si>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</si>
  <si>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</si>
  <si>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</si>
  <si>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</si>
  <si>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</si>
  <si>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</si>
  <si>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</si>
  <si>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</si>
  <si>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</si>
  <si>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</si>
  <si>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</si>
  <si>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</si>
  <si>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</si>
  <si>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</si>
  <si>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</si>
  <si>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</si>
  <si>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</si>
  <si>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</si>
  <si>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</si>
  <si>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</si>
  <si>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</si>
  <si>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</si>
  <si>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</si>
  <si>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</si>
  <si>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</si>
  <si>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</si>
  <si>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</si>
  <si>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</si>
  <si>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</si>
  <si>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</si>
  <si>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</si>
  <si>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</si>
  <si>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</si>
  <si>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</si>
  <si>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</si>
  <si>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</si>
  <si>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</si>
  <si>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</si>
  <si>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</si>
  <si>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</si>
  <si>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</si>
  <si>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</si>
  <si>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</si>
  <si>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</si>
  <si>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</si>
  <si>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</si>
  <si>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</si>
  <si>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</si>
  <si>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</si>
  <si>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</si>
  <si>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</si>
  <si>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</si>
  <si>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</si>
  <si>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</si>
  <si>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</si>
  <si>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</si>
  <si>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</si>
  <si>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</si>
  <si>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</si>
  <si>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</si>
  <si>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</si>
  <si>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</si>
  <si>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</si>
  <si>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</si>
  <si>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</si>
  <si>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</si>
  <si>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</si>
  <si>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</si>
  <si>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</si>
  <si>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</si>
  <si>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</si>
  <si>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</si>
  <si>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</si>
  <si>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</si>
  <si>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</si>
  <si>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</si>
  <si>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</si>
  <si>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</si>
  <si>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</si>
  <si>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</si>
  <si>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</si>
  <si>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</si>
  <si>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</si>
  <si>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</si>
  <si>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</si>
  <si>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</si>
  <si>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</si>
  <si>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</si>
  <si>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</si>
  <si>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</si>
  <si>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</si>
  <si>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</si>
  <si>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</si>
  <si>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</si>
  <si>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</si>
  <si>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</si>
  <si>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</si>
  <si>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</si>
  <si>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</si>
  <si>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</si>
  <si>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</si>
  <si>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</si>
  <si>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</si>
  <si>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</si>
  <si>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</si>
  <si>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</si>
  <si>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</si>
  <si>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</si>
  <si>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</si>
  <si>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</si>
  <si>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</si>
  <si>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</si>
  <si>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</si>
  <si>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</si>
  <si>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</si>
  <si>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</si>
  <si>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</si>
  <si>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</si>
  <si>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</si>
  <si>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</si>
  <si>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</si>
  <si>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</si>
  <si>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</si>
  <si>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</si>
  <si>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</si>
  <si>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</si>
  <si>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</si>
  <si>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</si>
  <si>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</si>
  <si>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</si>
  <si>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</si>
  <si>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</si>
  <si>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</si>
  <si>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</si>
  <si>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</si>
  <si>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</si>
  <si>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</si>
  <si>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</si>
  <si>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</si>
  <si>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</si>
  <si>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</si>
  <si>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</si>
  <si>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</si>
  <si>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</si>
  <si>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</si>
  <si>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</si>
  <si>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</si>
  <si>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</si>
  <si>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</si>
  <si>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</si>
  <si>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</si>
  <si>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</si>
  <si>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</si>
  <si>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</si>
  <si>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</si>
  <si>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</si>
  <si>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</si>
  <si>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</si>
  <si>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</si>
  <si>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</si>
  <si>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</si>
  <si>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</si>
  <si>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</si>
  <si>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</si>
  <si>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</si>
  <si>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</si>
  <si>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</si>
  <si>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</si>
  <si>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</si>
  <si>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</si>
  <si>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</si>
  <si>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</si>
  <si>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</si>
  <si>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</si>
  <si>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</si>
  <si>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</si>
  <si>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</si>
  <si>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</si>
  <si>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</si>
  <si>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</si>
  <si>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</si>
  <si>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</si>
  <si>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</si>
  <si>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</si>
  <si>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</si>
  <si>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</si>
  <si>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</si>
  <si>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</si>
  <si>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</si>
  <si>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</si>
  <si>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</si>
  <si>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</si>
  <si>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</si>
  <si>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</si>
  <si>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</si>
  <si>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</si>
  <si>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</si>
  <si>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</si>
  <si>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</si>
  <si>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</si>
  <si>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</si>
  <si>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</si>
  <si>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</si>
  <si>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</si>
  <si>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</si>
  <si>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</si>
  <si>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</si>
  <si>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</si>
  <si>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</si>
  <si>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</si>
  <si>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</si>
  <si>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</si>
  <si>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</si>
  <si>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</si>
  <si>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</si>
  <si>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</si>
  <si>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</si>
  <si>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</si>
  <si>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</si>
  <si>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</si>
  <si>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</si>
  <si>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</si>
  <si>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</si>
  <si>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</si>
  <si>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</si>
  <si>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</si>
  <si>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</si>
  <si>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</si>
  <si>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</si>
  <si>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</si>
  <si>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</si>
  <si>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</si>
  <si>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</si>
  <si>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</si>
  <si>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</si>
  <si>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</si>
  <si>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</si>
  <si>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</si>
  <si>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</si>
  <si>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</si>
  <si>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</si>
  <si>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</si>
  <si>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</si>
  <si>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</si>
  <si>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</si>
  <si>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</si>
  <si>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</si>
  <si>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</si>
  <si>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</si>
  <si>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</si>
  <si>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</si>
  <si>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</si>
  <si>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</si>
  <si>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</si>
  <si>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</si>
  <si>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</si>
  <si>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</si>
  <si>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</si>
  <si>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</si>
  <si>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</si>
  <si>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</si>
  <si>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</si>
  <si>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</si>
  <si>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</si>
  <si>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</si>
  <si>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</si>
  <si>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</si>
  <si>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</si>
  <si>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</si>
  <si>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</si>
  <si>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</si>
  <si>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</si>
  <si>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</si>
  <si>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</si>
  <si>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</si>
  <si>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</si>
  <si>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</si>
  <si>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</si>
  <si>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</si>
  <si>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</si>
  <si>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</si>
  <si>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</si>
  <si>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</si>
  <si>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</si>
  <si>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</si>
  <si>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</si>
  <si>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</si>
  <si>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</si>
  <si>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</si>
  <si>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</si>
  <si>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</si>
  <si>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</si>
  <si>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</si>
  <si>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</si>
  <si>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</si>
  <si>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</si>
  <si>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</si>
  <si>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</si>
  <si>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</si>
  <si>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</si>
  <si>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</si>
  <si>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</si>
  <si>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</si>
  <si>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</si>
  <si>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</si>
  <si>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</si>
  <si>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</si>
  <si>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</si>
  <si>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</si>
  <si>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</si>
  <si>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</si>
  <si>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</si>
  <si>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</si>
  <si>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</si>
  <si>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</si>
  <si>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</si>
  <si>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</si>
  <si>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</si>
  <si>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</si>
  <si>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</si>
  <si>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</si>
  <si>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</si>
  <si>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</si>
  <si>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</si>
  <si>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</si>
  <si>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</si>
  <si>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</si>
  <si>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</si>
  <si>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</si>
  <si>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</si>
  <si>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</si>
  <si>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</si>
  <si>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</si>
  <si>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</si>
  <si>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</si>
  <si>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</si>
  <si>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</si>
  <si>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</si>
  <si>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</si>
  <si>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</si>
  <si>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</si>
  <si>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</si>
  <si>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</si>
  <si>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</si>
  <si>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</si>
  <si>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</si>
  <si>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</si>
  <si>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</si>
  <si>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</si>
  <si>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</si>
  <si>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</si>
  <si>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</si>
  <si>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</si>
  <si>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</si>
  <si>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</si>
  <si>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</si>
  <si>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</si>
  <si>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</si>
  <si>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</si>
  <si>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</si>
  <si>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</si>
  <si>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</si>
  <si>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</si>
  <si>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</si>
  <si>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</si>
  <si>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</si>
  <si>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</si>
  <si>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</si>
  <si>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</si>
  <si>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</si>
  <si>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</si>
  <si>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</si>
  <si>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</si>
  <si>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</si>
  <si>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</si>
  <si>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</si>
  <si>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</si>
  <si>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</si>
  <si>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</si>
  <si>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</si>
  <si>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</si>
  <si>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</si>
  <si>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</si>
  <si>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</si>
  <si>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</si>
  <si>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</si>
  <si>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</si>
  <si>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</si>
  <si>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</si>
  <si>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</si>
  <si>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</si>
  <si>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</si>
  <si>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</si>
  <si>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</si>
  <si>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</si>
  <si>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</si>
  <si>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</si>
  <si>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</si>
  <si>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</si>
  <si>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</si>
  <si>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</si>
  <si>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</si>
  <si>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</si>
  <si>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</si>
  <si>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</si>
  <si>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</si>
  <si>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</si>
  <si>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</si>
  <si>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</si>
  <si>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</si>
  <si>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</si>
  <si>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</si>
  <si>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</si>
  <si>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</si>
  <si>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</si>
  <si>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</si>
  <si>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</si>
  <si>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</si>
  <si>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</si>
  <si>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</si>
  <si>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</si>
  <si>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</si>
  <si>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</si>
  <si>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</si>
  <si>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</si>
  <si>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</si>
  <si>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</si>
  <si>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</si>
  <si>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</si>
  <si>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</si>
  <si>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</si>
  <si>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</si>
  <si>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</si>
  <si>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</si>
  <si>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</si>
  <si>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</si>
  <si>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</si>
  <si>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</si>
  <si>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</si>
  <si>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</si>
  <si>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</si>
  <si>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</si>
  <si>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</si>
  <si>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</si>
  <si>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</si>
  <si>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</si>
  <si>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</si>
  <si>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</si>
  <si>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</si>
  <si>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</si>
  <si>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</si>
  <si>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</si>
  <si>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</si>
  <si>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</si>
  <si>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</si>
  <si>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</si>
  <si>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</si>
  <si>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</si>
  <si>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</si>
  <si>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</si>
  <si>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</si>
  <si>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</si>
  <si>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</si>
  <si>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</si>
  <si>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</si>
  <si>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</si>
  <si>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</si>
  <si>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</si>
  <si>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</si>
  <si>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</si>
  <si>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</si>
  <si>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</si>
  <si>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</si>
  <si>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</si>
  <si>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</si>
  <si>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</si>
  <si>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</si>
  <si>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</si>
  <si>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</si>
  <si>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</si>
  <si>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</si>
  <si>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</si>
  <si>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</si>
  <si>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</si>
  <si>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</si>
  <si>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</si>
  <si>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</si>
  <si>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</si>
  <si>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</si>
  <si>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</si>
  <si>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</si>
  <si>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</si>
  <si>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</si>
  <si>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</si>
  <si>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</si>
  <si>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</si>
  <si>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</si>
  <si>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</si>
  <si>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</si>
  <si>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</si>
  <si>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</si>
  <si>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</si>
  <si>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</si>
  <si>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</si>
  <si>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</si>
  <si>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</si>
  <si>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</si>
  <si>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</si>
  <si>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</si>
  <si>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</si>
  <si>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</si>
  <si>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</si>
  <si>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</si>
  <si>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</si>
  <si>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</si>
  <si>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</si>
  <si>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</si>
  <si>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</si>
  <si>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</si>
  <si>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</si>
  <si>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</si>
  <si>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</si>
  <si>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</si>
  <si>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</si>
  <si>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</si>
  <si>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</si>
  <si>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</si>
  <si>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</si>
  <si>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</si>
  <si>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</si>
  <si>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</si>
  <si>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</si>
  <si>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</si>
  <si>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</si>
  <si>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</si>
  <si>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</si>
  <si>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</si>
  <si>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</si>
  <si>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</si>
  <si>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</si>
  <si>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</si>
  <si>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</si>
  <si>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</si>
  <si>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</si>
  <si>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</si>
  <si>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</si>
  <si>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</si>
  <si>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</si>
  <si>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</si>
  <si>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</si>
  <si>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</si>
  <si>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</si>
  <si>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</si>
  <si>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</si>
  <si>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</si>
  <si>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</si>
  <si>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</si>
  <si>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</si>
  <si>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</si>
  <si>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</si>
  <si>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</si>
  <si>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</si>
  <si>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</si>
  <si>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</si>
  <si>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</si>
  <si>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</si>
  <si>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</si>
  <si>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</si>
  <si>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</si>
  <si>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</si>
  <si>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</si>
  <si>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</si>
  <si>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</si>
  <si>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</si>
  <si>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</si>
  <si>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</si>
  <si>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</si>
  <si>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</si>
  <si>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</si>
  <si>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</si>
  <si>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</si>
  <si>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</si>
  <si>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</si>
  <si>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</si>
  <si>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</si>
  <si>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</si>
  <si>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</si>
  <si>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</si>
  <si>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</si>
  <si>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</si>
  <si>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</si>
  <si>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</si>
  <si>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</si>
  <si>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</si>
  <si>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</si>
  <si>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</si>
  <si>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</si>
  <si>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</si>
  <si>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</si>
  <si>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</si>
  <si>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</si>
  <si>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</si>
  <si>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</si>
  <si>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</si>
  <si>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</si>
  <si>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</si>
  <si>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</si>
  <si>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</si>
  <si>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</si>
  <si>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</si>
  <si>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</si>
  <si>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</si>
  <si>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</si>
  <si>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</si>
  <si>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</si>
  <si>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</si>
  <si>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</si>
  <si>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</si>
  <si>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</si>
  <si>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</si>
  <si>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</si>
  <si>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</si>
  <si>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</si>
  <si>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</si>
  <si>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</si>
  <si>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</si>
  <si>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</si>
  <si>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</si>
  <si>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</si>
  <si>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</si>
  <si>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b/>
        <sz val="10"/>
        <rFont val="宋体"/>
        <family val="3"/>
        <charset val="134"/>
      </rPr>
      <t>需扣减承租人权益</t>
    </r>
  </si>
  <si>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</si>
  <si>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</si>
  <si>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</si>
  <si>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</si>
  <si>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</si>
  <si>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</si>
  <si>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</si>
  <si>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</si>
  <si>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</si>
  <si>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</si>
  <si>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</si>
  <si>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</si>
  <si>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</si>
  <si>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</si>
  <si>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</si>
  <si>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</si>
  <si>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</si>
  <si>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</si>
  <si>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</si>
  <si>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</si>
  <si>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</si>
  <si>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</si>
  <si>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</si>
  <si>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</si>
  <si>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</si>
  <si>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白景生</t>
    <phoneticPr fontId="5" type="noConversion"/>
  </si>
  <si>
    <t>吴薇</t>
  </si>
  <si>
    <t>刘梅</t>
  </si>
  <si>
    <t>抵押</t>
  </si>
  <si>
    <t>房地产抵押价值</t>
  </si>
  <si>
    <t>已注销及未注销</t>
  </si>
  <si>
    <t>北京市</t>
  </si>
  <si>
    <t>企业</t>
  </si>
  <si>
    <t>出让</t>
  </si>
  <si>
    <t>商业、地下车库</t>
    <phoneticPr fontId="8" type="noConversion"/>
  </si>
  <si>
    <r>
      <rPr>
        <sz val="12"/>
        <color theme="9" tint="-0.249977111117893"/>
        <rFont val="宋体"/>
        <family val="3"/>
        <charset val="134"/>
      </rPr>
      <t>商业</t>
    </r>
    <r>
      <rPr>
        <sz val="12"/>
        <color theme="9" tint="-0.249977111117893"/>
        <rFont val="Arial"/>
        <family val="2"/>
      </rPr>
      <t>33.5</t>
    </r>
    <r>
      <rPr>
        <sz val="12"/>
        <color theme="9" tint="-0.249977111117893"/>
        <rFont val="宋体"/>
        <family val="3"/>
        <charset val="134"/>
      </rPr>
      <t>年、地下车库</t>
    </r>
    <r>
      <rPr>
        <sz val="12"/>
        <color theme="9" tint="-0.249977111117893"/>
        <rFont val="Arial"/>
        <family val="2"/>
      </rPr>
      <t>43.5</t>
    </r>
    <r>
      <rPr>
        <sz val="12"/>
        <color theme="9" tint="-0.249977111117893"/>
        <rFont val="宋体"/>
        <family val="3"/>
        <charset val="134"/>
      </rPr>
      <t>年</t>
    </r>
    <phoneticPr fontId="8" type="noConversion"/>
  </si>
  <si>
    <r>
      <rPr>
        <sz val="12"/>
        <color theme="9" tint="-0.249977111117893"/>
        <rFont val="宋体"/>
        <family val="3"/>
        <charset val="134"/>
      </rPr>
      <t>《不动产权利证书》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）房不动产权第</t>
    </r>
    <r>
      <rPr>
        <sz val="12"/>
        <color theme="9" tint="-0.249977111117893"/>
        <rFont val="Arial"/>
        <family val="2"/>
      </rPr>
      <t>0011894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、《房屋面积测算技术报告书》（商品房类使用）</t>
    </r>
    <phoneticPr fontId="8" type="noConversion"/>
  </si>
  <si>
    <t>《土地面积分摊技术报告书》</t>
    <phoneticPr fontId="8" type="noConversion"/>
  </si>
  <si>
    <t>是</t>
  </si>
  <si>
    <t>复印件</t>
  </si>
  <si>
    <t>中国银行股份有限公司北京海淀支行</t>
    <phoneticPr fontId="8" type="noConversion"/>
  </si>
  <si>
    <t>商业项目</t>
  </si>
  <si>
    <t>商场</t>
  </si>
  <si>
    <t>否</t>
  </si>
  <si>
    <t>现房</t>
  </si>
  <si>
    <t>通路</t>
  </si>
  <si>
    <t>通电</t>
  </si>
  <si>
    <t>通讯</t>
  </si>
  <si>
    <t>通上水</t>
  </si>
  <si>
    <t>通下水</t>
  </si>
  <si>
    <t>通热</t>
  </si>
  <si>
    <t>地上</t>
  </si>
  <si>
    <t>地下</t>
  </si>
  <si>
    <t>独立商业</t>
  </si>
  <si>
    <t>分摊土地面积</t>
    <phoneticPr fontId="145" type="noConversion"/>
  </si>
  <si>
    <r>
      <t>-</t>
    </r>
    <r>
      <rPr>
        <sz val="11"/>
        <color theme="1"/>
        <rFont val="宋体"/>
        <family val="3"/>
        <charset val="134"/>
        <scheme val="minor"/>
      </rPr>
      <t>3层</t>
    </r>
    <phoneticPr fontId="145" type="noConversion"/>
  </si>
  <si>
    <r>
      <t>-</t>
    </r>
    <r>
      <rPr>
        <sz val="11"/>
        <color theme="1"/>
        <rFont val="宋体"/>
        <family val="3"/>
        <charset val="134"/>
        <scheme val="minor"/>
      </rPr>
      <t>1072</t>
    </r>
    <phoneticPr fontId="145" type="noConversion"/>
  </si>
  <si>
    <r>
      <t>-</t>
    </r>
    <r>
      <rPr>
        <sz val="11"/>
        <color theme="1"/>
        <rFont val="宋体"/>
        <family val="3"/>
        <charset val="134"/>
        <scheme val="minor"/>
      </rPr>
      <t>1073</t>
    </r>
    <r>
      <rPr>
        <sz val="11"/>
        <color theme="1"/>
        <rFont val="宋体"/>
        <family val="2"/>
        <charset val="134"/>
        <scheme val="minor"/>
      </rPr>
      <t/>
    </r>
  </si>
  <si>
    <r>
      <t>-</t>
    </r>
    <r>
      <rPr>
        <sz val="11"/>
        <color theme="1"/>
        <rFont val="宋体"/>
        <family val="3"/>
        <charset val="134"/>
        <scheme val="minor"/>
      </rPr>
      <t>1074</t>
    </r>
    <r>
      <rPr>
        <sz val="11"/>
        <color theme="1"/>
        <rFont val="宋体"/>
        <family val="2"/>
        <charset val="134"/>
        <scheme val="minor"/>
      </rPr>
      <t/>
    </r>
  </si>
  <si>
    <r>
      <t>-</t>
    </r>
    <r>
      <rPr>
        <sz val="11"/>
        <color theme="1"/>
        <rFont val="宋体"/>
        <family val="3"/>
        <charset val="134"/>
        <scheme val="minor"/>
      </rPr>
      <t>1075</t>
    </r>
    <r>
      <rPr>
        <sz val="11"/>
        <color theme="1"/>
        <rFont val="宋体"/>
        <family val="2"/>
        <charset val="134"/>
        <scheme val="minor"/>
      </rPr>
      <t/>
    </r>
  </si>
  <si>
    <r>
      <t>-</t>
    </r>
    <r>
      <rPr>
        <sz val="11"/>
        <color theme="1"/>
        <rFont val="宋体"/>
        <family val="3"/>
        <charset val="134"/>
        <scheme val="minor"/>
      </rPr>
      <t>1076</t>
    </r>
    <r>
      <rPr>
        <sz val="11"/>
        <color theme="1"/>
        <rFont val="宋体"/>
        <family val="2"/>
        <charset val="134"/>
        <scheme val="minor"/>
      </rPr>
      <t/>
    </r>
  </si>
  <si>
    <r>
      <t>-</t>
    </r>
    <r>
      <rPr>
        <sz val="11"/>
        <color theme="1"/>
        <rFont val="宋体"/>
        <family val="3"/>
        <charset val="134"/>
        <scheme val="minor"/>
      </rPr>
      <t>1077</t>
    </r>
    <r>
      <rPr>
        <sz val="11"/>
        <color theme="1"/>
        <rFont val="宋体"/>
        <family val="2"/>
        <charset val="134"/>
        <scheme val="minor"/>
      </rPr>
      <t/>
    </r>
  </si>
  <si>
    <r>
      <t>-</t>
    </r>
    <r>
      <rPr>
        <sz val="11"/>
        <color theme="1"/>
        <rFont val="宋体"/>
        <family val="3"/>
        <charset val="134"/>
        <scheme val="minor"/>
      </rPr>
      <t>1078</t>
    </r>
    <r>
      <rPr>
        <sz val="11"/>
        <color theme="1"/>
        <rFont val="宋体"/>
        <family val="2"/>
        <charset val="134"/>
        <scheme val="minor"/>
      </rPr>
      <t/>
    </r>
  </si>
  <si>
    <r>
      <t>-</t>
    </r>
    <r>
      <rPr>
        <sz val="11"/>
        <color theme="1"/>
        <rFont val="宋体"/>
        <family val="3"/>
        <charset val="134"/>
        <scheme val="minor"/>
      </rPr>
      <t>1079</t>
    </r>
    <r>
      <rPr>
        <sz val="11"/>
        <color theme="1"/>
        <rFont val="宋体"/>
        <family val="2"/>
        <charset val="134"/>
        <scheme val="minor"/>
      </rPr>
      <t/>
    </r>
  </si>
  <si>
    <r>
      <t>-</t>
    </r>
    <r>
      <rPr>
        <sz val="11"/>
        <color theme="1"/>
        <rFont val="宋体"/>
        <family val="3"/>
        <charset val="134"/>
        <scheme val="minor"/>
      </rPr>
      <t>1080</t>
    </r>
    <r>
      <rPr>
        <sz val="11"/>
        <color theme="1"/>
        <rFont val="宋体"/>
        <family val="2"/>
        <charset val="134"/>
        <scheme val="minor"/>
      </rPr>
      <t/>
    </r>
  </si>
  <si>
    <r>
      <t>-</t>
    </r>
    <r>
      <rPr>
        <sz val="11"/>
        <color theme="1"/>
        <rFont val="宋体"/>
        <family val="3"/>
        <charset val="134"/>
        <scheme val="minor"/>
      </rPr>
      <t>1081</t>
    </r>
    <r>
      <rPr>
        <sz val="11"/>
        <color theme="1"/>
        <rFont val="宋体"/>
        <family val="2"/>
        <charset val="134"/>
        <scheme val="minor"/>
      </rPr>
      <t/>
    </r>
  </si>
  <si>
    <r>
      <t>-</t>
    </r>
    <r>
      <rPr>
        <sz val="11"/>
        <color theme="1"/>
        <rFont val="宋体"/>
        <family val="3"/>
        <charset val="134"/>
        <scheme val="minor"/>
      </rPr>
      <t>1082</t>
    </r>
    <r>
      <rPr>
        <sz val="11"/>
        <color theme="1"/>
        <rFont val="宋体"/>
        <family val="2"/>
        <charset val="134"/>
        <scheme val="minor"/>
      </rPr>
      <t/>
    </r>
  </si>
  <si>
    <r>
      <t>-</t>
    </r>
    <r>
      <rPr>
        <sz val="11"/>
        <color theme="1"/>
        <rFont val="宋体"/>
        <family val="3"/>
        <charset val="134"/>
        <scheme val="minor"/>
      </rPr>
      <t>1083</t>
    </r>
    <r>
      <rPr>
        <sz val="11"/>
        <color theme="1"/>
        <rFont val="宋体"/>
        <family val="2"/>
        <charset val="134"/>
        <scheme val="minor"/>
      </rPr>
      <t/>
    </r>
  </si>
  <si>
    <r>
      <t>-</t>
    </r>
    <r>
      <rPr>
        <sz val="11"/>
        <color theme="1"/>
        <rFont val="宋体"/>
        <family val="3"/>
        <charset val="134"/>
        <scheme val="minor"/>
      </rPr>
      <t>1084</t>
    </r>
    <r>
      <rPr>
        <sz val="11"/>
        <color theme="1"/>
        <rFont val="宋体"/>
        <family val="2"/>
        <charset val="134"/>
        <scheme val="minor"/>
      </rPr>
      <t/>
    </r>
  </si>
  <si>
    <r>
      <t>-</t>
    </r>
    <r>
      <rPr>
        <sz val="11"/>
        <color theme="1"/>
        <rFont val="宋体"/>
        <family val="3"/>
        <charset val="134"/>
        <scheme val="minor"/>
      </rPr>
      <t>1085</t>
    </r>
    <r>
      <rPr>
        <sz val="11"/>
        <color theme="1"/>
        <rFont val="宋体"/>
        <family val="2"/>
        <charset val="134"/>
        <scheme val="minor"/>
      </rPr>
      <t/>
    </r>
  </si>
  <si>
    <r>
      <t>-</t>
    </r>
    <r>
      <rPr>
        <sz val="11"/>
        <color theme="1"/>
        <rFont val="宋体"/>
        <family val="3"/>
        <charset val="134"/>
        <scheme val="minor"/>
      </rPr>
      <t>1086</t>
    </r>
    <r>
      <rPr>
        <sz val="11"/>
        <color theme="1"/>
        <rFont val="宋体"/>
        <family val="2"/>
        <charset val="134"/>
        <scheme val="minor"/>
      </rPr>
      <t/>
    </r>
  </si>
  <si>
    <r>
      <t>-</t>
    </r>
    <r>
      <rPr>
        <sz val="11"/>
        <color theme="1"/>
        <rFont val="宋体"/>
        <family val="3"/>
        <charset val="134"/>
        <scheme val="minor"/>
      </rPr>
      <t>1087</t>
    </r>
    <r>
      <rPr>
        <sz val="11"/>
        <color theme="1"/>
        <rFont val="宋体"/>
        <family val="2"/>
        <charset val="134"/>
        <scheme val="minor"/>
      </rPr>
      <t/>
    </r>
  </si>
  <si>
    <r>
      <t>-</t>
    </r>
    <r>
      <rPr>
        <sz val="11"/>
        <color theme="1"/>
        <rFont val="宋体"/>
        <family val="3"/>
        <charset val="134"/>
        <scheme val="minor"/>
      </rPr>
      <t>1088</t>
    </r>
    <r>
      <rPr>
        <sz val="11"/>
        <color theme="1"/>
        <rFont val="宋体"/>
        <family val="2"/>
        <charset val="134"/>
        <scheme val="minor"/>
      </rPr>
      <t/>
    </r>
  </si>
  <si>
    <r>
      <t>-</t>
    </r>
    <r>
      <rPr>
        <sz val="11"/>
        <color theme="1"/>
        <rFont val="宋体"/>
        <family val="3"/>
        <charset val="134"/>
        <scheme val="minor"/>
      </rPr>
      <t>1089</t>
    </r>
    <r>
      <rPr>
        <sz val="11"/>
        <color theme="1"/>
        <rFont val="宋体"/>
        <family val="2"/>
        <charset val="134"/>
        <scheme val="minor"/>
      </rPr>
      <t/>
    </r>
  </si>
  <si>
    <r>
      <t>-</t>
    </r>
    <r>
      <rPr>
        <sz val="11"/>
        <color theme="1"/>
        <rFont val="宋体"/>
        <family val="3"/>
        <charset val="134"/>
        <scheme val="minor"/>
      </rPr>
      <t>1090</t>
    </r>
    <r>
      <rPr>
        <sz val="11"/>
        <color theme="1"/>
        <rFont val="宋体"/>
        <family val="2"/>
        <charset val="134"/>
        <scheme val="minor"/>
      </rPr>
      <t/>
    </r>
  </si>
  <si>
    <r>
      <t>-</t>
    </r>
    <r>
      <rPr>
        <sz val="11"/>
        <color theme="1"/>
        <rFont val="宋体"/>
        <family val="3"/>
        <charset val="134"/>
        <scheme val="minor"/>
      </rPr>
      <t>1091</t>
    </r>
    <r>
      <rPr>
        <sz val="11"/>
        <color theme="1"/>
        <rFont val="宋体"/>
        <family val="2"/>
        <charset val="134"/>
        <scheme val="minor"/>
      </rPr>
      <t/>
    </r>
  </si>
  <si>
    <r>
      <t>-</t>
    </r>
    <r>
      <rPr>
        <sz val="11"/>
        <color theme="1"/>
        <rFont val="宋体"/>
        <family val="3"/>
        <charset val="134"/>
        <scheme val="minor"/>
      </rPr>
      <t>1092</t>
    </r>
    <r>
      <rPr>
        <sz val="11"/>
        <color theme="1"/>
        <rFont val="宋体"/>
        <family val="2"/>
        <charset val="134"/>
        <scheme val="minor"/>
      </rPr>
      <t/>
    </r>
  </si>
  <si>
    <r>
      <t>-</t>
    </r>
    <r>
      <rPr>
        <sz val="11"/>
        <color theme="1"/>
        <rFont val="宋体"/>
        <family val="3"/>
        <charset val="134"/>
        <scheme val="minor"/>
      </rPr>
      <t>1093</t>
    </r>
    <r>
      <rPr>
        <sz val="11"/>
        <color theme="1"/>
        <rFont val="宋体"/>
        <family val="2"/>
        <charset val="134"/>
        <scheme val="minor"/>
      </rPr>
      <t/>
    </r>
  </si>
  <si>
    <r>
      <t>-</t>
    </r>
    <r>
      <rPr>
        <sz val="11"/>
        <color theme="1"/>
        <rFont val="宋体"/>
        <family val="3"/>
        <charset val="134"/>
        <scheme val="minor"/>
      </rPr>
      <t>1094</t>
    </r>
    <r>
      <rPr>
        <sz val="11"/>
        <color theme="1"/>
        <rFont val="宋体"/>
        <family val="2"/>
        <charset val="134"/>
        <scheme val="minor"/>
      </rPr>
      <t/>
    </r>
  </si>
  <si>
    <r>
      <t>-</t>
    </r>
    <r>
      <rPr>
        <sz val="11"/>
        <color theme="1"/>
        <rFont val="宋体"/>
        <family val="3"/>
        <charset val="134"/>
        <scheme val="minor"/>
      </rPr>
      <t>1095</t>
    </r>
    <r>
      <rPr>
        <sz val="11"/>
        <color theme="1"/>
        <rFont val="宋体"/>
        <family val="2"/>
        <charset val="134"/>
        <scheme val="minor"/>
      </rPr>
      <t/>
    </r>
  </si>
  <si>
    <r>
      <t>-</t>
    </r>
    <r>
      <rPr>
        <sz val="11"/>
        <color theme="1"/>
        <rFont val="宋体"/>
        <family val="3"/>
        <charset val="134"/>
        <scheme val="minor"/>
      </rPr>
      <t>1096</t>
    </r>
    <r>
      <rPr>
        <sz val="11"/>
        <color theme="1"/>
        <rFont val="宋体"/>
        <family val="2"/>
        <charset val="134"/>
        <scheme val="minor"/>
      </rPr>
      <t/>
    </r>
  </si>
  <si>
    <r>
      <t>-</t>
    </r>
    <r>
      <rPr>
        <sz val="11"/>
        <color theme="1"/>
        <rFont val="宋体"/>
        <family val="3"/>
        <charset val="134"/>
        <scheme val="minor"/>
      </rPr>
      <t>1097</t>
    </r>
    <r>
      <rPr>
        <sz val="11"/>
        <color theme="1"/>
        <rFont val="宋体"/>
        <family val="2"/>
        <charset val="134"/>
        <scheme val="minor"/>
      </rPr>
      <t/>
    </r>
  </si>
  <si>
    <r>
      <t>-</t>
    </r>
    <r>
      <rPr>
        <sz val="11"/>
        <color theme="1"/>
        <rFont val="宋体"/>
        <family val="3"/>
        <charset val="134"/>
        <scheme val="minor"/>
      </rPr>
      <t>1098</t>
    </r>
    <r>
      <rPr>
        <sz val="11"/>
        <color theme="1"/>
        <rFont val="宋体"/>
        <family val="2"/>
        <charset val="134"/>
        <scheme val="minor"/>
      </rPr>
      <t/>
    </r>
  </si>
  <si>
    <r>
      <t>-</t>
    </r>
    <r>
      <rPr>
        <sz val="11"/>
        <color theme="1"/>
        <rFont val="宋体"/>
        <family val="3"/>
        <charset val="134"/>
        <scheme val="minor"/>
      </rPr>
      <t>1124</t>
    </r>
    <phoneticPr fontId="145" type="noConversion"/>
  </si>
  <si>
    <r>
      <t>-</t>
    </r>
    <r>
      <rPr>
        <sz val="11"/>
        <color theme="1"/>
        <rFont val="宋体"/>
        <family val="3"/>
        <charset val="134"/>
        <scheme val="minor"/>
      </rPr>
      <t>1125</t>
    </r>
    <r>
      <rPr>
        <sz val="11"/>
        <color theme="1"/>
        <rFont val="宋体"/>
        <family val="2"/>
        <charset val="134"/>
        <scheme val="minor"/>
      </rPr>
      <t/>
    </r>
  </si>
  <si>
    <r>
      <t>-</t>
    </r>
    <r>
      <rPr>
        <sz val="11"/>
        <color theme="1"/>
        <rFont val="宋体"/>
        <family val="3"/>
        <charset val="134"/>
        <scheme val="minor"/>
      </rPr>
      <t>1126</t>
    </r>
    <r>
      <rPr>
        <sz val="11"/>
        <color theme="1"/>
        <rFont val="宋体"/>
        <family val="2"/>
        <charset val="134"/>
        <scheme val="minor"/>
      </rPr>
      <t/>
    </r>
  </si>
  <si>
    <r>
      <t>-</t>
    </r>
    <r>
      <rPr>
        <sz val="11"/>
        <color theme="1"/>
        <rFont val="宋体"/>
        <family val="3"/>
        <charset val="134"/>
        <scheme val="minor"/>
      </rPr>
      <t>1144</t>
    </r>
    <phoneticPr fontId="145" type="noConversion"/>
  </si>
  <si>
    <r>
      <t>-</t>
    </r>
    <r>
      <rPr>
        <sz val="11"/>
        <color theme="1"/>
        <rFont val="宋体"/>
        <family val="3"/>
        <charset val="134"/>
        <scheme val="minor"/>
      </rPr>
      <t>1145</t>
    </r>
    <phoneticPr fontId="145" type="noConversion"/>
  </si>
  <si>
    <r>
      <t>-</t>
    </r>
    <r>
      <rPr>
        <sz val="11"/>
        <color theme="1"/>
        <rFont val="宋体"/>
        <family val="3"/>
        <charset val="134"/>
        <scheme val="minor"/>
      </rPr>
      <t>1146</t>
    </r>
    <phoneticPr fontId="145" type="noConversion"/>
  </si>
  <si>
    <r>
      <t>-</t>
    </r>
    <r>
      <rPr>
        <sz val="11"/>
        <color theme="1"/>
        <rFont val="宋体"/>
        <family val="3"/>
        <charset val="134"/>
        <scheme val="minor"/>
      </rPr>
      <t>2层</t>
    </r>
    <phoneticPr fontId="145" type="noConversion"/>
  </si>
  <si>
    <t>-3层合计</t>
    <phoneticPr fontId="145" type="noConversion"/>
  </si>
  <si>
    <r>
      <t>-</t>
    </r>
    <r>
      <rPr>
        <sz val="11"/>
        <color theme="1"/>
        <rFont val="宋体"/>
        <family val="3"/>
        <charset val="134"/>
        <scheme val="minor"/>
      </rPr>
      <t>501</t>
    </r>
    <phoneticPr fontId="145" type="noConversion"/>
  </si>
  <si>
    <r>
      <t>-</t>
    </r>
    <r>
      <rPr>
        <sz val="11"/>
        <color theme="1"/>
        <rFont val="宋体"/>
        <family val="3"/>
        <charset val="134"/>
        <scheme val="minor"/>
      </rPr>
      <t>502</t>
    </r>
    <r>
      <rPr>
        <sz val="11"/>
        <color theme="1"/>
        <rFont val="宋体"/>
        <family val="2"/>
        <charset val="134"/>
        <scheme val="minor"/>
      </rPr>
      <t/>
    </r>
  </si>
  <si>
    <r>
      <t>-</t>
    </r>
    <r>
      <rPr>
        <sz val="11"/>
        <color theme="1"/>
        <rFont val="宋体"/>
        <family val="3"/>
        <charset val="134"/>
        <scheme val="minor"/>
      </rPr>
      <t>503</t>
    </r>
    <r>
      <rPr>
        <sz val="11"/>
        <color theme="1"/>
        <rFont val="宋体"/>
        <family val="2"/>
        <charset val="134"/>
        <scheme val="minor"/>
      </rPr>
      <t/>
    </r>
  </si>
  <si>
    <r>
      <t>-</t>
    </r>
    <r>
      <rPr>
        <sz val="11"/>
        <color theme="1"/>
        <rFont val="宋体"/>
        <family val="3"/>
        <charset val="134"/>
        <scheme val="minor"/>
      </rPr>
      <t>504</t>
    </r>
    <r>
      <rPr>
        <sz val="11"/>
        <color theme="1"/>
        <rFont val="宋体"/>
        <family val="2"/>
        <charset val="134"/>
        <scheme val="minor"/>
      </rPr>
      <t/>
    </r>
  </si>
  <si>
    <r>
      <t>-</t>
    </r>
    <r>
      <rPr>
        <sz val="11"/>
        <color theme="1"/>
        <rFont val="宋体"/>
        <family val="3"/>
        <charset val="134"/>
        <scheme val="minor"/>
      </rPr>
      <t>505</t>
    </r>
    <r>
      <rPr>
        <sz val="11"/>
        <color theme="1"/>
        <rFont val="宋体"/>
        <family val="2"/>
        <charset val="134"/>
        <scheme val="minor"/>
      </rPr>
      <t/>
    </r>
  </si>
  <si>
    <r>
      <t>-</t>
    </r>
    <r>
      <rPr>
        <sz val="11"/>
        <color theme="1"/>
        <rFont val="宋体"/>
        <family val="3"/>
        <charset val="134"/>
        <scheme val="minor"/>
      </rPr>
      <t>506</t>
    </r>
    <r>
      <rPr>
        <sz val="11"/>
        <color theme="1"/>
        <rFont val="宋体"/>
        <family val="2"/>
        <charset val="134"/>
        <scheme val="minor"/>
      </rPr>
      <t/>
    </r>
  </si>
  <si>
    <r>
      <t>-</t>
    </r>
    <r>
      <rPr>
        <sz val="11"/>
        <color theme="1"/>
        <rFont val="宋体"/>
        <family val="3"/>
        <charset val="134"/>
        <scheme val="minor"/>
      </rPr>
      <t>507</t>
    </r>
    <r>
      <rPr>
        <sz val="11"/>
        <color theme="1"/>
        <rFont val="宋体"/>
        <family val="2"/>
        <charset val="134"/>
        <scheme val="minor"/>
      </rPr>
      <t/>
    </r>
  </si>
  <si>
    <r>
      <t>-</t>
    </r>
    <r>
      <rPr>
        <sz val="11"/>
        <color theme="1"/>
        <rFont val="宋体"/>
        <family val="3"/>
        <charset val="134"/>
        <scheme val="minor"/>
      </rPr>
      <t>508</t>
    </r>
    <r>
      <rPr>
        <sz val="11"/>
        <color theme="1"/>
        <rFont val="宋体"/>
        <family val="2"/>
        <charset val="134"/>
        <scheme val="minor"/>
      </rPr>
      <t/>
    </r>
  </si>
  <si>
    <r>
      <t>-</t>
    </r>
    <r>
      <rPr>
        <sz val="11"/>
        <color theme="1"/>
        <rFont val="宋体"/>
        <family val="3"/>
        <charset val="134"/>
        <scheme val="minor"/>
      </rPr>
      <t>509</t>
    </r>
    <r>
      <rPr>
        <sz val="11"/>
        <color theme="1"/>
        <rFont val="宋体"/>
        <family val="2"/>
        <charset val="134"/>
        <scheme val="minor"/>
      </rPr>
      <t/>
    </r>
  </si>
  <si>
    <r>
      <t>-</t>
    </r>
    <r>
      <rPr>
        <sz val="11"/>
        <color theme="1"/>
        <rFont val="宋体"/>
        <family val="3"/>
        <charset val="134"/>
        <scheme val="minor"/>
      </rPr>
      <t>510</t>
    </r>
    <r>
      <rPr>
        <sz val="11"/>
        <color theme="1"/>
        <rFont val="宋体"/>
        <family val="2"/>
        <charset val="134"/>
        <scheme val="minor"/>
      </rPr>
      <t/>
    </r>
  </si>
  <si>
    <r>
      <t>-</t>
    </r>
    <r>
      <rPr>
        <sz val="11"/>
        <color theme="1"/>
        <rFont val="宋体"/>
        <family val="3"/>
        <charset val="134"/>
        <scheme val="minor"/>
      </rPr>
      <t>511</t>
    </r>
    <r>
      <rPr>
        <sz val="11"/>
        <color theme="1"/>
        <rFont val="宋体"/>
        <family val="2"/>
        <charset val="134"/>
        <scheme val="minor"/>
      </rPr>
      <t/>
    </r>
  </si>
  <si>
    <r>
      <t>-</t>
    </r>
    <r>
      <rPr>
        <sz val="11"/>
        <color theme="1"/>
        <rFont val="宋体"/>
        <family val="3"/>
        <charset val="134"/>
        <scheme val="minor"/>
      </rPr>
      <t>512</t>
    </r>
    <r>
      <rPr>
        <sz val="11"/>
        <color theme="1"/>
        <rFont val="宋体"/>
        <family val="2"/>
        <charset val="134"/>
        <scheme val="minor"/>
      </rPr>
      <t/>
    </r>
  </si>
  <si>
    <r>
      <t>-</t>
    </r>
    <r>
      <rPr>
        <sz val="11"/>
        <color theme="1"/>
        <rFont val="宋体"/>
        <family val="3"/>
        <charset val="134"/>
        <scheme val="minor"/>
      </rPr>
      <t>513</t>
    </r>
    <r>
      <rPr>
        <sz val="11"/>
        <color theme="1"/>
        <rFont val="宋体"/>
        <family val="2"/>
        <charset val="134"/>
        <scheme val="minor"/>
      </rPr>
      <t/>
    </r>
  </si>
  <si>
    <r>
      <t>-</t>
    </r>
    <r>
      <rPr>
        <sz val="11"/>
        <color theme="1"/>
        <rFont val="宋体"/>
        <family val="3"/>
        <charset val="134"/>
        <scheme val="minor"/>
      </rPr>
      <t>514</t>
    </r>
    <r>
      <rPr>
        <sz val="11"/>
        <color theme="1"/>
        <rFont val="宋体"/>
        <family val="2"/>
        <charset val="134"/>
        <scheme val="minor"/>
      </rPr>
      <t/>
    </r>
  </si>
  <si>
    <r>
      <t>-</t>
    </r>
    <r>
      <rPr>
        <sz val="11"/>
        <color theme="1"/>
        <rFont val="宋体"/>
        <family val="3"/>
        <charset val="134"/>
        <scheme val="minor"/>
      </rPr>
      <t>515</t>
    </r>
    <r>
      <rPr>
        <sz val="11"/>
        <color theme="1"/>
        <rFont val="宋体"/>
        <family val="2"/>
        <charset val="134"/>
        <scheme val="minor"/>
      </rPr>
      <t/>
    </r>
  </si>
  <si>
    <r>
      <t>-</t>
    </r>
    <r>
      <rPr>
        <sz val="11"/>
        <color theme="1"/>
        <rFont val="宋体"/>
        <family val="3"/>
        <charset val="134"/>
        <scheme val="minor"/>
      </rPr>
      <t>516</t>
    </r>
    <r>
      <rPr>
        <sz val="11"/>
        <color theme="1"/>
        <rFont val="宋体"/>
        <family val="2"/>
        <charset val="134"/>
        <scheme val="minor"/>
      </rPr>
      <t/>
    </r>
  </si>
  <si>
    <r>
      <t>-</t>
    </r>
    <r>
      <rPr>
        <sz val="11"/>
        <color theme="1"/>
        <rFont val="宋体"/>
        <family val="3"/>
        <charset val="134"/>
        <scheme val="minor"/>
      </rPr>
      <t>517</t>
    </r>
    <r>
      <rPr>
        <sz val="11"/>
        <color theme="1"/>
        <rFont val="宋体"/>
        <family val="2"/>
        <charset val="134"/>
        <scheme val="minor"/>
      </rPr>
      <t/>
    </r>
  </si>
  <si>
    <r>
      <t>-</t>
    </r>
    <r>
      <rPr>
        <sz val="11"/>
        <color theme="1"/>
        <rFont val="宋体"/>
        <family val="3"/>
        <charset val="134"/>
        <scheme val="minor"/>
      </rPr>
      <t>518</t>
    </r>
    <r>
      <rPr>
        <sz val="11"/>
        <color theme="1"/>
        <rFont val="宋体"/>
        <family val="2"/>
        <charset val="134"/>
        <scheme val="minor"/>
      </rPr>
      <t/>
    </r>
  </si>
  <si>
    <r>
      <t>-</t>
    </r>
    <r>
      <rPr>
        <sz val="11"/>
        <color theme="1"/>
        <rFont val="宋体"/>
        <family val="3"/>
        <charset val="134"/>
        <scheme val="minor"/>
      </rPr>
      <t>519</t>
    </r>
    <r>
      <rPr>
        <sz val="11"/>
        <color theme="1"/>
        <rFont val="宋体"/>
        <family val="2"/>
        <charset val="134"/>
        <scheme val="minor"/>
      </rPr>
      <t/>
    </r>
  </si>
  <si>
    <r>
      <t>-</t>
    </r>
    <r>
      <rPr>
        <sz val="11"/>
        <color theme="1"/>
        <rFont val="宋体"/>
        <family val="3"/>
        <charset val="134"/>
        <scheme val="minor"/>
      </rPr>
      <t>520</t>
    </r>
    <r>
      <rPr>
        <sz val="11"/>
        <color theme="1"/>
        <rFont val="宋体"/>
        <family val="2"/>
        <charset val="134"/>
        <scheme val="minor"/>
      </rPr>
      <t/>
    </r>
  </si>
  <si>
    <r>
      <t>-</t>
    </r>
    <r>
      <rPr>
        <sz val="11"/>
        <color theme="1"/>
        <rFont val="宋体"/>
        <family val="3"/>
        <charset val="134"/>
        <scheme val="minor"/>
      </rPr>
      <t>521</t>
    </r>
    <r>
      <rPr>
        <sz val="11"/>
        <color theme="1"/>
        <rFont val="宋体"/>
        <family val="2"/>
        <charset val="134"/>
        <scheme val="minor"/>
      </rPr>
      <t/>
    </r>
  </si>
  <si>
    <r>
      <t>-</t>
    </r>
    <r>
      <rPr>
        <sz val="11"/>
        <color theme="1"/>
        <rFont val="宋体"/>
        <family val="3"/>
        <charset val="134"/>
        <scheme val="minor"/>
      </rPr>
      <t>522</t>
    </r>
    <r>
      <rPr>
        <sz val="11"/>
        <color theme="1"/>
        <rFont val="宋体"/>
        <family val="2"/>
        <charset val="134"/>
        <scheme val="minor"/>
      </rPr>
      <t/>
    </r>
  </si>
  <si>
    <r>
      <t>-</t>
    </r>
    <r>
      <rPr>
        <sz val="11"/>
        <color theme="1"/>
        <rFont val="宋体"/>
        <family val="3"/>
        <charset val="134"/>
        <scheme val="minor"/>
      </rPr>
      <t>523</t>
    </r>
    <r>
      <rPr>
        <sz val="11"/>
        <color theme="1"/>
        <rFont val="宋体"/>
        <family val="2"/>
        <charset val="134"/>
        <scheme val="minor"/>
      </rPr>
      <t/>
    </r>
  </si>
  <si>
    <r>
      <t>-</t>
    </r>
    <r>
      <rPr>
        <sz val="11"/>
        <color theme="1"/>
        <rFont val="宋体"/>
        <family val="3"/>
        <charset val="134"/>
        <scheme val="minor"/>
      </rPr>
      <t>524</t>
    </r>
    <r>
      <rPr>
        <sz val="11"/>
        <color theme="1"/>
        <rFont val="宋体"/>
        <family val="2"/>
        <charset val="134"/>
        <scheme val="minor"/>
      </rPr>
      <t/>
    </r>
  </si>
  <si>
    <r>
      <t>-</t>
    </r>
    <r>
      <rPr>
        <sz val="11"/>
        <color theme="1"/>
        <rFont val="宋体"/>
        <family val="3"/>
        <charset val="134"/>
        <scheme val="minor"/>
      </rPr>
      <t>525</t>
    </r>
    <r>
      <rPr>
        <sz val="11"/>
        <color theme="1"/>
        <rFont val="宋体"/>
        <family val="2"/>
        <charset val="134"/>
        <scheme val="minor"/>
      </rPr>
      <t/>
    </r>
  </si>
  <si>
    <r>
      <t>-</t>
    </r>
    <r>
      <rPr>
        <sz val="11"/>
        <color theme="1"/>
        <rFont val="宋体"/>
        <family val="3"/>
        <charset val="134"/>
        <scheme val="minor"/>
      </rPr>
      <t>526</t>
    </r>
    <r>
      <rPr>
        <sz val="11"/>
        <color theme="1"/>
        <rFont val="宋体"/>
        <family val="2"/>
        <charset val="134"/>
        <scheme val="minor"/>
      </rPr>
      <t/>
    </r>
  </si>
  <si>
    <r>
      <t>-</t>
    </r>
    <r>
      <rPr>
        <sz val="11"/>
        <color theme="1"/>
        <rFont val="宋体"/>
        <family val="3"/>
        <charset val="134"/>
        <scheme val="minor"/>
      </rPr>
      <t>527</t>
    </r>
    <r>
      <rPr>
        <sz val="11"/>
        <color theme="1"/>
        <rFont val="宋体"/>
        <family val="2"/>
        <charset val="134"/>
        <scheme val="minor"/>
      </rPr>
      <t/>
    </r>
  </si>
  <si>
    <r>
      <t>-</t>
    </r>
    <r>
      <rPr>
        <sz val="11"/>
        <color theme="1"/>
        <rFont val="宋体"/>
        <family val="3"/>
        <charset val="134"/>
        <scheme val="minor"/>
      </rPr>
      <t>528</t>
    </r>
    <r>
      <rPr>
        <sz val="11"/>
        <color theme="1"/>
        <rFont val="宋体"/>
        <family val="2"/>
        <charset val="134"/>
        <scheme val="minor"/>
      </rPr>
      <t/>
    </r>
  </si>
  <si>
    <r>
      <t>-</t>
    </r>
    <r>
      <rPr>
        <sz val="11"/>
        <color theme="1"/>
        <rFont val="宋体"/>
        <family val="3"/>
        <charset val="134"/>
        <scheme val="minor"/>
      </rPr>
      <t>529</t>
    </r>
    <r>
      <rPr>
        <sz val="11"/>
        <color theme="1"/>
        <rFont val="宋体"/>
        <family val="2"/>
        <charset val="134"/>
        <scheme val="minor"/>
      </rPr>
      <t/>
    </r>
  </si>
  <si>
    <r>
      <t>-</t>
    </r>
    <r>
      <rPr>
        <sz val="11"/>
        <color theme="1"/>
        <rFont val="宋体"/>
        <family val="3"/>
        <charset val="134"/>
        <scheme val="minor"/>
      </rPr>
      <t>530</t>
    </r>
    <r>
      <rPr>
        <sz val="11"/>
        <color theme="1"/>
        <rFont val="宋体"/>
        <family val="2"/>
        <charset val="134"/>
        <scheme val="minor"/>
      </rPr>
      <t/>
    </r>
  </si>
  <si>
    <r>
      <t>-</t>
    </r>
    <r>
      <rPr>
        <sz val="11"/>
        <color theme="1"/>
        <rFont val="宋体"/>
        <family val="3"/>
        <charset val="134"/>
        <scheme val="minor"/>
      </rPr>
      <t>531</t>
    </r>
    <r>
      <rPr>
        <sz val="11"/>
        <color theme="1"/>
        <rFont val="宋体"/>
        <family val="2"/>
        <charset val="134"/>
        <scheme val="minor"/>
      </rPr>
      <t/>
    </r>
  </si>
  <si>
    <r>
      <t>-</t>
    </r>
    <r>
      <rPr>
        <sz val="11"/>
        <color theme="1"/>
        <rFont val="宋体"/>
        <family val="3"/>
        <charset val="134"/>
        <scheme val="minor"/>
      </rPr>
      <t>532</t>
    </r>
    <r>
      <rPr>
        <sz val="11"/>
        <color theme="1"/>
        <rFont val="宋体"/>
        <family val="2"/>
        <charset val="134"/>
        <scheme val="minor"/>
      </rPr>
      <t/>
    </r>
  </si>
  <si>
    <r>
      <t>-</t>
    </r>
    <r>
      <rPr>
        <sz val="11"/>
        <color theme="1"/>
        <rFont val="宋体"/>
        <family val="3"/>
        <charset val="134"/>
        <scheme val="minor"/>
      </rPr>
      <t>533</t>
    </r>
    <r>
      <rPr>
        <sz val="11"/>
        <color theme="1"/>
        <rFont val="宋体"/>
        <family val="2"/>
        <charset val="134"/>
        <scheme val="minor"/>
      </rPr>
      <t/>
    </r>
  </si>
  <si>
    <r>
      <t>-</t>
    </r>
    <r>
      <rPr>
        <sz val="11"/>
        <color theme="1"/>
        <rFont val="宋体"/>
        <family val="3"/>
        <charset val="134"/>
        <scheme val="minor"/>
      </rPr>
      <t>534</t>
    </r>
    <r>
      <rPr>
        <sz val="11"/>
        <color theme="1"/>
        <rFont val="宋体"/>
        <family val="2"/>
        <charset val="134"/>
        <scheme val="minor"/>
      </rPr>
      <t/>
    </r>
  </si>
  <si>
    <r>
      <t>-</t>
    </r>
    <r>
      <rPr>
        <sz val="11"/>
        <color theme="1"/>
        <rFont val="宋体"/>
        <family val="3"/>
        <charset val="134"/>
        <scheme val="minor"/>
      </rPr>
      <t>535</t>
    </r>
    <r>
      <rPr>
        <sz val="11"/>
        <color theme="1"/>
        <rFont val="宋体"/>
        <family val="2"/>
        <charset val="134"/>
        <scheme val="minor"/>
      </rPr>
      <t/>
    </r>
  </si>
  <si>
    <r>
      <t>-</t>
    </r>
    <r>
      <rPr>
        <sz val="11"/>
        <color theme="1"/>
        <rFont val="宋体"/>
        <family val="3"/>
        <charset val="134"/>
        <scheme val="minor"/>
      </rPr>
      <t>536</t>
    </r>
    <r>
      <rPr>
        <sz val="11"/>
        <color theme="1"/>
        <rFont val="宋体"/>
        <family val="2"/>
        <charset val="134"/>
        <scheme val="minor"/>
      </rPr>
      <t/>
    </r>
  </si>
  <si>
    <r>
      <t>-</t>
    </r>
    <r>
      <rPr>
        <sz val="11"/>
        <color theme="1"/>
        <rFont val="宋体"/>
        <family val="3"/>
        <charset val="134"/>
        <scheme val="minor"/>
      </rPr>
      <t>537</t>
    </r>
    <r>
      <rPr>
        <sz val="11"/>
        <color theme="1"/>
        <rFont val="宋体"/>
        <family val="2"/>
        <charset val="134"/>
        <scheme val="minor"/>
      </rPr>
      <t/>
    </r>
  </si>
  <si>
    <r>
      <t>-</t>
    </r>
    <r>
      <rPr>
        <sz val="11"/>
        <color theme="1"/>
        <rFont val="宋体"/>
        <family val="3"/>
        <charset val="134"/>
        <scheme val="minor"/>
      </rPr>
      <t>538</t>
    </r>
    <r>
      <rPr>
        <sz val="11"/>
        <color theme="1"/>
        <rFont val="宋体"/>
        <family val="2"/>
        <charset val="134"/>
        <scheme val="minor"/>
      </rPr>
      <t/>
    </r>
  </si>
  <si>
    <r>
      <t>-</t>
    </r>
    <r>
      <rPr>
        <sz val="11"/>
        <color theme="1"/>
        <rFont val="宋体"/>
        <family val="3"/>
        <charset val="134"/>
        <scheme val="minor"/>
      </rPr>
      <t>539</t>
    </r>
    <r>
      <rPr>
        <sz val="11"/>
        <color theme="1"/>
        <rFont val="宋体"/>
        <family val="2"/>
        <charset val="134"/>
        <scheme val="minor"/>
      </rPr>
      <t/>
    </r>
  </si>
  <si>
    <r>
      <t>-</t>
    </r>
    <r>
      <rPr>
        <sz val="11"/>
        <color theme="1"/>
        <rFont val="宋体"/>
        <family val="3"/>
        <charset val="134"/>
        <scheme val="minor"/>
      </rPr>
      <t>540</t>
    </r>
    <r>
      <rPr>
        <sz val="11"/>
        <color theme="1"/>
        <rFont val="宋体"/>
        <family val="2"/>
        <charset val="134"/>
        <scheme val="minor"/>
      </rPr>
      <t/>
    </r>
  </si>
  <si>
    <r>
      <t>-</t>
    </r>
    <r>
      <rPr>
        <sz val="11"/>
        <color theme="1"/>
        <rFont val="宋体"/>
        <family val="3"/>
        <charset val="134"/>
        <scheme val="minor"/>
      </rPr>
      <t>541</t>
    </r>
    <r>
      <rPr>
        <sz val="11"/>
        <color theme="1"/>
        <rFont val="宋体"/>
        <family val="2"/>
        <charset val="134"/>
        <scheme val="minor"/>
      </rPr>
      <t/>
    </r>
  </si>
  <si>
    <r>
      <t>-</t>
    </r>
    <r>
      <rPr>
        <sz val="11"/>
        <color theme="1"/>
        <rFont val="宋体"/>
        <family val="3"/>
        <charset val="134"/>
        <scheme val="minor"/>
      </rPr>
      <t>542</t>
    </r>
    <r>
      <rPr>
        <sz val="11"/>
        <color theme="1"/>
        <rFont val="宋体"/>
        <family val="2"/>
        <charset val="134"/>
        <scheme val="minor"/>
      </rPr>
      <t/>
    </r>
  </si>
  <si>
    <r>
      <t>-</t>
    </r>
    <r>
      <rPr>
        <sz val="11"/>
        <color theme="1"/>
        <rFont val="宋体"/>
        <family val="3"/>
        <charset val="134"/>
        <scheme val="minor"/>
      </rPr>
      <t>543</t>
    </r>
    <r>
      <rPr>
        <sz val="11"/>
        <color theme="1"/>
        <rFont val="宋体"/>
        <family val="2"/>
        <charset val="134"/>
        <scheme val="minor"/>
      </rPr>
      <t/>
    </r>
  </si>
  <si>
    <r>
      <t>-</t>
    </r>
    <r>
      <rPr>
        <sz val="11"/>
        <color theme="1"/>
        <rFont val="宋体"/>
        <family val="3"/>
        <charset val="134"/>
        <scheme val="minor"/>
      </rPr>
      <t>544</t>
    </r>
    <r>
      <rPr>
        <sz val="11"/>
        <color theme="1"/>
        <rFont val="宋体"/>
        <family val="2"/>
        <charset val="134"/>
        <scheme val="minor"/>
      </rPr>
      <t/>
    </r>
  </si>
  <si>
    <r>
      <t>-</t>
    </r>
    <r>
      <rPr>
        <sz val="11"/>
        <color theme="1"/>
        <rFont val="宋体"/>
        <family val="3"/>
        <charset val="134"/>
        <scheme val="minor"/>
      </rPr>
      <t>545、-546</t>
    </r>
    <phoneticPr fontId="145" type="noConversion"/>
  </si>
  <si>
    <r>
      <t>-</t>
    </r>
    <r>
      <rPr>
        <sz val="11"/>
        <color theme="1"/>
        <rFont val="宋体"/>
        <family val="3"/>
        <charset val="134"/>
        <scheme val="minor"/>
      </rPr>
      <t>547</t>
    </r>
    <phoneticPr fontId="145" type="noConversion"/>
  </si>
  <si>
    <r>
      <t>-</t>
    </r>
    <r>
      <rPr>
        <sz val="11"/>
        <color theme="1"/>
        <rFont val="宋体"/>
        <family val="3"/>
        <charset val="134"/>
        <scheme val="minor"/>
      </rPr>
      <t>548</t>
    </r>
    <r>
      <rPr>
        <sz val="11"/>
        <color theme="1"/>
        <rFont val="宋体"/>
        <family val="2"/>
        <charset val="134"/>
        <scheme val="minor"/>
      </rPr>
      <t/>
    </r>
  </si>
  <si>
    <r>
      <t>-</t>
    </r>
    <r>
      <rPr>
        <sz val="11"/>
        <color theme="1"/>
        <rFont val="宋体"/>
        <family val="3"/>
        <charset val="134"/>
        <scheme val="minor"/>
      </rPr>
      <t>549</t>
    </r>
    <r>
      <rPr>
        <sz val="11"/>
        <color theme="1"/>
        <rFont val="宋体"/>
        <family val="2"/>
        <charset val="134"/>
        <scheme val="minor"/>
      </rPr>
      <t/>
    </r>
  </si>
  <si>
    <r>
      <t>-</t>
    </r>
    <r>
      <rPr>
        <sz val="11"/>
        <color theme="1"/>
        <rFont val="宋体"/>
        <family val="3"/>
        <charset val="134"/>
        <scheme val="minor"/>
      </rPr>
      <t>550</t>
    </r>
    <r>
      <rPr>
        <sz val="11"/>
        <color theme="1"/>
        <rFont val="宋体"/>
        <family val="2"/>
        <charset val="134"/>
        <scheme val="minor"/>
      </rPr>
      <t/>
    </r>
  </si>
  <si>
    <r>
      <t>-</t>
    </r>
    <r>
      <rPr>
        <sz val="11"/>
        <color theme="1"/>
        <rFont val="宋体"/>
        <family val="3"/>
        <charset val="134"/>
        <scheme val="minor"/>
      </rPr>
      <t>551</t>
    </r>
    <r>
      <rPr>
        <sz val="11"/>
        <color theme="1"/>
        <rFont val="宋体"/>
        <family val="2"/>
        <charset val="134"/>
        <scheme val="minor"/>
      </rPr>
      <t/>
    </r>
  </si>
  <si>
    <r>
      <t>-</t>
    </r>
    <r>
      <rPr>
        <sz val="11"/>
        <color theme="1"/>
        <rFont val="宋体"/>
        <family val="3"/>
        <charset val="134"/>
        <scheme val="minor"/>
      </rPr>
      <t>552</t>
    </r>
    <r>
      <rPr>
        <sz val="11"/>
        <color theme="1"/>
        <rFont val="宋体"/>
        <family val="2"/>
        <charset val="134"/>
        <scheme val="minor"/>
      </rPr>
      <t/>
    </r>
  </si>
  <si>
    <r>
      <t>-</t>
    </r>
    <r>
      <rPr>
        <sz val="11"/>
        <color theme="1"/>
        <rFont val="宋体"/>
        <family val="3"/>
        <charset val="134"/>
        <scheme val="minor"/>
      </rPr>
      <t>553</t>
    </r>
    <r>
      <rPr>
        <sz val="11"/>
        <color theme="1"/>
        <rFont val="宋体"/>
        <family val="2"/>
        <charset val="134"/>
        <scheme val="minor"/>
      </rPr>
      <t/>
    </r>
  </si>
  <si>
    <r>
      <t>-</t>
    </r>
    <r>
      <rPr>
        <sz val="11"/>
        <color theme="1"/>
        <rFont val="宋体"/>
        <family val="3"/>
        <charset val="134"/>
        <scheme val="minor"/>
      </rPr>
      <t>554</t>
    </r>
    <r>
      <rPr>
        <sz val="11"/>
        <color theme="1"/>
        <rFont val="宋体"/>
        <family val="2"/>
        <charset val="134"/>
        <scheme val="minor"/>
      </rPr>
      <t/>
    </r>
  </si>
  <si>
    <r>
      <t>-</t>
    </r>
    <r>
      <rPr>
        <sz val="11"/>
        <color theme="1"/>
        <rFont val="宋体"/>
        <family val="3"/>
        <charset val="134"/>
        <scheme val="minor"/>
      </rPr>
      <t>555</t>
    </r>
    <r>
      <rPr>
        <sz val="11"/>
        <color theme="1"/>
        <rFont val="宋体"/>
        <family val="2"/>
        <charset val="134"/>
        <scheme val="minor"/>
      </rPr>
      <t/>
    </r>
  </si>
  <si>
    <r>
      <t>-</t>
    </r>
    <r>
      <rPr>
        <sz val="11"/>
        <color theme="1"/>
        <rFont val="宋体"/>
        <family val="3"/>
        <charset val="134"/>
        <scheme val="minor"/>
      </rPr>
      <t>556</t>
    </r>
    <r>
      <rPr>
        <sz val="11"/>
        <color theme="1"/>
        <rFont val="宋体"/>
        <family val="2"/>
        <charset val="134"/>
        <scheme val="minor"/>
      </rPr>
      <t/>
    </r>
  </si>
  <si>
    <r>
      <t>-</t>
    </r>
    <r>
      <rPr>
        <sz val="11"/>
        <color theme="1"/>
        <rFont val="宋体"/>
        <family val="3"/>
        <charset val="134"/>
        <scheme val="minor"/>
      </rPr>
      <t>557</t>
    </r>
    <r>
      <rPr>
        <sz val="11"/>
        <color theme="1"/>
        <rFont val="宋体"/>
        <family val="2"/>
        <charset val="134"/>
        <scheme val="minor"/>
      </rPr>
      <t/>
    </r>
  </si>
  <si>
    <r>
      <t>-</t>
    </r>
    <r>
      <rPr>
        <sz val="11"/>
        <color theme="1"/>
        <rFont val="宋体"/>
        <family val="3"/>
        <charset val="134"/>
        <scheme val="minor"/>
      </rPr>
      <t>558</t>
    </r>
    <r>
      <rPr>
        <sz val="11"/>
        <color theme="1"/>
        <rFont val="宋体"/>
        <family val="2"/>
        <charset val="134"/>
        <scheme val="minor"/>
      </rPr>
      <t/>
    </r>
  </si>
  <si>
    <r>
      <t>-</t>
    </r>
    <r>
      <rPr>
        <sz val="11"/>
        <color theme="1"/>
        <rFont val="宋体"/>
        <family val="3"/>
        <charset val="134"/>
        <scheme val="minor"/>
      </rPr>
      <t>559</t>
    </r>
    <r>
      <rPr>
        <sz val="11"/>
        <color theme="1"/>
        <rFont val="宋体"/>
        <family val="2"/>
        <charset val="134"/>
        <scheme val="minor"/>
      </rPr>
      <t/>
    </r>
  </si>
  <si>
    <r>
      <t>-</t>
    </r>
    <r>
      <rPr>
        <sz val="11"/>
        <color theme="1"/>
        <rFont val="宋体"/>
        <family val="3"/>
        <charset val="134"/>
        <scheme val="minor"/>
      </rPr>
      <t>560</t>
    </r>
    <r>
      <rPr>
        <sz val="11"/>
        <color theme="1"/>
        <rFont val="宋体"/>
        <family val="2"/>
        <charset val="134"/>
        <scheme val="minor"/>
      </rPr>
      <t/>
    </r>
  </si>
  <si>
    <r>
      <t>-</t>
    </r>
    <r>
      <rPr>
        <sz val="11"/>
        <color theme="1"/>
        <rFont val="宋体"/>
        <family val="3"/>
        <charset val="134"/>
        <scheme val="minor"/>
      </rPr>
      <t>561</t>
    </r>
    <r>
      <rPr>
        <sz val="11"/>
        <color theme="1"/>
        <rFont val="宋体"/>
        <family val="2"/>
        <charset val="134"/>
        <scheme val="minor"/>
      </rPr>
      <t/>
    </r>
  </si>
  <si>
    <r>
      <t>-</t>
    </r>
    <r>
      <rPr>
        <sz val="11"/>
        <color theme="1"/>
        <rFont val="宋体"/>
        <family val="3"/>
        <charset val="134"/>
        <scheme val="minor"/>
      </rPr>
      <t>562</t>
    </r>
    <r>
      <rPr>
        <sz val="11"/>
        <color theme="1"/>
        <rFont val="宋体"/>
        <family val="2"/>
        <charset val="134"/>
        <scheme val="minor"/>
      </rPr>
      <t/>
    </r>
  </si>
  <si>
    <r>
      <t>-</t>
    </r>
    <r>
      <rPr>
        <sz val="11"/>
        <color theme="1"/>
        <rFont val="宋体"/>
        <family val="3"/>
        <charset val="134"/>
        <scheme val="minor"/>
      </rPr>
      <t>563</t>
    </r>
    <r>
      <rPr>
        <sz val="11"/>
        <color theme="1"/>
        <rFont val="宋体"/>
        <family val="2"/>
        <charset val="134"/>
        <scheme val="minor"/>
      </rPr>
      <t/>
    </r>
  </si>
  <si>
    <r>
      <t>-</t>
    </r>
    <r>
      <rPr>
        <sz val="11"/>
        <color theme="1"/>
        <rFont val="宋体"/>
        <family val="3"/>
        <charset val="134"/>
        <scheme val="minor"/>
      </rPr>
      <t>564</t>
    </r>
    <r>
      <rPr>
        <sz val="11"/>
        <color theme="1"/>
        <rFont val="宋体"/>
        <family val="2"/>
        <charset val="134"/>
        <scheme val="minor"/>
      </rPr>
      <t/>
    </r>
  </si>
  <si>
    <r>
      <t>-</t>
    </r>
    <r>
      <rPr>
        <sz val="11"/>
        <color theme="1"/>
        <rFont val="宋体"/>
        <family val="3"/>
        <charset val="134"/>
        <scheme val="minor"/>
      </rPr>
      <t>565</t>
    </r>
    <r>
      <rPr>
        <sz val="11"/>
        <color theme="1"/>
        <rFont val="宋体"/>
        <family val="2"/>
        <charset val="134"/>
        <scheme val="minor"/>
      </rPr>
      <t/>
    </r>
  </si>
  <si>
    <r>
      <t>-</t>
    </r>
    <r>
      <rPr>
        <sz val="11"/>
        <color theme="1"/>
        <rFont val="宋体"/>
        <family val="3"/>
        <charset val="134"/>
        <scheme val="minor"/>
      </rPr>
      <t>566</t>
    </r>
    <r>
      <rPr>
        <sz val="11"/>
        <color theme="1"/>
        <rFont val="宋体"/>
        <family val="2"/>
        <charset val="134"/>
        <scheme val="minor"/>
      </rPr>
      <t/>
    </r>
  </si>
  <si>
    <r>
      <t>-</t>
    </r>
    <r>
      <rPr>
        <sz val="11"/>
        <color theme="1"/>
        <rFont val="宋体"/>
        <family val="3"/>
        <charset val="134"/>
        <scheme val="minor"/>
      </rPr>
      <t>567</t>
    </r>
    <r>
      <rPr>
        <sz val="11"/>
        <color theme="1"/>
        <rFont val="宋体"/>
        <family val="2"/>
        <charset val="134"/>
        <scheme val="minor"/>
      </rPr>
      <t/>
    </r>
  </si>
  <si>
    <r>
      <t>-</t>
    </r>
    <r>
      <rPr>
        <sz val="11"/>
        <color theme="1"/>
        <rFont val="宋体"/>
        <family val="3"/>
        <charset val="134"/>
        <scheme val="minor"/>
      </rPr>
      <t>568</t>
    </r>
    <r>
      <rPr>
        <sz val="11"/>
        <color theme="1"/>
        <rFont val="宋体"/>
        <family val="2"/>
        <charset val="134"/>
        <scheme val="minor"/>
      </rPr>
      <t/>
    </r>
  </si>
  <si>
    <r>
      <t>-</t>
    </r>
    <r>
      <rPr>
        <sz val="11"/>
        <color theme="1"/>
        <rFont val="宋体"/>
        <family val="3"/>
        <charset val="134"/>
        <scheme val="minor"/>
      </rPr>
      <t>569</t>
    </r>
    <r>
      <rPr>
        <sz val="11"/>
        <color theme="1"/>
        <rFont val="宋体"/>
        <family val="2"/>
        <charset val="134"/>
        <scheme val="minor"/>
      </rPr>
      <t/>
    </r>
  </si>
  <si>
    <r>
      <t>-</t>
    </r>
    <r>
      <rPr>
        <sz val="11"/>
        <color theme="1"/>
        <rFont val="宋体"/>
        <family val="3"/>
        <charset val="134"/>
        <scheme val="minor"/>
      </rPr>
      <t>570</t>
    </r>
    <r>
      <rPr>
        <sz val="11"/>
        <color theme="1"/>
        <rFont val="宋体"/>
        <family val="2"/>
        <charset val="134"/>
        <scheme val="minor"/>
      </rPr>
      <t/>
    </r>
  </si>
  <si>
    <r>
      <t>-</t>
    </r>
    <r>
      <rPr>
        <sz val="11"/>
        <color theme="1"/>
        <rFont val="宋体"/>
        <family val="3"/>
        <charset val="134"/>
        <scheme val="minor"/>
      </rPr>
      <t>571</t>
    </r>
    <r>
      <rPr>
        <sz val="11"/>
        <color theme="1"/>
        <rFont val="宋体"/>
        <family val="2"/>
        <charset val="134"/>
        <scheme val="minor"/>
      </rPr>
      <t/>
    </r>
  </si>
  <si>
    <r>
      <t>-</t>
    </r>
    <r>
      <rPr>
        <sz val="11"/>
        <color theme="1"/>
        <rFont val="宋体"/>
        <family val="3"/>
        <charset val="134"/>
        <scheme val="minor"/>
      </rPr>
      <t>572</t>
    </r>
    <r>
      <rPr>
        <sz val="11"/>
        <color theme="1"/>
        <rFont val="宋体"/>
        <family val="2"/>
        <charset val="134"/>
        <scheme val="minor"/>
      </rPr>
      <t/>
    </r>
  </si>
  <si>
    <r>
      <t>-</t>
    </r>
    <r>
      <rPr>
        <sz val="11"/>
        <color theme="1"/>
        <rFont val="宋体"/>
        <family val="3"/>
        <charset val="134"/>
        <scheme val="minor"/>
      </rPr>
      <t>573</t>
    </r>
    <r>
      <rPr>
        <sz val="11"/>
        <color theme="1"/>
        <rFont val="宋体"/>
        <family val="2"/>
        <charset val="134"/>
        <scheme val="minor"/>
      </rPr>
      <t/>
    </r>
  </si>
  <si>
    <r>
      <t>-</t>
    </r>
    <r>
      <rPr>
        <sz val="11"/>
        <color theme="1"/>
        <rFont val="宋体"/>
        <family val="3"/>
        <charset val="134"/>
        <scheme val="minor"/>
      </rPr>
      <t>574</t>
    </r>
    <r>
      <rPr>
        <sz val="11"/>
        <color theme="1"/>
        <rFont val="宋体"/>
        <family val="2"/>
        <charset val="134"/>
        <scheme val="minor"/>
      </rPr>
      <t/>
    </r>
  </si>
  <si>
    <r>
      <t>-</t>
    </r>
    <r>
      <rPr>
        <sz val="11"/>
        <color theme="1"/>
        <rFont val="宋体"/>
        <family val="3"/>
        <charset val="134"/>
        <scheme val="minor"/>
      </rPr>
      <t>575</t>
    </r>
    <r>
      <rPr>
        <sz val="11"/>
        <color theme="1"/>
        <rFont val="宋体"/>
        <family val="2"/>
        <charset val="134"/>
        <scheme val="minor"/>
      </rPr>
      <t/>
    </r>
  </si>
  <si>
    <r>
      <t>-</t>
    </r>
    <r>
      <rPr>
        <sz val="11"/>
        <color theme="1"/>
        <rFont val="宋体"/>
        <family val="3"/>
        <charset val="134"/>
        <scheme val="minor"/>
      </rPr>
      <t>576</t>
    </r>
    <r>
      <rPr>
        <sz val="11"/>
        <color theme="1"/>
        <rFont val="宋体"/>
        <family val="2"/>
        <charset val="134"/>
        <scheme val="minor"/>
      </rPr>
      <t/>
    </r>
  </si>
  <si>
    <r>
      <t>-</t>
    </r>
    <r>
      <rPr>
        <sz val="11"/>
        <color theme="1"/>
        <rFont val="宋体"/>
        <family val="3"/>
        <charset val="134"/>
        <scheme val="minor"/>
      </rPr>
      <t>577</t>
    </r>
    <r>
      <rPr>
        <sz val="11"/>
        <color theme="1"/>
        <rFont val="宋体"/>
        <family val="2"/>
        <charset val="134"/>
        <scheme val="minor"/>
      </rPr>
      <t/>
    </r>
  </si>
  <si>
    <r>
      <t>-</t>
    </r>
    <r>
      <rPr>
        <sz val="11"/>
        <color theme="1"/>
        <rFont val="宋体"/>
        <family val="3"/>
        <charset val="134"/>
        <scheme val="minor"/>
      </rPr>
      <t>578</t>
    </r>
    <r>
      <rPr>
        <sz val="11"/>
        <color theme="1"/>
        <rFont val="宋体"/>
        <family val="2"/>
        <charset val="134"/>
        <scheme val="minor"/>
      </rPr>
      <t/>
    </r>
  </si>
  <si>
    <r>
      <t>-</t>
    </r>
    <r>
      <rPr>
        <sz val="11"/>
        <color theme="1"/>
        <rFont val="宋体"/>
        <family val="3"/>
        <charset val="134"/>
        <scheme val="minor"/>
      </rPr>
      <t>579</t>
    </r>
    <r>
      <rPr>
        <sz val="11"/>
        <color theme="1"/>
        <rFont val="宋体"/>
        <family val="2"/>
        <charset val="134"/>
        <scheme val="minor"/>
      </rPr>
      <t/>
    </r>
  </si>
  <si>
    <r>
      <t>-</t>
    </r>
    <r>
      <rPr>
        <sz val="11"/>
        <color theme="1"/>
        <rFont val="宋体"/>
        <family val="3"/>
        <charset val="134"/>
        <scheme val="minor"/>
      </rPr>
      <t>580</t>
    </r>
    <r>
      <rPr>
        <sz val="11"/>
        <color theme="1"/>
        <rFont val="宋体"/>
        <family val="2"/>
        <charset val="134"/>
        <scheme val="minor"/>
      </rPr>
      <t/>
    </r>
  </si>
  <si>
    <r>
      <t>-</t>
    </r>
    <r>
      <rPr>
        <sz val="11"/>
        <color theme="1"/>
        <rFont val="宋体"/>
        <family val="3"/>
        <charset val="134"/>
        <scheme val="minor"/>
      </rPr>
      <t>581</t>
    </r>
    <r>
      <rPr>
        <sz val="11"/>
        <color theme="1"/>
        <rFont val="宋体"/>
        <family val="2"/>
        <charset val="134"/>
        <scheme val="minor"/>
      </rPr>
      <t/>
    </r>
  </si>
  <si>
    <r>
      <t>-</t>
    </r>
    <r>
      <rPr>
        <sz val="11"/>
        <color theme="1"/>
        <rFont val="宋体"/>
        <family val="3"/>
        <charset val="134"/>
        <scheme val="minor"/>
      </rPr>
      <t>582</t>
    </r>
    <r>
      <rPr>
        <sz val="11"/>
        <color theme="1"/>
        <rFont val="宋体"/>
        <family val="2"/>
        <charset val="134"/>
        <scheme val="minor"/>
      </rPr>
      <t/>
    </r>
  </si>
  <si>
    <r>
      <t>-</t>
    </r>
    <r>
      <rPr>
        <sz val="11"/>
        <color theme="1"/>
        <rFont val="宋体"/>
        <family val="3"/>
        <charset val="134"/>
        <scheme val="minor"/>
      </rPr>
      <t>583</t>
    </r>
    <r>
      <rPr>
        <sz val="11"/>
        <color theme="1"/>
        <rFont val="宋体"/>
        <family val="2"/>
        <charset val="134"/>
        <scheme val="minor"/>
      </rPr>
      <t/>
    </r>
  </si>
  <si>
    <r>
      <t>-</t>
    </r>
    <r>
      <rPr>
        <sz val="11"/>
        <color theme="1"/>
        <rFont val="宋体"/>
        <family val="3"/>
        <charset val="134"/>
        <scheme val="minor"/>
      </rPr>
      <t>584</t>
    </r>
    <r>
      <rPr>
        <sz val="11"/>
        <color theme="1"/>
        <rFont val="宋体"/>
        <family val="2"/>
        <charset val="134"/>
        <scheme val="minor"/>
      </rPr>
      <t/>
    </r>
  </si>
  <si>
    <r>
      <t>-</t>
    </r>
    <r>
      <rPr>
        <sz val="11"/>
        <color theme="1"/>
        <rFont val="宋体"/>
        <family val="3"/>
        <charset val="134"/>
        <scheme val="minor"/>
      </rPr>
      <t>585</t>
    </r>
    <r>
      <rPr>
        <sz val="11"/>
        <color theme="1"/>
        <rFont val="宋体"/>
        <family val="2"/>
        <charset val="134"/>
        <scheme val="minor"/>
      </rPr>
      <t/>
    </r>
  </si>
  <si>
    <r>
      <t>-</t>
    </r>
    <r>
      <rPr>
        <sz val="11"/>
        <color theme="1"/>
        <rFont val="宋体"/>
        <family val="3"/>
        <charset val="134"/>
        <scheme val="minor"/>
      </rPr>
      <t>586</t>
    </r>
    <r>
      <rPr>
        <sz val="11"/>
        <color theme="1"/>
        <rFont val="宋体"/>
        <family val="2"/>
        <charset val="134"/>
        <scheme val="minor"/>
      </rPr>
      <t/>
    </r>
  </si>
  <si>
    <r>
      <t>-</t>
    </r>
    <r>
      <rPr>
        <sz val="11"/>
        <color theme="1"/>
        <rFont val="宋体"/>
        <family val="3"/>
        <charset val="134"/>
        <scheme val="minor"/>
      </rPr>
      <t>587</t>
    </r>
    <r>
      <rPr>
        <sz val="11"/>
        <color theme="1"/>
        <rFont val="宋体"/>
        <family val="2"/>
        <charset val="134"/>
        <scheme val="minor"/>
      </rPr>
      <t/>
    </r>
  </si>
  <si>
    <r>
      <t>-</t>
    </r>
    <r>
      <rPr>
        <sz val="11"/>
        <color theme="1"/>
        <rFont val="宋体"/>
        <family val="3"/>
        <charset val="134"/>
        <scheme val="minor"/>
      </rPr>
      <t>588</t>
    </r>
    <r>
      <rPr>
        <sz val="11"/>
        <color theme="1"/>
        <rFont val="宋体"/>
        <family val="2"/>
        <charset val="134"/>
        <scheme val="minor"/>
      </rPr>
      <t/>
    </r>
  </si>
  <si>
    <r>
      <t>-</t>
    </r>
    <r>
      <rPr>
        <sz val="11"/>
        <color theme="1"/>
        <rFont val="宋体"/>
        <family val="3"/>
        <charset val="134"/>
        <scheme val="minor"/>
      </rPr>
      <t>589</t>
    </r>
    <r>
      <rPr>
        <sz val="11"/>
        <color theme="1"/>
        <rFont val="宋体"/>
        <family val="2"/>
        <charset val="134"/>
        <scheme val="minor"/>
      </rPr>
      <t/>
    </r>
  </si>
  <si>
    <r>
      <t>-</t>
    </r>
    <r>
      <rPr>
        <sz val="11"/>
        <color theme="1"/>
        <rFont val="宋体"/>
        <family val="3"/>
        <charset val="134"/>
        <scheme val="minor"/>
      </rPr>
      <t>590</t>
    </r>
    <r>
      <rPr>
        <sz val="11"/>
        <color theme="1"/>
        <rFont val="宋体"/>
        <family val="2"/>
        <charset val="134"/>
        <scheme val="minor"/>
      </rPr>
      <t/>
    </r>
  </si>
  <si>
    <r>
      <t>-</t>
    </r>
    <r>
      <rPr>
        <sz val="11"/>
        <color theme="1"/>
        <rFont val="宋体"/>
        <family val="3"/>
        <charset val="134"/>
        <scheme val="minor"/>
      </rPr>
      <t>591</t>
    </r>
    <r>
      <rPr>
        <sz val="11"/>
        <color theme="1"/>
        <rFont val="宋体"/>
        <family val="2"/>
        <charset val="134"/>
        <scheme val="minor"/>
      </rPr>
      <t/>
    </r>
  </si>
  <si>
    <r>
      <t>-</t>
    </r>
    <r>
      <rPr>
        <sz val="11"/>
        <color theme="1"/>
        <rFont val="宋体"/>
        <family val="3"/>
        <charset val="134"/>
        <scheme val="minor"/>
      </rPr>
      <t>592</t>
    </r>
    <r>
      <rPr>
        <sz val="11"/>
        <color theme="1"/>
        <rFont val="宋体"/>
        <family val="2"/>
        <charset val="134"/>
        <scheme val="minor"/>
      </rPr>
      <t/>
    </r>
  </si>
  <si>
    <r>
      <t>-</t>
    </r>
    <r>
      <rPr>
        <sz val="11"/>
        <color theme="1"/>
        <rFont val="宋体"/>
        <family val="3"/>
        <charset val="134"/>
        <scheme val="minor"/>
      </rPr>
      <t>593</t>
    </r>
    <r>
      <rPr>
        <sz val="11"/>
        <color theme="1"/>
        <rFont val="宋体"/>
        <family val="2"/>
        <charset val="134"/>
        <scheme val="minor"/>
      </rPr>
      <t/>
    </r>
  </si>
  <si>
    <r>
      <t>-</t>
    </r>
    <r>
      <rPr>
        <sz val="11"/>
        <color theme="1"/>
        <rFont val="宋体"/>
        <family val="3"/>
        <charset val="134"/>
        <scheme val="minor"/>
      </rPr>
      <t>594</t>
    </r>
    <r>
      <rPr>
        <sz val="11"/>
        <color theme="1"/>
        <rFont val="宋体"/>
        <family val="2"/>
        <charset val="134"/>
        <scheme val="minor"/>
      </rPr>
      <t/>
    </r>
  </si>
  <si>
    <r>
      <t>-</t>
    </r>
    <r>
      <rPr>
        <sz val="11"/>
        <color theme="1"/>
        <rFont val="宋体"/>
        <family val="3"/>
        <charset val="134"/>
        <scheme val="minor"/>
      </rPr>
      <t>595</t>
    </r>
    <r>
      <rPr>
        <sz val="11"/>
        <color theme="1"/>
        <rFont val="宋体"/>
        <family val="2"/>
        <charset val="134"/>
        <scheme val="minor"/>
      </rPr>
      <t/>
    </r>
  </si>
  <si>
    <r>
      <t>-</t>
    </r>
    <r>
      <rPr>
        <sz val="11"/>
        <color theme="1"/>
        <rFont val="宋体"/>
        <family val="3"/>
        <charset val="134"/>
        <scheme val="minor"/>
      </rPr>
      <t>596</t>
    </r>
    <r>
      <rPr>
        <sz val="11"/>
        <color theme="1"/>
        <rFont val="宋体"/>
        <family val="2"/>
        <charset val="134"/>
        <scheme val="minor"/>
      </rPr>
      <t/>
    </r>
  </si>
  <si>
    <r>
      <t>-</t>
    </r>
    <r>
      <rPr>
        <sz val="11"/>
        <color theme="1"/>
        <rFont val="宋体"/>
        <family val="3"/>
        <charset val="134"/>
        <scheme val="minor"/>
      </rPr>
      <t>597</t>
    </r>
    <r>
      <rPr>
        <sz val="11"/>
        <color theme="1"/>
        <rFont val="宋体"/>
        <family val="2"/>
        <charset val="134"/>
        <scheme val="minor"/>
      </rPr>
      <t/>
    </r>
  </si>
  <si>
    <r>
      <t>-</t>
    </r>
    <r>
      <rPr>
        <sz val="11"/>
        <color theme="1"/>
        <rFont val="宋体"/>
        <family val="3"/>
        <charset val="134"/>
        <scheme val="minor"/>
      </rPr>
      <t>598</t>
    </r>
    <r>
      <rPr>
        <sz val="11"/>
        <color theme="1"/>
        <rFont val="宋体"/>
        <family val="2"/>
        <charset val="134"/>
        <scheme val="minor"/>
      </rPr>
      <t/>
    </r>
  </si>
  <si>
    <r>
      <t>-</t>
    </r>
    <r>
      <rPr>
        <sz val="11"/>
        <color theme="1"/>
        <rFont val="宋体"/>
        <family val="3"/>
        <charset val="134"/>
        <scheme val="minor"/>
      </rPr>
      <t>599</t>
    </r>
    <r>
      <rPr>
        <sz val="11"/>
        <color theme="1"/>
        <rFont val="宋体"/>
        <family val="2"/>
        <charset val="134"/>
        <scheme val="minor"/>
      </rPr>
      <t/>
    </r>
  </si>
  <si>
    <r>
      <t>-</t>
    </r>
    <r>
      <rPr>
        <sz val="11"/>
        <color theme="1"/>
        <rFont val="宋体"/>
        <family val="3"/>
        <charset val="134"/>
        <scheme val="minor"/>
      </rPr>
      <t>600</t>
    </r>
    <r>
      <rPr>
        <sz val="11"/>
        <color theme="1"/>
        <rFont val="宋体"/>
        <family val="2"/>
        <charset val="134"/>
        <scheme val="minor"/>
      </rPr>
      <t/>
    </r>
  </si>
  <si>
    <r>
      <t>-</t>
    </r>
    <r>
      <rPr>
        <sz val="11"/>
        <color theme="1"/>
        <rFont val="宋体"/>
        <family val="3"/>
        <charset val="134"/>
        <scheme val="minor"/>
      </rPr>
      <t>601</t>
    </r>
    <r>
      <rPr>
        <sz val="11"/>
        <color theme="1"/>
        <rFont val="宋体"/>
        <family val="2"/>
        <charset val="134"/>
        <scheme val="minor"/>
      </rPr>
      <t/>
    </r>
  </si>
  <si>
    <r>
      <t>-</t>
    </r>
    <r>
      <rPr>
        <sz val="11"/>
        <color theme="1"/>
        <rFont val="宋体"/>
        <family val="3"/>
        <charset val="134"/>
        <scheme val="minor"/>
      </rPr>
      <t>602</t>
    </r>
    <r>
      <rPr>
        <sz val="11"/>
        <color theme="1"/>
        <rFont val="宋体"/>
        <family val="2"/>
        <charset val="134"/>
        <scheme val="minor"/>
      </rPr>
      <t/>
    </r>
  </si>
  <si>
    <r>
      <t>-</t>
    </r>
    <r>
      <rPr>
        <sz val="11"/>
        <color theme="1"/>
        <rFont val="宋体"/>
        <family val="3"/>
        <charset val="134"/>
        <scheme val="minor"/>
      </rPr>
      <t>603</t>
    </r>
    <r>
      <rPr>
        <sz val="11"/>
        <color theme="1"/>
        <rFont val="宋体"/>
        <family val="2"/>
        <charset val="134"/>
        <scheme val="minor"/>
      </rPr>
      <t/>
    </r>
  </si>
  <si>
    <r>
      <t>-</t>
    </r>
    <r>
      <rPr>
        <sz val="11"/>
        <color theme="1"/>
        <rFont val="宋体"/>
        <family val="3"/>
        <charset val="134"/>
        <scheme val="minor"/>
      </rPr>
      <t>604</t>
    </r>
    <r>
      <rPr>
        <sz val="11"/>
        <color theme="1"/>
        <rFont val="宋体"/>
        <family val="2"/>
        <charset val="134"/>
        <scheme val="minor"/>
      </rPr>
      <t/>
    </r>
  </si>
  <si>
    <r>
      <t>-</t>
    </r>
    <r>
      <rPr>
        <sz val="11"/>
        <color theme="1"/>
        <rFont val="宋体"/>
        <family val="3"/>
        <charset val="134"/>
        <scheme val="minor"/>
      </rPr>
      <t>605</t>
    </r>
    <r>
      <rPr>
        <sz val="11"/>
        <color theme="1"/>
        <rFont val="宋体"/>
        <family val="2"/>
        <charset val="134"/>
        <scheme val="minor"/>
      </rPr>
      <t/>
    </r>
  </si>
  <si>
    <r>
      <t>-</t>
    </r>
    <r>
      <rPr>
        <sz val="11"/>
        <color theme="1"/>
        <rFont val="宋体"/>
        <family val="3"/>
        <charset val="134"/>
        <scheme val="minor"/>
      </rPr>
      <t>606</t>
    </r>
    <r>
      <rPr>
        <sz val="11"/>
        <color theme="1"/>
        <rFont val="宋体"/>
        <family val="2"/>
        <charset val="134"/>
        <scheme val="minor"/>
      </rPr>
      <t/>
    </r>
  </si>
  <si>
    <r>
      <t>-</t>
    </r>
    <r>
      <rPr>
        <sz val="11"/>
        <color theme="1"/>
        <rFont val="宋体"/>
        <family val="3"/>
        <charset val="134"/>
        <scheme val="minor"/>
      </rPr>
      <t>607</t>
    </r>
    <r>
      <rPr>
        <sz val="11"/>
        <color theme="1"/>
        <rFont val="宋体"/>
        <family val="2"/>
        <charset val="134"/>
        <scheme val="minor"/>
      </rPr>
      <t/>
    </r>
  </si>
  <si>
    <r>
      <t>-</t>
    </r>
    <r>
      <rPr>
        <sz val="11"/>
        <color theme="1"/>
        <rFont val="宋体"/>
        <family val="3"/>
        <charset val="134"/>
        <scheme val="minor"/>
      </rPr>
      <t>608</t>
    </r>
    <r>
      <rPr>
        <sz val="11"/>
        <color theme="1"/>
        <rFont val="宋体"/>
        <family val="2"/>
        <charset val="134"/>
        <scheme val="minor"/>
      </rPr>
      <t/>
    </r>
  </si>
  <si>
    <r>
      <t>-</t>
    </r>
    <r>
      <rPr>
        <sz val="11"/>
        <color theme="1"/>
        <rFont val="宋体"/>
        <family val="3"/>
        <charset val="134"/>
        <scheme val="minor"/>
      </rPr>
      <t>609</t>
    </r>
    <r>
      <rPr>
        <sz val="11"/>
        <color theme="1"/>
        <rFont val="宋体"/>
        <family val="2"/>
        <charset val="134"/>
        <scheme val="minor"/>
      </rPr>
      <t/>
    </r>
  </si>
  <si>
    <r>
      <t>-</t>
    </r>
    <r>
      <rPr>
        <sz val="11"/>
        <color theme="1"/>
        <rFont val="宋体"/>
        <family val="3"/>
        <charset val="134"/>
        <scheme val="minor"/>
      </rPr>
      <t>610</t>
    </r>
    <r>
      <rPr>
        <sz val="11"/>
        <color theme="1"/>
        <rFont val="宋体"/>
        <family val="2"/>
        <charset val="134"/>
        <scheme val="minor"/>
      </rPr>
      <t/>
    </r>
  </si>
  <si>
    <r>
      <t>-</t>
    </r>
    <r>
      <rPr>
        <sz val="11"/>
        <color theme="1"/>
        <rFont val="宋体"/>
        <family val="3"/>
        <charset val="134"/>
        <scheme val="minor"/>
      </rPr>
      <t>611</t>
    </r>
    <r>
      <rPr>
        <sz val="11"/>
        <color theme="1"/>
        <rFont val="宋体"/>
        <family val="2"/>
        <charset val="134"/>
        <scheme val="minor"/>
      </rPr>
      <t/>
    </r>
  </si>
  <si>
    <r>
      <t>-</t>
    </r>
    <r>
      <rPr>
        <sz val="11"/>
        <color theme="1"/>
        <rFont val="宋体"/>
        <family val="3"/>
        <charset val="134"/>
        <scheme val="minor"/>
      </rPr>
      <t>612</t>
    </r>
    <r>
      <rPr>
        <sz val="11"/>
        <color theme="1"/>
        <rFont val="宋体"/>
        <family val="2"/>
        <charset val="134"/>
        <scheme val="minor"/>
      </rPr>
      <t/>
    </r>
  </si>
  <si>
    <r>
      <t>-</t>
    </r>
    <r>
      <rPr>
        <sz val="11"/>
        <color theme="1"/>
        <rFont val="宋体"/>
        <family val="3"/>
        <charset val="134"/>
        <scheme val="minor"/>
      </rPr>
      <t>613</t>
    </r>
    <r>
      <rPr>
        <sz val="11"/>
        <color theme="1"/>
        <rFont val="宋体"/>
        <family val="2"/>
        <charset val="134"/>
        <scheme val="minor"/>
      </rPr>
      <t/>
    </r>
  </si>
  <si>
    <r>
      <t>-</t>
    </r>
    <r>
      <rPr>
        <sz val="11"/>
        <color theme="1"/>
        <rFont val="宋体"/>
        <family val="3"/>
        <charset val="134"/>
        <scheme val="minor"/>
      </rPr>
      <t>614</t>
    </r>
    <r>
      <rPr>
        <sz val="11"/>
        <color theme="1"/>
        <rFont val="宋体"/>
        <family val="2"/>
        <charset val="134"/>
        <scheme val="minor"/>
      </rPr>
      <t/>
    </r>
  </si>
  <si>
    <r>
      <t>-</t>
    </r>
    <r>
      <rPr>
        <sz val="11"/>
        <color theme="1"/>
        <rFont val="宋体"/>
        <family val="3"/>
        <charset val="134"/>
        <scheme val="minor"/>
      </rPr>
      <t>615</t>
    </r>
    <r>
      <rPr>
        <sz val="11"/>
        <color theme="1"/>
        <rFont val="宋体"/>
        <family val="2"/>
        <charset val="134"/>
        <scheme val="minor"/>
      </rPr>
      <t/>
    </r>
  </si>
  <si>
    <r>
      <t>-</t>
    </r>
    <r>
      <rPr>
        <sz val="11"/>
        <color theme="1"/>
        <rFont val="宋体"/>
        <family val="3"/>
        <charset val="134"/>
        <scheme val="minor"/>
      </rPr>
      <t>616</t>
    </r>
    <r>
      <rPr>
        <sz val="11"/>
        <color theme="1"/>
        <rFont val="宋体"/>
        <family val="2"/>
        <charset val="134"/>
        <scheme val="minor"/>
      </rPr>
      <t/>
    </r>
  </si>
  <si>
    <r>
      <t>-</t>
    </r>
    <r>
      <rPr>
        <sz val="11"/>
        <color theme="1"/>
        <rFont val="宋体"/>
        <family val="3"/>
        <charset val="134"/>
        <scheme val="minor"/>
      </rPr>
      <t>617</t>
    </r>
    <r>
      <rPr>
        <sz val="11"/>
        <color theme="1"/>
        <rFont val="宋体"/>
        <family val="2"/>
        <charset val="134"/>
        <scheme val="minor"/>
      </rPr>
      <t/>
    </r>
  </si>
  <si>
    <r>
      <t>-</t>
    </r>
    <r>
      <rPr>
        <sz val="11"/>
        <color theme="1"/>
        <rFont val="宋体"/>
        <family val="3"/>
        <charset val="134"/>
        <scheme val="minor"/>
      </rPr>
      <t>618</t>
    </r>
    <r>
      <rPr>
        <sz val="11"/>
        <color theme="1"/>
        <rFont val="宋体"/>
        <family val="2"/>
        <charset val="134"/>
        <scheme val="minor"/>
      </rPr>
      <t/>
    </r>
  </si>
  <si>
    <r>
      <t>-</t>
    </r>
    <r>
      <rPr>
        <sz val="11"/>
        <color theme="1"/>
        <rFont val="宋体"/>
        <family val="3"/>
        <charset val="134"/>
        <scheme val="minor"/>
      </rPr>
      <t>619</t>
    </r>
    <r>
      <rPr>
        <sz val="11"/>
        <color theme="1"/>
        <rFont val="宋体"/>
        <family val="2"/>
        <charset val="134"/>
        <scheme val="minor"/>
      </rPr>
      <t/>
    </r>
  </si>
  <si>
    <r>
      <t>-</t>
    </r>
    <r>
      <rPr>
        <sz val="11"/>
        <color theme="1"/>
        <rFont val="宋体"/>
        <family val="3"/>
        <charset val="134"/>
        <scheme val="minor"/>
      </rPr>
      <t>620</t>
    </r>
    <r>
      <rPr>
        <sz val="11"/>
        <color theme="1"/>
        <rFont val="宋体"/>
        <family val="2"/>
        <charset val="134"/>
        <scheme val="minor"/>
      </rPr>
      <t/>
    </r>
  </si>
  <si>
    <r>
      <t>-</t>
    </r>
    <r>
      <rPr>
        <sz val="11"/>
        <color theme="1"/>
        <rFont val="宋体"/>
        <family val="3"/>
        <charset val="134"/>
        <scheme val="minor"/>
      </rPr>
      <t>621</t>
    </r>
    <r>
      <rPr>
        <sz val="11"/>
        <color theme="1"/>
        <rFont val="宋体"/>
        <family val="2"/>
        <charset val="134"/>
        <scheme val="minor"/>
      </rPr>
      <t/>
    </r>
  </si>
  <si>
    <r>
      <t>-</t>
    </r>
    <r>
      <rPr>
        <sz val="11"/>
        <color theme="1"/>
        <rFont val="宋体"/>
        <family val="3"/>
        <charset val="134"/>
        <scheme val="minor"/>
      </rPr>
      <t>622</t>
    </r>
    <r>
      <rPr>
        <sz val="11"/>
        <color theme="1"/>
        <rFont val="宋体"/>
        <family val="2"/>
        <charset val="134"/>
        <scheme val="minor"/>
      </rPr>
      <t/>
    </r>
  </si>
  <si>
    <r>
      <t>-</t>
    </r>
    <r>
      <rPr>
        <sz val="11"/>
        <color theme="1"/>
        <rFont val="宋体"/>
        <family val="3"/>
        <charset val="134"/>
        <scheme val="minor"/>
      </rPr>
      <t>623</t>
    </r>
    <r>
      <rPr>
        <sz val="11"/>
        <color theme="1"/>
        <rFont val="宋体"/>
        <family val="2"/>
        <charset val="134"/>
        <scheme val="minor"/>
      </rPr>
      <t/>
    </r>
  </si>
  <si>
    <r>
      <t>-</t>
    </r>
    <r>
      <rPr>
        <sz val="11"/>
        <color theme="1"/>
        <rFont val="宋体"/>
        <family val="3"/>
        <charset val="134"/>
        <scheme val="minor"/>
      </rPr>
      <t>624</t>
    </r>
    <r>
      <rPr>
        <sz val="11"/>
        <color theme="1"/>
        <rFont val="宋体"/>
        <family val="2"/>
        <charset val="134"/>
        <scheme val="minor"/>
      </rPr>
      <t/>
    </r>
  </si>
  <si>
    <r>
      <t>-</t>
    </r>
    <r>
      <rPr>
        <sz val="11"/>
        <color theme="1"/>
        <rFont val="宋体"/>
        <family val="3"/>
        <charset val="134"/>
        <scheme val="minor"/>
      </rPr>
      <t>625</t>
    </r>
    <r>
      <rPr>
        <sz val="11"/>
        <color theme="1"/>
        <rFont val="宋体"/>
        <family val="2"/>
        <charset val="134"/>
        <scheme val="minor"/>
      </rPr>
      <t/>
    </r>
  </si>
  <si>
    <r>
      <t>-</t>
    </r>
    <r>
      <rPr>
        <sz val="11"/>
        <color theme="1"/>
        <rFont val="宋体"/>
        <family val="3"/>
        <charset val="134"/>
        <scheme val="minor"/>
      </rPr>
      <t>626</t>
    </r>
    <r>
      <rPr>
        <sz val="11"/>
        <color theme="1"/>
        <rFont val="宋体"/>
        <family val="2"/>
        <charset val="134"/>
        <scheme val="minor"/>
      </rPr>
      <t/>
    </r>
  </si>
  <si>
    <r>
      <t>-</t>
    </r>
    <r>
      <rPr>
        <sz val="11"/>
        <color theme="1"/>
        <rFont val="宋体"/>
        <family val="3"/>
        <charset val="134"/>
        <scheme val="minor"/>
      </rPr>
      <t>627</t>
    </r>
    <r>
      <rPr>
        <sz val="11"/>
        <color theme="1"/>
        <rFont val="宋体"/>
        <family val="2"/>
        <charset val="134"/>
        <scheme val="minor"/>
      </rPr>
      <t/>
    </r>
  </si>
  <si>
    <r>
      <t>-</t>
    </r>
    <r>
      <rPr>
        <sz val="11"/>
        <color theme="1"/>
        <rFont val="宋体"/>
        <family val="3"/>
        <charset val="134"/>
        <scheme val="minor"/>
      </rPr>
      <t>628</t>
    </r>
    <r>
      <rPr>
        <sz val="11"/>
        <color theme="1"/>
        <rFont val="宋体"/>
        <family val="2"/>
        <charset val="134"/>
        <scheme val="minor"/>
      </rPr>
      <t/>
    </r>
  </si>
  <si>
    <r>
      <t>-</t>
    </r>
    <r>
      <rPr>
        <sz val="11"/>
        <color theme="1"/>
        <rFont val="宋体"/>
        <family val="3"/>
        <charset val="134"/>
        <scheme val="minor"/>
      </rPr>
      <t>629</t>
    </r>
    <r>
      <rPr>
        <sz val="11"/>
        <color theme="1"/>
        <rFont val="宋体"/>
        <family val="2"/>
        <charset val="134"/>
        <scheme val="minor"/>
      </rPr>
      <t/>
    </r>
  </si>
  <si>
    <r>
      <t>-</t>
    </r>
    <r>
      <rPr>
        <sz val="11"/>
        <color theme="1"/>
        <rFont val="宋体"/>
        <family val="3"/>
        <charset val="134"/>
        <scheme val="minor"/>
      </rPr>
      <t>630</t>
    </r>
    <r>
      <rPr>
        <sz val="11"/>
        <color theme="1"/>
        <rFont val="宋体"/>
        <family val="2"/>
        <charset val="134"/>
        <scheme val="minor"/>
      </rPr>
      <t/>
    </r>
  </si>
  <si>
    <r>
      <t>-</t>
    </r>
    <r>
      <rPr>
        <sz val="11"/>
        <color theme="1"/>
        <rFont val="宋体"/>
        <family val="3"/>
        <charset val="134"/>
        <scheme val="minor"/>
      </rPr>
      <t>631</t>
    </r>
    <r>
      <rPr>
        <sz val="11"/>
        <color theme="1"/>
        <rFont val="宋体"/>
        <family val="2"/>
        <charset val="134"/>
        <scheme val="minor"/>
      </rPr>
      <t/>
    </r>
  </si>
  <si>
    <r>
      <t>-</t>
    </r>
    <r>
      <rPr>
        <sz val="11"/>
        <color theme="1"/>
        <rFont val="宋体"/>
        <family val="3"/>
        <charset val="134"/>
        <scheme val="minor"/>
      </rPr>
      <t>632</t>
    </r>
    <r>
      <rPr>
        <sz val="11"/>
        <color theme="1"/>
        <rFont val="宋体"/>
        <family val="2"/>
        <charset val="134"/>
        <scheme val="minor"/>
      </rPr>
      <t/>
    </r>
  </si>
  <si>
    <r>
      <t>-</t>
    </r>
    <r>
      <rPr>
        <sz val="11"/>
        <color theme="1"/>
        <rFont val="宋体"/>
        <family val="3"/>
        <charset val="134"/>
        <scheme val="minor"/>
      </rPr>
      <t>633</t>
    </r>
    <r>
      <rPr>
        <sz val="11"/>
        <color theme="1"/>
        <rFont val="宋体"/>
        <family val="2"/>
        <charset val="134"/>
        <scheme val="minor"/>
      </rPr>
      <t/>
    </r>
  </si>
  <si>
    <r>
      <t>-</t>
    </r>
    <r>
      <rPr>
        <sz val="11"/>
        <color theme="1"/>
        <rFont val="宋体"/>
        <family val="3"/>
        <charset val="134"/>
        <scheme val="minor"/>
      </rPr>
      <t>634</t>
    </r>
    <r>
      <rPr>
        <sz val="11"/>
        <color theme="1"/>
        <rFont val="宋体"/>
        <family val="2"/>
        <charset val="134"/>
        <scheme val="minor"/>
      </rPr>
      <t/>
    </r>
  </si>
  <si>
    <r>
      <t>-</t>
    </r>
    <r>
      <rPr>
        <sz val="11"/>
        <color theme="1"/>
        <rFont val="宋体"/>
        <family val="3"/>
        <charset val="134"/>
        <scheme val="minor"/>
      </rPr>
      <t>635</t>
    </r>
    <r>
      <rPr>
        <sz val="11"/>
        <color theme="1"/>
        <rFont val="宋体"/>
        <family val="2"/>
        <charset val="134"/>
        <scheme val="minor"/>
      </rPr>
      <t/>
    </r>
  </si>
  <si>
    <r>
      <t>-</t>
    </r>
    <r>
      <rPr>
        <sz val="11"/>
        <color theme="1"/>
        <rFont val="宋体"/>
        <family val="3"/>
        <charset val="134"/>
        <scheme val="minor"/>
      </rPr>
      <t>636</t>
    </r>
    <r>
      <rPr>
        <sz val="11"/>
        <color theme="1"/>
        <rFont val="宋体"/>
        <family val="2"/>
        <charset val="134"/>
        <scheme val="minor"/>
      </rPr>
      <t/>
    </r>
  </si>
  <si>
    <r>
      <t>-</t>
    </r>
    <r>
      <rPr>
        <sz val="11"/>
        <color theme="1"/>
        <rFont val="宋体"/>
        <family val="3"/>
        <charset val="134"/>
        <scheme val="minor"/>
      </rPr>
      <t>637</t>
    </r>
    <r>
      <rPr>
        <sz val="11"/>
        <color theme="1"/>
        <rFont val="宋体"/>
        <family val="2"/>
        <charset val="134"/>
        <scheme val="minor"/>
      </rPr>
      <t/>
    </r>
  </si>
  <si>
    <r>
      <t>-</t>
    </r>
    <r>
      <rPr>
        <sz val="11"/>
        <color theme="1"/>
        <rFont val="宋体"/>
        <family val="3"/>
        <charset val="134"/>
        <scheme val="minor"/>
      </rPr>
      <t>638</t>
    </r>
    <r>
      <rPr>
        <sz val="11"/>
        <color theme="1"/>
        <rFont val="宋体"/>
        <family val="2"/>
        <charset val="134"/>
        <scheme val="minor"/>
      </rPr>
      <t/>
    </r>
  </si>
  <si>
    <r>
      <t>-</t>
    </r>
    <r>
      <rPr>
        <sz val="11"/>
        <color theme="1"/>
        <rFont val="宋体"/>
        <family val="3"/>
        <charset val="134"/>
        <scheme val="minor"/>
      </rPr>
      <t>639</t>
    </r>
    <r>
      <rPr>
        <sz val="11"/>
        <color theme="1"/>
        <rFont val="宋体"/>
        <family val="2"/>
        <charset val="134"/>
        <scheme val="minor"/>
      </rPr>
      <t/>
    </r>
  </si>
  <si>
    <r>
      <t>-</t>
    </r>
    <r>
      <rPr>
        <sz val="11"/>
        <color theme="1"/>
        <rFont val="宋体"/>
        <family val="3"/>
        <charset val="134"/>
        <scheme val="minor"/>
      </rPr>
      <t>640</t>
    </r>
    <r>
      <rPr>
        <sz val="11"/>
        <color theme="1"/>
        <rFont val="宋体"/>
        <family val="2"/>
        <charset val="134"/>
        <scheme val="minor"/>
      </rPr>
      <t/>
    </r>
  </si>
  <si>
    <r>
      <t>-</t>
    </r>
    <r>
      <rPr>
        <sz val="11"/>
        <color theme="1"/>
        <rFont val="宋体"/>
        <family val="3"/>
        <charset val="134"/>
        <scheme val="minor"/>
      </rPr>
      <t>641</t>
    </r>
    <r>
      <rPr>
        <sz val="11"/>
        <color theme="1"/>
        <rFont val="宋体"/>
        <family val="2"/>
        <charset val="134"/>
        <scheme val="minor"/>
      </rPr>
      <t/>
    </r>
  </si>
  <si>
    <r>
      <t>-</t>
    </r>
    <r>
      <rPr>
        <sz val="11"/>
        <color theme="1"/>
        <rFont val="宋体"/>
        <family val="3"/>
        <charset val="134"/>
        <scheme val="minor"/>
      </rPr>
      <t>642</t>
    </r>
    <r>
      <rPr>
        <sz val="11"/>
        <color theme="1"/>
        <rFont val="宋体"/>
        <family val="2"/>
        <charset val="134"/>
        <scheme val="minor"/>
      </rPr>
      <t/>
    </r>
  </si>
  <si>
    <r>
      <t>-</t>
    </r>
    <r>
      <rPr>
        <sz val="11"/>
        <color theme="1"/>
        <rFont val="宋体"/>
        <family val="3"/>
        <charset val="134"/>
        <scheme val="minor"/>
      </rPr>
      <t>643</t>
    </r>
    <r>
      <rPr>
        <sz val="11"/>
        <color theme="1"/>
        <rFont val="宋体"/>
        <family val="2"/>
        <charset val="134"/>
        <scheme val="minor"/>
      </rPr>
      <t/>
    </r>
  </si>
  <si>
    <r>
      <t>-</t>
    </r>
    <r>
      <rPr>
        <sz val="11"/>
        <color theme="1"/>
        <rFont val="宋体"/>
        <family val="3"/>
        <charset val="134"/>
        <scheme val="minor"/>
      </rPr>
      <t>644</t>
    </r>
    <r>
      <rPr>
        <sz val="11"/>
        <color theme="1"/>
        <rFont val="宋体"/>
        <family val="2"/>
        <charset val="134"/>
        <scheme val="minor"/>
      </rPr>
      <t/>
    </r>
  </si>
  <si>
    <r>
      <t>-</t>
    </r>
    <r>
      <rPr>
        <sz val="11"/>
        <color theme="1"/>
        <rFont val="宋体"/>
        <family val="3"/>
        <charset val="134"/>
        <scheme val="minor"/>
      </rPr>
      <t>645</t>
    </r>
    <r>
      <rPr>
        <sz val="11"/>
        <color theme="1"/>
        <rFont val="宋体"/>
        <family val="2"/>
        <charset val="134"/>
        <scheme val="minor"/>
      </rPr>
      <t/>
    </r>
  </si>
  <si>
    <r>
      <t>-</t>
    </r>
    <r>
      <rPr>
        <sz val="11"/>
        <color theme="1"/>
        <rFont val="宋体"/>
        <family val="3"/>
        <charset val="134"/>
        <scheme val="minor"/>
      </rPr>
      <t>646</t>
    </r>
    <r>
      <rPr>
        <sz val="11"/>
        <color theme="1"/>
        <rFont val="宋体"/>
        <family val="2"/>
        <charset val="134"/>
        <scheme val="minor"/>
      </rPr>
      <t/>
    </r>
  </si>
  <si>
    <r>
      <t>-</t>
    </r>
    <r>
      <rPr>
        <sz val="11"/>
        <color theme="1"/>
        <rFont val="宋体"/>
        <family val="3"/>
        <charset val="134"/>
        <scheme val="minor"/>
      </rPr>
      <t>647</t>
    </r>
    <r>
      <rPr>
        <sz val="11"/>
        <color theme="1"/>
        <rFont val="宋体"/>
        <family val="2"/>
        <charset val="134"/>
        <scheme val="minor"/>
      </rPr>
      <t/>
    </r>
  </si>
  <si>
    <r>
      <t>-</t>
    </r>
    <r>
      <rPr>
        <sz val="11"/>
        <color theme="1"/>
        <rFont val="宋体"/>
        <family val="3"/>
        <charset val="134"/>
        <scheme val="minor"/>
      </rPr>
      <t>648</t>
    </r>
    <r>
      <rPr>
        <sz val="11"/>
        <color theme="1"/>
        <rFont val="宋体"/>
        <family val="2"/>
        <charset val="134"/>
        <scheme val="minor"/>
      </rPr>
      <t/>
    </r>
  </si>
  <si>
    <r>
      <t>-</t>
    </r>
    <r>
      <rPr>
        <sz val="11"/>
        <color theme="1"/>
        <rFont val="宋体"/>
        <family val="3"/>
        <charset val="134"/>
        <scheme val="minor"/>
      </rPr>
      <t>649</t>
    </r>
    <r>
      <rPr>
        <sz val="11"/>
        <color theme="1"/>
        <rFont val="宋体"/>
        <family val="2"/>
        <charset val="134"/>
        <scheme val="minor"/>
      </rPr>
      <t/>
    </r>
  </si>
  <si>
    <r>
      <t>-</t>
    </r>
    <r>
      <rPr>
        <sz val="11"/>
        <color theme="1"/>
        <rFont val="宋体"/>
        <family val="3"/>
        <charset val="134"/>
        <scheme val="minor"/>
      </rPr>
      <t>650</t>
    </r>
    <r>
      <rPr>
        <sz val="11"/>
        <color theme="1"/>
        <rFont val="宋体"/>
        <family val="2"/>
        <charset val="134"/>
        <scheme val="minor"/>
      </rPr>
      <t/>
    </r>
  </si>
  <si>
    <r>
      <t>-</t>
    </r>
    <r>
      <rPr>
        <sz val="11"/>
        <color theme="1"/>
        <rFont val="宋体"/>
        <family val="3"/>
        <charset val="134"/>
        <scheme val="minor"/>
      </rPr>
      <t>651</t>
    </r>
    <r>
      <rPr>
        <sz val="11"/>
        <color theme="1"/>
        <rFont val="宋体"/>
        <family val="2"/>
        <charset val="134"/>
        <scheme val="minor"/>
      </rPr>
      <t/>
    </r>
  </si>
  <si>
    <r>
      <t>-</t>
    </r>
    <r>
      <rPr>
        <sz val="11"/>
        <color theme="1"/>
        <rFont val="宋体"/>
        <family val="3"/>
        <charset val="134"/>
        <scheme val="minor"/>
      </rPr>
      <t>652</t>
    </r>
    <r>
      <rPr>
        <sz val="11"/>
        <color theme="1"/>
        <rFont val="宋体"/>
        <family val="2"/>
        <charset val="134"/>
        <scheme val="minor"/>
      </rPr>
      <t/>
    </r>
  </si>
  <si>
    <r>
      <t>-</t>
    </r>
    <r>
      <rPr>
        <sz val="11"/>
        <color theme="1"/>
        <rFont val="宋体"/>
        <family val="3"/>
        <charset val="134"/>
        <scheme val="minor"/>
      </rPr>
      <t>653</t>
    </r>
    <r>
      <rPr>
        <sz val="11"/>
        <color theme="1"/>
        <rFont val="宋体"/>
        <family val="2"/>
        <charset val="134"/>
        <scheme val="minor"/>
      </rPr>
      <t/>
    </r>
  </si>
  <si>
    <r>
      <t>-</t>
    </r>
    <r>
      <rPr>
        <sz val="11"/>
        <color theme="1"/>
        <rFont val="宋体"/>
        <family val="3"/>
        <charset val="134"/>
        <scheme val="minor"/>
      </rPr>
      <t>654</t>
    </r>
    <r>
      <rPr>
        <sz val="11"/>
        <color theme="1"/>
        <rFont val="宋体"/>
        <family val="2"/>
        <charset val="134"/>
        <scheme val="minor"/>
      </rPr>
      <t/>
    </r>
  </si>
  <si>
    <r>
      <t>-</t>
    </r>
    <r>
      <rPr>
        <sz val="11"/>
        <color theme="1"/>
        <rFont val="宋体"/>
        <family val="3"/>
        <charset val="134"/>
        <scheme val="minor"/>
      </rPr>
      <t>655</t>
    </r>
    <r>
      <rPr>
        <sz val="11"/>
        <color theme="1"/>
        <rFont val="宋体"/>
        <family val="2"/>
        <charset val="134"/>
        <scheme val="minor"/>
      </rPr>
      <t/>
    </r>
  </si>
  <si>
    <r>
      <t>-</t>
    </r>
    <r>
      <rPr>
        <sz val="11"/>
        <color theme="1"/>
        <rFont val="宋体"/>
        <family val="3"/>
        <charset val="134"/>
        <scheme val="minor"/>
      </rPr>
      <t>656</t>
    </r>
    <r>
      <rPr>
        <sz val="11"/>
        <color theme="1"/>
        <rFont val="宋体"/>
        <family val="2"/>
        <charset val="134"/>
        <scheme val="minor"/>
      </rPr>
      <t/>
    </r>
  </si>
  <si>
    <r>
      <t>-</t>
    </r>
    <r>
      <rPr>
        <sz val="11"/>
        <color theme="1"/>
        <rFont val="宋体"/>
        <family val="3"/>
        <charset val="134"/>
        <scheme val="minor"/>
      </rPr>
      <t>657</t>
    </r>
    <r>
      <rPr>
        <sz val="11"/>
        <color theme="1"/>
        <rFont val="宋体"/>
        <family val="2"/>
        <charset val="134"/>
        <scheme val="minor"/>
      </rPr>
      <t/>
    </r>
  </si>
  <si>
    <r>
      <t>-</t>
    </r>
    <r>
      <rPr>
        <sz val="11"/>
        <color theme="1"/>
        <rFont val="宋体"/>
        <family val="3"/>
        <charset val="134"/>
        <scheme val="minor"/>
      </rPr>
      <t>658</t>
    </r>
    <r>
      <rPr>
        <sz val="11"/>
        <color theme="1"/>
        <rFont val="宋体"/>
        <family val="2"/>
        <charset val="134"/>
        <scheme val="minor"/>
      </rPr>
      <t/>
    </r>
  </si>
  <si>
    <r>
      <t>-</t>
    </r>
    <r>
      <rPr>
        <sz val="11"/>
        <color theme="1"/>
        <rFont val="宋体"/>
        <family val="3"/>
        <charset val="134"/>
        <scheme val="minor"/>
      </rPr>
      <t>659</t>
    </r>
    <r>
      <rPr>
        <sz val="11"/>
        <color theme="1"/>
        <rFont val="宋体"/>
        <family val="2"/>
        <charset val="134"/>
        <scheme val="minor"/>
      </rPr>
      <t/>
    </r>
  </si>
  <si>
    <r>
      <t>-</t>
    </r>
    <r>
      <rPr>
        <sz val="11"/>
        <color theme="1"/>
        <rFont val="宋体"/>
        <family val="3"/>
        <charset val="134"/>
        <scheme val="minor"/>
      </rPr>
      <t>660</t>
    </r>
    <r>
      <rPr>
        <sz val="11"/>
        <color theme="1"/>
        <rFont val="宋体"/>
        <family val="2"/>
        <charset val="134"/>
        <scheme val="minor"/>
      </rPr>
      <t/>
    </r>
  </si>
  <si>
    <r>
      <t>-</t>
    </r>
    <r>
      <rPr>
        <sz val="11"/>
        <color theme="1"/>
        <rFont val="宋体"/>
        <family val="3"/>
        <charset val="134"/>
        <scheme val="minor"/>
      </rPr>
      <t>661</t>
    </r>
    <r>
      <rPr>
        <sz val="11"/>
        <color theme="1"/>
        <rFont val="宋体"/>
        <family val="2"/>
        <charset val="134"/>
        <scheme val="minor"/>
      </rPr>
      <t/>
    </r>
  </si>
  <si>
    <r>
      <t>-</t>
    </r>
    <r>
      <rPr>
        <sz val="11"/>
        <color theme="1"/>
        <rFont val="宋体"/>
        <family val="3"/>
        <charset val="134"/>
        <scheme val="minor"/>
      </rPr>
      <t>662</t>
    </r>
    <r>
      <rPr>
        <sz val="11"/>
        <color theme="1"/>
        <rFont val="宋体"/>
        <family val="2"/>
        <charset val="134"/>
        <scheme val="minor"/>
      </rPr>
      <t/>
    </r>
  </si>
  <si>
    <r>
      <t>-</t>
    </r>
    <r>
      <rPr>
        <sz val="11"/>
        <color theme="1"/>
        <rFont val="宋体"/>
        <family val="3"/>
        <charset val="134"/>
        <scheme val="minor"/>
      </rPr>
      <t>663</t>
    </r>
    <r>
      <rPr>
        <sz val="11"/>
        <color theme="1"/>
        <rFont val="宋体"/>
        <family val="2"/>
        <charset val="134"/>
        <scheme val="minor"/>
      </rPr>
      <t/>
    </r>
  </si>
  <si>
    <r>
      <t>-</t>
    </r>
    <r>
      <rPr>
        <sz val="11"/>
        <color theme="1"/>
        <rFont val="宋体"/>
        <family val="3"/>
        <charset val="134"/>
        <scheme val="minor"/>
      </rPr>
      <t>664</t>
    </r>
    <r>
      <rPr>
        <sz val="11"/>
        <color theme="1"/>
        <rFont val="宋体"/>
        <family val="2"/>
        <charset val="134"/>
        <scheme val="minor"/>
      </rPr>
      <t/>
    </r>
  </si>
  <si>
    <r>
      <t>-</t>
    </r>
    <r>
      <rPr>
        <sz val="11"/>
        <color theme="1"/>
        <rFont val="宋体"/>
        <family val="3"/>
        <charset val="134"/>
        <scheme val="minor"/>
      </rPr>
      <t>665</t>
    </r>
    <r>
      <rPr>
        <sz val="11"/>
        <color theme="1"/>
        <rFont val="宋体"/>
        <family val="2"/>
        <charset val="134"/>
        <scheme val="minor"/>
      </rPr>
      <t/>
    </r>
  </si>
  <si>
    <r>
      <t>-</t>
    </r>
    <r>
      <rPr>
        <sz val="11"/>
        <color theme="1"/>
        <rFont val="宋体"/>
        <family val="3"/>
        <charset val="134"/>
        <scheme val="minor"/>
      </rPr>
      <t>666</t>
    </r>
    <r>
      <rPr>
        <sz val="11"/>
        <color theme="1"/>
        <rFont val="宋体"/>
        <family val="2"/>
        <charset val="134"/>
        <scheme val="minor"/>
      </rPr>
      <t/>
    </r>
  </si>
  <si>
    <r>
      <t>-</t>
    </r>
    <r>
      <rPr>
        <sz val="11"/>
        <color theme="1"/>
        <rFont val="宋体"/>
        <family val="3"/>
        <charset val="134"/>
        <scheme val="minor"/>
      </rPr>
      <t>667</t>
    </r>
    <r>
      <rPr>
        <sz val="11"/>
        <color theme="1"/>
        <rFont val="宋体"/>
        <family val="2"/>
        <charset val="134"/>
        <scheme val="minor"/>
      </rPr>
      <t/>
    </r>
  </si>
  <si>
    <r>
      <t>-</t>
    </r>
    <r>
      <rPr>
        <sz val="11"/>
        <color theme="1"/>
        <rFont val="宋体"/>
        <family val="3"/>
        <charset val="134"/>
        <scheme val="minor"/>
      </rPr>
      <t>668</t>
    </r>
    <r>
      <rPr>
        <sz val="11"/>
        <color theme="1"/>
        <rFont val="宋体"/>
        <family val="2"/>
        <charset val="134"/>
        <scheme val="minor"/>
      </rPr>
      <t/>
    </r>
  </si>
  <si>
    <r>
      <t>-</t>
    </r>
    <r>
      <rPr>
        <sz val="11"/>
        <color theme="1"/>
        <rFont val="宋体"/>
        <family val="3"/>
        <charset val="134"/>
        <scheme val="minor"/>
      </rPr>
      <t>669</t>
    </r>
    <r>
      <rPr>
        <sz val="11"/>
        <color theme="1"/>
        <rFont val="宋体"/>
        <family val="2"/>
        <charset val="134"/>
        <scheme val="minor"/>
      </rPr>
      <t/>
    </r>
  </si>
  <si>
    <r>
      <t>-</t>
    </r>
    <r>
      <rPr>
        <sz val="11"/>
        <color theme="1"/>
        <rFont val="宋体"/>
        <family val="3"/>
        <charset val="134"/>
        <scheme val="minor"/>
      </rPr>
      <t>670</t>
    </r>
    <r>
      <rPr>
        <sz val="11"/>
        <color theme="1"/>
        <rFont val="宋体"/>
        <family val="2"/>
        <charset val="134"/>
        <scheme val="minor"/>
      </rPr>
      <t/>
    </r>
  </si>
  <si>
    <r>
      <t>-</t>
    </r>
    <r>
      <rPr>
        <sz val="11"/>
        <color theme="1"/>
        <rFont val="宋体"/>
        <family val="3"/>
        <charset val="134"/>
        <scheme val="minor"/>
      </rPr>
      <t>671</t>
    </r>
    <r>
      <rPr>
        <sz val="11"/>
        <color theme="1"/>
        <rFont val="宋体"/>
        <family val="2"/>
        <charset val="134"/>
        <scheme val="minor"/>
      </rPr>
      <t/>
    </r>
  </si>
  <si>
    <r>
      <t>-</t>
    </r>
    <r>
      <rPr>
        <sz val="11"/>
        <color theme="1"/>
        <rFont val="宋体"/>
        <family val="3"/>
        <charset val="134"/>
        <scheme val="minor"/>
      </rPr>
      <t>672</t>
    </r>
    <r>
      <rPr>
        <sz val="11"/>
        <color theme="1"/>
        <rFont val="宋体"/>
        <family val="2"/>
        <charset val="134"/>
        <scheme val="minor"/>
      </rPr>
      <t/>
    </r>
  </si>
  <si>
    <r>
      <t>-</t>
    </r>
    <r>
      <rPr>
        <sz val="11"/>
        <color theme="1"/>
        <rFont val="宋体"/>
        <family val="3"/>
        <charset val="134"/>
        <scheme val="minor"/>
      </rPr>
      <t>673</t>
    </r>
    <r>
      <rPr>
        <sz val="11"/>
        <color theme="1"/>
        <rFont val="宋体"/>
        <family val="2"/>
        <charset val="134"/>
        <scheme val="minor"/>
      </rPr>
      <t/>
    </r>
  </si>
  <si>
    <r>
      <t>-</t>
    </r>
    <r>
      <rPr>
        <sz val="11"/>
        <color theme="1"/>
        <rFont val="宋体"/>
        <family val="3"/>
        <charset val="134"/>
        <scheme val="minor"/>
      </rPr>
      <t>674</t>
    </r>
    <r>
      <rPr>
        <sz val="11"/>
        <color theme="1"/>
        <rFont val="宋体"/>
        <family val="2"/>
        <charset val="134"/>
        <scheme val="minor"/>
      </rPr>
      <t/>
    </r>
  </si>
  <si>
    <r>
      <t>-</t>
    </r>
    <r>
      <rPr>
        <sz val="11"/>
        <color theme="1"/>
        <rFont val="宋体"/>
        <family val="3"/>
        <charset val="134"/>
        <scheme val="minor"/>
      </rPr>
      <t>675</t>
    </r>
    <r>
      <rPr>
        <sz val="11"/>
        <color theme="1"/>
        <rFont val="宋体"/>
        <family val="2"/>
        <charset val="134"/>
        <scheme val="minor"/>
      </rPr>
      <t/>
    </r>
  </si>
  <si>
    <r>
      <t>-</t>
    </r>
    <r>
      <rPr>
        <sz val="11"/>
        <color theme="1"/>
        <rFont val="宋体"/>
        <family val="3"/>
        <charset val="134"/>
        <scheme val="minor"/>
      </rPr>
      <t>676</t>
    </r>
    <r>
      <rPr>
        <sz val="11"/>
        <color theme="1"/>
        <rFont val="宋体"/>
        <family val="2"/>
        <charset val="134"/>
        <scheme val="minor"/>
      </rPr>
      <t/>
    </r>
  </si>
  <si>
    <r>
      <t>-</t>
    </r>
    <r>
      <rPr>
        <sz val="11"/>
        <color theme="1"/>
        <rFont val="宋体"/>
        <family val="3"/>
        <charset val="134"/>
        <scheme val="minor"/>
      </rPr>
      <t>677</t>
    </r>
    <r>
      <rPr>
        <sz val="11"/>
        <color theme="1"/>
        <rFont val="宋体"/>
        <family val="2"/>
        <charset val="134"/>
        <scheme val="minor"/>
      </rPr>
      <t/>
    </r>
  </si>
  <si>
    <r>
      <t>-</t>
    </r>
    <r>
      <rPr>
        <sz val="11"/>
        <color theme="1"/>
        <rFont val="宋体"/>
        <family val="3"/>
        <charset val="134"/>
        <scheme val="minor"/>
      </rPr>
      <t>678</t>
    </r>
    <r>
      <rPr>
        <sz val="11"/>
        <color theme="1"/>
        <rFont val="宋体"/>
        <family val="2"/>
        <charset val="134"/>
        <scheme val="minor"/>
      </rPr>
      <t/>
    </r>
  </si>
  <si>
    <r>
      <t>-</t>
    </r>
    <r>
      <rPr>
        <sz val="11"/>
        <color theme="1"/>
        <rFont val="宋体"/>
        <family val="3"/>
        <charset val="134"/>
        <scheme val="minor"/>
      </rPr>
      <t>679</t>
    </r>
    <r>
      <rPr>
        <sz val="11"/>
        <color theme="1"/>
        <rFont val="宋体"/>
        <family val="2"/>
        <charset val="134"/>
        <scheme val="minor"/>
      </rPr>
      <t/>
    </r>
  </si>
  <si>
    <r>
      <t>-</t>
    </r>
    <r>
      <rPr>
        <sz val="11"/>
        <color theme="1"/>
        <rFont val="宋体"/>
        <family val="3"/>
        <charset val="134"/>
        <scheme val="minor"/>
      </rPr>
      <t>680</t>
    </r>
    <r>
      <rPr>
        <sz val="11"/>
        <color theme="1"/>
        <rFont val="宋体"/>
        <family val="2"/>
        <charset val="134"/>
        <scheme val="minor"/>
      </rPr>
      <t/>
    </r>
  </si>
  <si>
    <r>
      <t>-</t>
    </r>
    <r>
      <rPr>
        <sz val="11"/>
        <color theme="1"/>
        <rFont val="宋体"/>
        <family val="3"/>
        <charset val="134"/>
        <scheme val="minor"/>
      </rPr>
      <t>681</t>
    </r>
    <r>
      <rPr>
        <sz val="11"/>
        <color theme="1"/>
        <rFont val="宋体"/>
        <family val="2"/>
        <charset val="134"/>
        <scheme val="minor"/>
      </rPr>
      <t/>
    </r>
  </si>
  <si>
    <r>
      <t>-</t>
    </r>
    <r>
      <rPr>
        <sz val="11"/>
        <color theme="1"/>
        <rFont val="宋体"/>
        <family val="3"/>
        <charset val="134"/>
        <scheme val="minor"/>
      </rPr>
      <t>682</t>
    </r>
    <r>
      <rPr>
        <sz val="11"/>
        <color theme="1"/>
        <rFont val="宋体"/>
        <family val="2"/>
        <charset val="134"/>
        <scheme val="minor"/>
      </rPr>
      <t/>
    </r>
  </si>
  <si>
    <r>
      <t>-</t>
    </r>
    <r>
      <rPr>
        <sz val="11"/>
        <color theme="1"/>
        <rFont val="宋体"/>
        <family val="3"/>
        <charset val="134"/>
        <scheme val="minor"/>
      </rPr>
      <t>683</t>
    </r>
    <r>
      <rPr>
        <sz val="11"/>
        <color theme="1"/>
        <rFont val="宋体"/>
        <family val="2"/>
        <charset val="134"/>
        <scheme val="minor"/>
      </rPr>
      <t/>
    </r>
  </si>
  <si>
    <r>
      <t>-</t>
    </r>
    <r>
      <rPr>
        <sz val="11"/>
        <color theme="1"/>
        <rFont val="宋体"/>
        <family val="3"/>
        <charset val="134"/>
        <scheme val="minor"/>
      </rPr>
      <t>684</t>
    </r>
    <r>
      <rPr>
        <sz val="11"/>
        <color theme="1"/>
        <rFont val="宋体"/>
        <family val="2"/>
        <charset val="134"/>
        <scheme val="minor"/>
      </rPr>
      <t/>
    </r>
  </si>
  <si>
    <r>
      <t>-</t>
    </r>
    <r>
      <rPr>
        <sz val="11"/>
        <color theme="1"/>
        <rFont val="宋体"/>
        <family val="3"/>
        <charset val="134"/>
        <scheme val="minor"/>
      </rPr>
      <t>685</t>
    </r>
    <r>
      <rPr>
        <sz val="11"/>
        <color theme="1"/>
        <rFont val="宋体"/>
        <family val="2"/>
        <charset val="134"/>
        <scheme val="minor"/>
      </rPr>
      <t/>
    </r>
  </si>
  <si>
    <r>
      <t>-</t>
    </r>
    <r>
      <rPr>
        <sz val="11"/>
        <color theme="1"/>
        <rFont val="宋体"/>
        <family val="3"/>
        <charset val="134"/>
        <scheme val="minor"/>
      </rPr>
      <t>686</t>
    </r>
    <r>
      <rPr>
        <sz val="11"/>
        <color theme="1"/>
        <rFont val="宋体"/>
        <family val="2"/>
        <charset val="134"/>
        <scheme val="minor"/>
      </rPr>
      <t/>
    </r>
  </si>
  <si>
    <r>
      <t>-</t>
    </r>
    <r>
      <rPr>
        <sz val="11"/>
        <color theme="1"/>
        <rFont val="宋体"/>
        <family val="3"/>
        <charset val="134"/>
        <scheme val="minor"/>
      </rPr>
      <t>687</t>
    </r>
    <r>
      <rPr>
        <sz val="11"/>
        <color theme="1"/>
        <rFont val="宋体"/>
        <family val="2"/>
        <charset val="134"/>
        <scheme val="minor"/>
      </rPr>
      <t/>
    </r>
  </si>
  <si>
    <r>
      <t>-</t>
    </r>
    <r>
      <rPr>
        <sz val="11"/>
        <color theme="1"/>
        <rFont val="宋体"/>
        <family val="3"/>
        <charset val="134"/>
        <scheme val="minor"/>
      </rPr>
      <t>688</t>
    </r>
    <r>
      <rPr>
        <sz val="11"/>
        <color theme="1"/>
        <rFont val="宋体"/>
        <family val="2"/>
        <charset val="134"/>
        <scheme val="minor"/>
      </rPr>
      <t/>
    </r>
  </si>
  <si>
    <r>
      <t>-</t>
    </r>
    <r>
      <rPr>
        <sz val="11"/>
        <color theme="1"/>
        <rFont val="宋体"/>
        <family val="3"/>
        <charset val="134"/>
        <scheme val="minor"/>
      </rPr>
      <t>689</t>
    </r>
    <r>
      <rPr>
        <sz val="11"/>
        <color theme="1"/>
        <rFont val="宋体"/>
        <family val="2"/>
        <charset val="134"/>
        <scheme val="minor"/>
      </rPr>
      <t/>
    </r>
  </si>
  <si>
    <r>
      <t>-</t>
    </r>
    <r>
      <rPr>
        <sz val="11"/>
        <color theme="1"/>
        <rFont val="宋体"/>
        <family val="3"/>
        <charset val="134"/>
        <scheme val="minor"/>
      </rPr>
      <t>690</t>
    </r>
    <r>
      <rPr>
        <sz val="11"/>
        <color theme="1"/>
        <rFont val="宋体"/>
        <family val="2"/>
        <charset val="134"/>
        <scheme val="minor"/>
      </rPr>
      <t/>
    </r>
  </si>
  <si>
    <r>
      <t>-</t>
    </r>
    <r>
      <rPr>
        <sz val="11"/>
        <color theme="1"/>
        <rFont val="宋体"/>
        <family val="3"/>
        <charset val="134"/>
        <scheme val="minor"/>
      </rPr>
      <t>691</t>
    </r>
    <r>
      <rPr>
        <sz val="11"/>
        <color theme="1"/>
        <rFont val="宋体"/>
        <family val="2"/>
        <charset val="134"/>
        <scheme val="minor"/>
      </rPr>
      <t/>
    </r>
  </si>
  <si>
    <r>
      <t>-</t>
    </r>
    <r>
      <rPr>
        <sz val="11"/>
        <color theme="1"/>
        <rFont val="宋体"/>
        <family val="3"/>
        <charset val="134"/>
        <scheme val="minor"/>
      </rPr>
      <t>692</t>
    </r>
    <r>
      <rPr>
        <sz val="11"/>
        <color theme="1"/>
        <rFont val="宋体"/>
        <family val="2"/>
        <charset val="134"/>
        <scheme val="minor"/>
      </rPr>
      <t/>
    </r>
  </si>
  <si>
    <r>
      <t>-</t>
    </r>
    <r>
      <rPr>
        <sz val="11"/>
        <color theme="1"/>
        <rFont val="宋体"/>
        <family val="3"/>
        <charset val="134"/>
        <scheme val="minor"/>
      </rPr>
      <t>693</t>
    </r>
    <r>
      <rPr>
        <sz val="11"/>
        <color theme="1"/>
        <rFont val="宋体"/>
        <family val="2"/>
        <charset val="134"/>
        <scheme val="minor"/>
      </rPr>
      <t/>
    </r>
  </si>
  <si>
    <r>
      <t>-</t>
    </r>
    <r>
      <rPr>
        <sz val="11"/>
        <color theme="1"/>
        <rFont val="宋体"/>
        <family val="3"/>
        <charset val="134"/>
        <scheme val="minor"/>
      </rPr>
      <t>694</t>
    </r>
    <r>
      <rPr>
        <sz val="11"/>
        <color theme="1"/>
        <rFont val="宋体"/>
        <family val="2"/>
        <charset val="134"/>
        <scheme val="minor"/>
      </rPr>
      <t/>
    </r>
  </si>
  <si>
    <r>
      <t>-</t>
    </r>
    <r>
      <rPr>
        <sz val="11"/>
        <color theme="1"/>
        <rFont val="宋体"/>
        <family val="3"/>
        <charset val="134"/>
        <scheme val="minor"/>
      </rPr>
      <t>695</t>
    </r>
    <r>
      <rPr>
        <sz val="11"/>
        <color theme="1"/>
        <rFont val="宋体"/>
        <family val="2"/>
        <charset val="134"/>
        <scheme val="minor"/>
      </rPr>
      <t/>
    </r>
  </si>
  <si>
    <r>
      <t>-</t>
    </r>
    <r>
      <rPr>
        <sz val="11"/>
        <color theme="1"/>
        <rFont val="宋体"/>
        <family val="3"/>
        <charset val="134"/>
        <scheme val="minor"/>
      </rPr>
      <t>696</t>
    </r>
    <r>
      <rPr>
        <sz val="11"/>
        <color theme="1"/>
        <rFont val="宋体"/>
        <family val="2"/>
        <charset val="134"/>
        <scheme val="minor"/>
      </rPr>
      <t/>
    </r>
  </si>
  <si>
    <r>
      <t>-</t>
    </r>
    <r>
      <rPr>
        <sz val="11"/>
        <color theme="1"/>
        <rFont val="宋体"/>
        <family val="3"/>
        <charset val="134"/>
        <scheme val="minor"/>
      </rPr>
      <t>697</t>
    </r>
    <r>
      <rPr>
        <sz val="11"/>
        <color theme="1"/>
        <rFont val="宋体"/>
        <family val="2"/>
        <charset val="134"/>
        <scheme val="minor"/>
      </rPr>
      <t/>
    </r>
  </si>
  <si>
    <r>
      <t>-</t>
    </r>
    <r>
      <rPr>
        <sz val="11"/>
        <color theme="1"/>
        <rFont val="宋体"/>
        <family val="3"/>
        <charset val="134"/>
        <scheme val="minor"/>
      </rPr>
      <t>698</t>
    </r>
    <r>
      <rPr>
        <sz val="11"/>
        <color theme="1"/>
        <rFont val="宋体"/>
        <family val="2"/>
        <charset val="134"/>
        <scheme val="minor"/>
      </rPr>
      <t/>
    </r>
  </si>
  <si>
    <r>
      <t>-</t>
    </r>
    <r>
      <rPr>
        <sz val="11"/>
        <color theme="1"/>
        <rFont val="宋体"/>
        <family val="3"/>
        <charset val="134"/>
        <scheme val="minor"/>
      </rPr>
      <t>699</t>
    </r>
    <r>
      <rPr>
        <sz val="11"/>
        <color theme="1"/>
        <rFont val="宋体"/>
        <family val="2"/>
        <charset val="134"/>
        <scheme val="minor"/>
      </rPr>
      <t/>
    </r>
  </si>
  <si>
    <r>
      <t>-</t>
    </r>
    <r>
      <rPr>
        <sz val="11"/>
        <color theme="1"/>
        <rFont val="宋体"/>
        <family val="3"/>
        <charset val="134"/>
        <scheme val="minor"/>
      </rPr>
      <t>700</t>
    </r>
    <r>
      <rPr>
        <sz val="11"/>
        <color theme="1"/>
        <rFont val="宋体"/>
        <family val="2"/>
        <charset val="134"/>
        <scheme val="minor"/>
      </rPr>
      <t/>
    </r>
  </si>
  <si>
    <r>
      <t>-</t>
    </r>
    <r>
      <rPr>
        <sz val="11"/>
        <color theme="1"/>
        <rFont val="宋体"/>
        <family val="3"/>
        <charset val="134"/>
        <scheme val="minor"/>
      </rPr>
      <t>701</t>
    </r>
    <r>
      <rPr>
        <sz val="11"/>
        <color theme="1"/>
        <rFont val="宋体"/>
        <family val="2"/>
        <charset val="134"/>
        <scheme val="minor"/>
      </rPr>
      <t/>
    </r>
  </si>
  <si>
    <r>
      <t>-</t>
    </r>
    <r>
      <rPr>
        <sz val="11"/>
        <color theme="1"/>
        <rFont val="宋体"/>
        <family val="3"/>
        <charset val="134"/>
        <scheme val="minor"/>
      </rPr>
      <t>702</t>
    </r>
    <r>
      <rPr>
        <sz val="11"/>
        <color theme="1"/>
        <rFont val="宋体"/>
        <family val="2"/>
        <charset val="134"/>
        <scheme val="minor"/>
      </rPr>
      <t/>
    </r>
  </si>
  <si>
    <r>
      <t>-</t>
    </r>
    <r>
      <rPr>
        <sz val="11"/>
        <color theme="1"/>
        <rFont val="宋体"/>
        <family val="3"/>
        <charset val="134"/>
        <scheme val="minor"/>
      </rPr>
      <t>703</t>
    </r>
    <r>
      <rPr>
        <sz val="11"/>
        <color theme="1"/>
        <rFont val="宋体"/>
        <family val="2"/>
        <charset val="134"/>
        <scheme val="minor"/>
      </rPr>
      <t/>
    </r>
  </si>
  <si>
    <r>
      <t>-</t>
    </r>
    <r>
      <rPr>
        <sz val="11"/>
        <color theme="1"/>
        <rFont val="宋体"/>
        <family val="3"/>
        <charset val="134"/>
        <scheme val="minor"/>
      </rPr>
      <t>704</t>
    </r>
    <r>
      <rPr>
        <sz val="11"/>
        <color theme="1"/>
        <rFont val="宋体"/>
        <family val="2"/>
        <charset val="134"/>
        <scheme val="minor"/>
      </rPr>
      <t/>
    </r>
  </si>
  <si>
    <r>
      <t>-</t>
    </r>
    <r>
      <rPr>
        <sz val="11"/>
        <color theme="1"/>
        <rFont val="宋体"/>
        <family val="3"/>
        <charset val="134"/>
        <scheme val="minor"/>
      </rPr>
      <t>705</t>
    </r>
    <r>
      <rPr>
        <sz val="11"/>
        <color theme="1"/>
        <rFont val="宋体"/>
        <family val="2"/>
        <charset val="134"/>
        <scheme val="minor"/>
      </rPr>
      <t/>
    </r>
  </si>
  <si>
    <r>
      <t>-</t>
    </r>
    <r>
      <rPr>
        <sz val="11"/>
        <color theme="1"/>
        <rFont val="宋体"/>
        <family val="3"/>
        <charset val="134"/>
        <scheme val="minor"/>
      </rPr>
      <t>706</t>
    </r>
    <r>
      <rPr>
        <sz val="11"/>
        <color theme="1"/>
        <rFont val="宋体"/>
        <family val="2"/>
        <charset val="134"/>
        <scheme val="minor"/>
      </rPr>
      <t/>
    </r>
  </si>
  <si>
    <r>
      <t>-</t>
    </r>
    <r>
      <rPr>
        <sz val="11"/>
        <color theme="1"/>
        <rFont val="宋体"/>
        <family val="3"/>
        <charset val="134"/>
        <scheme val="minor"/>
      </rPr>
      <t>707</t>
    </r>
    <r>
      <rPr>
        <sz val="11"/>
        <color theme="1"/>
        <rFont val="宋体"/>
        <family val="2"/>
        <charset val="134"/>
        <scheme val="minor"/>
      </rPr>
      <t/>
    </r>
  </si>
  <si>
    <r>
      <t>-</t>
    </r>
    <r>
      <rPr>
        <sz val="11"/>
        <color theme="1"/>
        <rFont val="宋体"/>
        <family val="3"/>
        <charset val="134"/>
        <scheme val="minor"/>
      </rPr>
      <t>708</t>
    </r>
    <r>
      <rPr>
        <sz val="11"/>
        <color theme="1"/>
        <rFont val="宋体"/>
        <family val="2"/>
        <charset val="134"/>
        <scheme val="minor"/>
      </rPr>
      <t/>
    </r>
  </si>
  <si>
    <r>
      <t>-</t>
    </r>
    <r>
      <rPr>
        <sz val="11"/>
        <color theme="1"/>
        <rFont val="宋体"/>
        <family val="3"/>
        <charset val="134"/>
        <scheme val="minor"/>
      </rPr>
      <t>709</t>
    </r>
    <r>
      <rPr>
        <sz val="11"/>
        <color theme="1"/>
        <rFont val="宋体"/>
        <family val="2"/>
        <charset val="134"/>
        <scheme val="minor"/>
      </rPr>
      <t/>
    </r>
  </si>
  <si>
    <r>
      <t>-</t>
    </r>
    <r>
      <rPr>
        <sz val="11"/>
        <color theme="1"/>
        <rFont val="宋体"/>
        <family val="3"/>
        <charset val="134"/>
        <scheme val="minor"/>
      </rPr>
      <t>710</t>
    </r>
    <r>
      <rPr>
        <sz val="11"/>
        <color theme="1"/>
        <rFont val="宋体"/>
        <family val="2"/>
        <charset val="134"/>
        <scheme val="minor"/>
      </rPr>
      <t/>
    </r>
  </si>
  <si>
    <r>
      <t>-</t>
    </r>
    <r>
      <rPr>
        <sz val="11"/>
        <color theme="1"/>
        <rFont val="宋体"/>
        <family val="3"/>
        <charset val="134"/>
        <scheme val="minor"/>
      </rPr>
      <t>711</t>
    </r>
    <r>
      <rPr>
        <sz val="11"/>
        <color theme="1"/>
        <rFont val="宋体"/>
        <family val="2"/>
        <charset val="134"/>
        <scheme val="minor"/>
      </rPr>
      <t/>
    </r>
  </si>
  <si>
    <r>
      <t>-</t>
    </r>
    <r>
      <rPr>
        <sz val="11"/>
        <color theme="1"/>
        <rFont val="宋体"/>
        <family val="3"/>
        <charset val="134"/>
        <scheme val="minor"/>
      </rPr>
      <t>712</t>
    </r>
    <r>
      <rPr>
        <sz val="11"/>
        <color theme="1"/>
        <rFont val="宋体"/>
        <family val="2"/>
        <charset val="134"/>
        <scheme val="minor"/>
      </rPr>
      <t/>
    </r>
  </si>
  <si>
    <r>
      <t>-</t>
    </r>
    <r>
      <rPr>
        <sz val="11"/>
        <color theme="1"/>
        <rFont val="宋体"/>
        <family val="3"/>
        <charset val="134"/>
        <scheme val="minor"/>
      </rPr>
      <t>713</t>
    </r>
    <r>
      <rPr>
        <sz val="11"/>
        <color theme="1"/>
        <rFont val="宋体"/>
        <family val="2"/>
        <charset val="134"/>
        <scheme val="minor"/>
      </rPr>
      <t/>
    </r>
  </si>
  <si>
    <r>
      <t>-</t>
    </r>
    <r>
      <rPr>
        <sz val="11"/>
        <color theme="1"/>
        <rFont val="宋体"/>
        <family val="3"/>
        <charset val="134"/>
        <scheme val="minor"/>
      </rPr>
      <t>714</t>
    </r>
    <r>
      <rPr>
        <sz val="11"/>
        <color theme="1"/>
        <rFont val="宋体"/>
        <family val="2"/>
        <charset val="134"/>
        <scheme val="minor"/>
      </rPr>
      <t/>
    </r>
  </si>
  <si>
    <r>
      <t>-</t>
    </r>
    <r>
      <rPr>
        <sz val="11"/>
        <color theme="1"/>
        <rFont val="宋体"/>
        <family val="3"/>
        <charset val="134"/>
        <scheme val="minor"/>
      </rPr>
      <t>715</t>
    </r>
    <r>
      <rPr>
        <sz val="11"/>
        <color theme="1"/>
        <rFont val="宋体"/>
        <family val="2"/>
        <charset val="134"/>
        <scheme val="minor"/>
      </rPr>
      <t/>
    </r>
  </si>
  <si>
    <r>
      <t>-</t>
    </r>
    <r>
      <rPr>
        <sz val="11"/>
        <color theme="1"/>
        <rFont val="宋体"/>
        <family val="3"/>
        <charset val="134"/>
        <scheme val="minor"/>
      </rPr>
      <t>716</t>
    </r>
    <r>
      <rPr>
        <sz val="11"/>
        <color theme="1"/>
        <rFont val="宋体"/>
        <family val="2"/>
        <charset val="134"/>
        <scheme val="minor"/>
      </rPr>
      <t/>
    </r>
  </si>
  <si>
    <r>
      <t>-</t>
    </r>
    <r>
      <rPr>
        <sz val="11"/>
        <color theme="1"/>
        <rFont val="宋体"/>
        <family val="3"/>
        <charset val="134"/>
        <scheme val="minor"/>
      </rPr>
      <t>717</t>
    </r>
    <r>
      <rPr>
        <sz val="11"/>
        <color theme="1"/>
        <rFont val="宋体"/>
        <family val="2"/>
        <charset val="134"/>
        <scheme val="minor"/>
      </rPr>
      <t/>
    </r>
  </si>
  <si>
    <r>
      <t>-</t>
    </r>
    <r>
      <rPr>
        <sz val="11"/>
        <color theme="1"/>
        <rFont val="宋体"/>
        <family val="3"/>
        <charset val="134"/>
        <scheme val="minor"/>
      </rPr>
      <t>718</t>
    </r>
    <r>
      <rPr>
        <sz val="11"/>
        <color theme="1"/>
        <rFont val="宋体"/>
        <family val="2"/>
        <charset val="134"/>
        <scheme val="minor"/>
      </rPr>
      <t/>
    </r>
  </si>
  <si>
    <r>
      <t>-</t>
    </r>
    <r>
      <rPr>
        <sz val="11"/>
        <color theme="1"/>
        <rFont val="宋体"/>
        <family val="3"/>
        <charset val="134"/>
        <scheme val="minor"/>
      </rPr>
      <t>719</t>
    </r>
    <r>
      <rPr>
        <sz val="11"/>
        <color theme="1"/>
        <rFont val="宋体"/>
        <family val="2"/>
        <charset val="134"/>
        <scheme val="minor"/>
      </rPr>
      <t/>
    </r>
  </si>
  <si>
    <r>
      <t>-</t>
    </r>
    <r>
      <rPr>
        <sz val="11"/>
        <color theme="1"/>
        <rFont val="宋体"/>
        <family val="3"/>
        <charset val="134"/>
        <scheme val="minor"/>
      </rPr>
      <t>720</t>
    </r>
    <r>
      <rPr>
        <sz val="11"/>
        <color theme="1"/>
        <rFont val="宋体"/>
        <family val="2"/>
        <charset val="134"/>
        <scheme val="minor"/>
      </rPr>
      <t/>
    </r>
  </si>
  <si>
    <r>
      <t>-</t>
    </r>
    <r>
      <rPr>
        <sz val="11"/>
        <color theme="1"/>
        <rFont val="宋体"/>
        <family val="3"/>
        <charset val="134"/>
        <scheme val="minor"/>
      </rPr>
      <t>721</t>
    </r>
    <r>
      <rPr>
        <sz val="11"/>
        <color theme="1"/>
        <rFont val="宋体"/>
        <family val="2"/>
        <charset val="134"/>
        <scheme val="minor"/>
      </rPr>
      <t/>
    </r>
  </si>
  <si>
    <r>
      <t>-</t>
    </r>
    <r>
      <rPr>
        <sz val="11"/>
        <color theme="1"/>
        <rFont val="宋体"/>
        <family val="3"/>
        <charset val="134"/>
        <scheme val="minor"/>
      </rPr>
      <t>722</t>
    </r>
    <r>
      <rPr>
        <sz val="11"/>
        <color theme="1"/>
        <rFont val="宋体"/>
        <family val="2"/>
        <charset val="134"/>
        <scheme val="minor"/>
      </rPr>
      <t/>
    </r>
  </si>
  <si>
    <r>
      <t>-</t>
    </r>
    <r>
      <rPr>
        <sz val="11"/>
        <color theme="1"/>
        <rFont val="宋体"/>
        <family val="3"/>
        <charset val="134"/>
        <scheme val="minor"/>
      </rPr>
      <t>723</t>
    </r>
    <r>
      <rPr>
        <sz val="11"/>
        <color theme="1"/>
        <rFont val="宋体"/>
        <family val="2"/>
        <charset val="134"/>
        <scheme val="minor"/>
      </rPr>
      <t/>
    </r>
  </si>
  <si>
    <r>
      <t>-</t>
    </r>
    <r>
      <rPr>
        <sz val="11"/>
        <color theme="1"/>
        <rFont val="宋体"/>
        <family val="3"/>
        <charset val="134"/>
        <scheme val="minor"/>
      </rPr>
      <t>724</t>
    </r>
    <r>
      <rPr>
        <sz val="11"/>
        <color theme="1"/>
        <rFont val="宋体"/>
        <family val="2"/>
        <charset val="134"/>
        <scheme val="minor"/>
      </rPr>
      <t/>
    </r>
  </si>
  <si>
    <r>
      <t>-</t>
    </r>
    <r>
      <rPr>
        <sz val="11"/>
        <color theme="1"/>
        <rFont val="宋体"/>
        <family val="3"/>
        <charset val="134"/>
        <scheme val="minor"/>
      </rPr>
      <t>725</t>
    </r>
    <r>
      <rPr>
        <sz val="11"/>
        <color theme="1"/>
        <rFont val="宋体"/>
        <family val="2"/>
        <charset val="134"/>
        <scheme val="minor"/>
      </rPr>
      <t/>
    </r>
  </si>
  <si>
    <r>
      <t>-</t>
    </r>
    <r>
      <rPr>
        <sz val="11"/>
        <color theme="1"/>
        <rFont val="宋体"/>
        <family val="3"/>
        <charset val="134"/>
        <scheme val="minor"/>
      </rPr>
      <t>726</t>
    </r>
    <r>
      <rPr>
        <sz val="11"/>
        <color theme="1"/>
        <rFont val="宋体"/>
        <family val="2"/>
        <charset val="134"/>
        <scheme val="minor"/>
      </rPr>
      <t/>
    </r>
  </si>
  <si>
    <r>
      <t>-</t>
    </r>
    <r>
      <rPr>
        <sz val="11"/>
        <color theme="1"/>
        <rFont val="宋体"/>
        <family val="3"/>
        <charset val="134"/>
        <scheme val="minor"/>
      </rPr>
      <t>727</t>
    </r>
    <r>
      <rPr>
        <sz val="11"/>
        <color theme="1"/>
        <rFont val="宋体"/>
        <family val="2"/>
        <charset val="134"/>
        <scheme val="minor"/>
      </rPr>
      <t/>
    </r>
  </si>
  <si>
    <r>
      <t>-</t>
    </r>
    <r>
      <rPr>
        <sz val="11"/>
        <color theme="1"/>
        <rFont val="宋体"/>
        <family val="3"/>
        <charset val="134"/>
        <scheme val="minor"/>
      </rPr>
      <t>728</t>
    </r>
    <r>
      <rPr>
        <sz val="11"/>
        <color theme="1"/>
        <rFont val="宋体"/>
        <family val="2"/>
        <charset val="134"/>
        <scheme val="minor"/>
      </rPr>
      <t/>
    </r>
  </si>
  <si>
    <r>
      <t>-</t>
    </r>
    <r>
      <rPr>
        <sz val="11"/>
        <color theme="1"/>
        <rFont val="宋体"/>
        <family val="3"/>
        <charset val="134"/>
        <scheme val="minor"/>
      </rPr>
      <t>729</t>
    </r>
    <r>
      <rPr>
        <sz val="11"/>
        <color theme="1"/>
        <rFont val="宋体"/>
        <family val="2"/>
        <charset val="134"/>
        <scheme val="minor"/>
      </rPr>
      <t/>
    </r>
  </si>
  <si>
    <r>
      <t>-</t>
    </r>
    <r>
      <rPr>
        <sz val="11"/>
        <color theme="1"/>
        <rFont val="宋体"/>
        <family val="3"/>
        <charset val="134"/>
        <scheme val="minor"/>
      </rPr>
      <t>730</t>
    </r>
    <r>
      <rPr>
        <sz val="11"/>
        <color theme="1"/>
        <rFont val="宋体"/>
        <family val="2"/>
        <charset val="134"/>
        <scheme val="minor"/>
      </rPr>
      <t/>
    </r>
  </si>
  <si>
    <r>
      <t>-</t>
    </r>
    <r>
      <rPr>
        <sz val="11"/>
        <color theme="1"/>
        <rFont val="宋体"/>
        <family val="3"/>
        <charset val="134"/>
        <scheme val="minor"/>
      </rPr>
      <t>731</t>
    </r>
    <r>
      <rPr>
        <sz val="11"/>
        <color theme="1"/>
        <rFont val="宋体"/>
        <family val="2"/>
        <charset val="134"/>
        <scheme val="minor"/>
      </rPr>
      <t/>
    </r>
  </si>
  <si>
    <r>
      <t>-</t>
    </r>
    <r>
      <rPr>
        <sz val="11"/>
        <color theme="1"/>
        <rFont val="宋体"/>
        <family val="3"/>
        <charset val="134"/>
        <scheme val="minor"/>
      </rPr>
      <t>732</t>
    </r>
    <r>
      <rPr>
        <sz val="11"/>
        <color theme="1"/>
        <rFont val="宋体"/>
        <family val="2"/>
        <charset val="134"/>
        <scheme val="minor"/>
      </rPr>
      <t/>
    </r>
  </si>
  <si>
    <r>
      <t>-</t>
    </r>
    <r>
      <rPr>
        <sz val="11"/>
        <color theme="1"/>
        <rFont val="宋体"/>
        <family val="3"/>
        <charset val="134"/>
        <scheme val="minor"/>
      </rPr>
      <t>733</t>
    </r>
    <r>
      <rPr>
        <sz val="11"/>
        <color theme="1"/>
        <rFont val="宋体"/>
        <family val="2"/>
        <charset val="134"/>
        <scheme val="minor"/>
      </rPr>
      <t/>
    </r>
  </si>
  <si>
    <r>
      <t>-</t>
    </r>
    <r>
      <rPr>
        <sz val="11"/>
        <color theme="1"/>
        <rFont val="宋体"/>
        <family val="3"/>
        <charset val="134"/>
        <scheme val="minor"/>
      </rPr>
      <t>734</t>
    </r>
    <r>
      <rPr>
        <sz val="11"/>
        <color theme="1"/>
        <rFont val="宋体"/>
        <family val="2"/>
        <charset val="134"/>
        <scheme val="minor"/>
      </rPr>
      <t/>
    </r>
  </si>
  <si>
    <r>
      <t>-</t>
    </r>
    <r>
      <rPr>
        <sz val="11"/>
        <color theme="1"/>
        <rFont val="宋体"/>
        <family val="3"/>
        <charset val="134"/>
        <scheme val="minor"/>
      </rPr>
      <t>735</t>
    </r>
    <r>
      <rPr>
        <sz val="11"/>
        <color theme="1"/>
        <rFont val="宋体"/>
        <family val="2"/>
        <charset val="134"/>
        <scheme val="minor"/>
      </rPr>
      <t/>
    </r>
  </si>
  <si>
    <r>
      <t>-</t>
    </r>
    <r>
      <rPr>
        <sz val="11"/>
        <color theme="1"/>
        <rFont val="宋体"/>
        <family val="3"/>
        <charset val="134"/>
        <scheme val="minor"/>
      </rPr>
      <t>736</t>
    </r>
    <r>
      <rPr>
        <sz val="11"/>
        <color theme="1"/>
        <rFont val="宋体"/>
        <family val="2"/>
        <charset val="134"/>
        <scheme val="minor"/>
      </rPr>
      <t/>
    </r>
  </si>
  <si>
    <r>
      <t>-</t>
    </r>
    <r>
      <rPr>
        <sz val="11"/>
        <color theme="1"/>
        <rFont val="宋体"/>
        <family val="3"/>
        <charset val="134"/>
        <scheme val="minor"/>
      </rPr>
      <t>737</t>
    </r>
    <r>
      <rPr>
        <sz val="11"/>
        <color theme="1"/>
        <rFont val="宋体"/>
        <family val="2"/>
        <charset val="134"/>
        <scheme val="minor"/>
      </rPr>
      <t/>
    </r>
  </si>
  <si>
    <r>
      <t>-</t>
    </r>
    <r>
      <rPr>
        <sz val="11"/>
        <color theme="1"/>
        <rFont val="宋体"/>
        <family val="3"/>
        <charset val="134"/>
        <scheme val="minor"/>
      </rPr>
      <t>738</t>
    </r>
    <r>
      <rPr>
        <sz val="11"/>
        <color theme="1"/>
        <rFont val="宋体"/>
        <family val="2"/>
        <charset val="134"/>
        <scheme val="minor"/>
      </rPr>
      <t/>
    </r>
  </si>
  <si>
    <r>
      <t>-</t>
    </r>
    <r>
      <rPr>
        <sz val="11"/>
        <color theme="1"/>
        <rFont val="宋体"/>
        <family val="3"/>
        <charset val="134"/>
        <scheme val="minor"/>
      </rPr>
      <t>739</t>
    </r>
    <r>
      <rPr>
        <sz val="11"/>
        <color theme="1"/>
        <rFont val="宋体"/>
        <family val="2"/>
        <charset val="134"/>
        <scheme val="minor"/>
      </rPr>
      <t/>
    </r>
  </si>
  <si>
    <r>
      <t>-</t>
    </r>
    <r>
      <rPr>
        <sz val="11"/>
        <color theme="1"/>
        <rFont val="宋体"/>
        <family val="3"/>
        <charset val="134"/>
        <scheme val="minor"/>
      </rPr>
      <t>740</t>
    </r>
    <r>
      <rPr>
        <sz val="11"/>
        <color theme="1"/>
        <rFont val="宋体"/>
        <family val="2"/>
        <charset val="134"/>
        <scheme val="minor"/>
      </rPr>
      <t/>
    </r>
  </si>
  <si>
    <r>
      <t>-</t>
    </r>
    <r>
      <rPr>
        <sz val="11"/>
        <color theme="1"/>
        <rFont val="宋体"/>
        <family val="3"/>
        <charset val="134"/>
        <scheme val="minor"/>
      </rPr>
      <t>741</t>
    </r>
    <r>
      <rPr>
        <sz val="11"/>
        <color theme="1"/>
        <rFont val="宋体"/>
        <family val="2"/>
        <charset val="134"/>
        <scheme val="minor"/>
      </rPr>
      <t/>
    </r>
  </si>
  <si>
    <r>
      <t>-</t>
    </r>
    <r>
      <rPr>
        <sz val="11"/>
        <color theme="1"/>
        <rFont val="宋体"/>
        <family val="3"/>
        <charset val="134"/>
        <scheme val="minor"/>
      </rPr>
      <t>742</t>
    </r>
    <r>
      <rPr>
        <sz val="11"/>
        <color theme="1"/>
        <rFont val="宋体"/>
        <family val="2"/>
        <charset val="134"/>
        <scheme val="minor"/>
      </rPr>
      <t/>
    </r>
  </si>
  <si>
    <r>
      <t>-</t>
    </r>
    <r>
      <rPr>
        <sz val="11"/>
        <color theme="1"/>
        <rFont val="宋体"/>
        <family val="3"/>
        <charset val="134"/>
        <scheme val="minor"/>
      </rPr>
      <t>743</t>
    </r>
    <r>
      <rPr>
        <sz val="11"/>
        <color theme="1"/>
        <rFont val="宋体"/>
        <family val="2"/>
        <charset val="134"/>
        <scheme val="minor"/>
      </rPr>
      <t/>
    </r>
  </si>
  <si>
    <r>
      <t>-</t>
    </r>
    <r>
      <rPr>
        <sz val="11"/>
        <color theme="1"/>
        <rFont val="宋体"/>
        <family val="3"/>
        <charset val="134"/>
        <scheme val="minor"/>
      </rPr>
      <t>744</t>
    </r>
    <r>
      <rPr>
        <sz val="11"/>
        <color theme="1"/>
        <rFont val="宋体"/>
        <family val="2"/>
        <charset val="134"/>
        <scheme val="minor"/>
      </rPr>
      <t/>
    </r>
  </si>
  <si>
    <r>
      <t>-</t>
    </r>
    <r>
      <rPr>
        <sz val="11"/>
        <color theme="1"/>
        <rFont val="宋体"/>
        <family val="3"/>
        <charset val="134"/>
        <scheme val="minor"/>
      </rPr>
      <t>745</t>
    </r>
    <r>
      <rPr>
        <sz val="11"/>
        <color theme="1"/>
        <rFont val="宋体"/>
        <family val="2"/>
        <charset val="134"/>
        <scheme val="minor"/>
      </rPr>
      <t/>
    </r>
  </si>
  <si>
    <r>
      <t>-</t>
    </r>
    <r>
      <rPr>
        <sz val="11"/>
        <color theme="1"/>
        <rFont val="宋体"/>
        <family val="3"/>
        <charset val="134"/>
        <scheme val="minor"/>
      </rPr>
      <t>746</t>
    </r>
    <r>
      <rPr>
        <sz val="11"/>
        <color theme="1"/>
        <rFont val="宋体"/>
        <family val="2"/>
        <charset val="134"/>
        <scheme val="minor"/>
      </rPr>
      <t/>
    </r>
  </si>
  <si>
    <r>
      <t>-</t>
    </r>
    <r>
      <rPr>
        <sz val="11"/>
        <color theme="1"/>
        <rFont val="宋体"/>
        <family val="3"/>
        <charset val="134"/>
        <scheme val="minor"/>
      </rPr>
      <t>747</t>
    </r>
    <r>
      <rPr>
        <sz val="11"/>
        <color theme="1"/>
        <rFont val="宋体"/>
        <family val="2"/>
        <charset val="134"/>
        <scheme val="minor"/>
      </rPr>
      <t/>
    </r>
  </si>
  <si>
    <r>
      <t>-</t>
    </r>
    <r>
      <rPr>
        <sz val="11"/>
        <color theme="1"/>
        <rFont val="宋体"/>
        <family val="3"/>
        <charset val="134"/>
        <scheme val="minor"/>
      </rPr>
      <t>748</t>
    </r>
    <r>
      <rPr>
        <sz val="11"/>
        <color theme="1"/>
        <rFont val="宋体"/>
        <family val="2"/>
        <charset val="134"/>
        <scheme val="minor"/>
      </rPr>
      <t/>
    </r>
  </si>
  <si>
    <r>
      <t>-</t>
    </r>
    <r>
      <rPr>
        <sz val="11"/>
        <color theme="1"/>
        <rFont val="宋体"/>
        <family val="3"/>
        <charset val="134"/>
        <scheme val="minor"/>
      </rPr>
      <t>749</t>
    </r>
    <r>
      <rPr>
        <sz val="11"/>
        <color theme="1"/>
        <rFont val="宋体"/>
        <family val="2"/>
        <charset val="134"/>
        <scheme val="minor"/>
      </rPr>
      <t/>
    </r>
  </si>
  <si>
    <r>
      <t>-</t>
    </r>
    <r>
      <rPr>
        <sz val="11"/>
        <color theme="1"/>
        <rFont val="宋体"/>
        <family val="3"/>
        <charset val="134"/>
        <scheme val="minor"/>
      </rPr>
      <t>750</t>
    </r>
    <r>
      <rPr>
        <sz val="11"/>
        <color theme="1"/>
        <rFont val="宋体"/>
        <family val="2"/>
        <charset val="134"/>
        <scheme val="minor"/>
      </rPr>
      <t/>
    </r>
  </si>
  <si>
    <r>
      <t>-</t>
    </r>
    <r>
      <rPr>
        <sz val="11"/>
        <color theme="1"/>
        <rFont val="宋体"/>
        <family val="3"/>
        <charset val="134"/>
        <scheme val="minor"/>
      </rPr>
      <t>751</t>
    </r>
    <r>
      <rPr>
        <sz val="11"/>
        <color theme="1"/>
        <rFont val="宋体"/>
        <family val="2"/>
        <charset val="134"/>
        <scheme val="minor"/>
      </rPr>
      <t/>
    </r>
  </si>
  <si>
    <r>
      <t>-</t>
    </r>
    <r>
      <rPr>
        <sz val="11"/>
        <color theme="1"/>
        <rFont val="宋体"/>
        <family val="3"/>
        <charset val="134"/>
        <scheme val="minor"/>
      </rPr>
      <t>752</t>
    </r>
    <r>
      <rPr>
        <sz val="11"/>
        <color theme="1"/>
        <rFont val="宋体"/>
        <family val="2"/>
        <charset val="134"/>
        <scheme val="minor"/>
      </rPr>
      <t/>
    </r>
  </si>
  <si>
    <r>
      <t>-</t>
    </r>
    <r>
      <rPr>
        <sz val="11"/>
        <color theme="1"/>
        <rFont val="宋体"/>
        <family val="3"/>
        <charset val="134"/>
        <scheme val="minor"/>
      </rPr>
      <t>753</t>
    </r>
    <r>
      <rPr>
        <sz val="11"/>
        <color theme="1"/>
        <rFont val="宋体"/>
        <family val="2"/>
        <charset val="134"/>
        <scheme val="minor"/>
      </rPr>
      <t/>
    </r>
  </si>
  <si>
    <r>
      <t>-</t>
    </r>
    <r>
      <rPr>
        <sz val="11"/>
        <color theme="1"/>
        <rFont val="宋体"/>
        <family val="3"/>
        <charset val="134"/>
        <scheme val="minor"/>
      </rPr>
      <t>754</t>
    </r>
    <r>
      <rPr>
        <sz val="11"/>
        <color theme="1"/>
        <rFont val="宋体"/>
        <family val="2"/>
        <charset val="134"/>
        <scheme val="minor"/>
      </rPr>
      <t/>
    </r>
  </si>
  <si>
    <r>
      <t>-</t>
    </r>
    <r>
      <rPr>
        <sz val="11"/>
        <color theme="1"/>
        <rFont val="宋体"/>
        <family val="3"/>
        <charset val="134"/>
        <scheme val="minor"/>
      </rPr>
      <t>755</t>
    </r>
    <r>
      <rPr>
        <sz val="11"/>
        <color theme="1"/>
        <rFont val="宋体"/>
        <family val="2"/>
        <charset val="134"/>
        <scheme val="minor"/>
      </rPr>
      <t/>
    </r>
  </si>
  <si>
    <r>
      <t>-</t>
    </r>
    <r>
      <rPr>
        <sz val="11"/>
        <color theme="1"/>
        <rFont val="宋体"/>
        <family val="3"/>
        <charset val="134"/>
        <scheme val="minor"/>
      </rPr>
      <t>756</t>
    </r>
    <r>
      <rPr>
        <sz val="11"/>
        <color theme="1"/>
        <rFont val="宋体"/>
        <family val="2"/>
        <charset val="134"/>
        <scheme val="minor"/>
      </rPr>
      <t/>
    </r>
  </si>
  <si>
    <r>
      <t>-</t>
    </r>
    <r>
      <rPr>
        <sz val="11"/>
        <color theme="1"/>
        <rFont val="宋体"/>
        <family val="3"/>
        <charset val="134"/>
        <scheme val="minor"/>
      </rPr>
      <t>757</t>
    </r>
    <r>
      <rPr>
        <sz val="11"/>
        <color theme="1"/>
        <rFont val="宋体"/>
        <family val="2"/>
        <charset val="134"/>
        <scheme val="minor"/>
      </rPr>
      <t/>
    </r>
  </si>
  <si>
    <r>
      <t>-</t>
    </r>
    <r>
      <rPr>
        <sz val="11"/>
        <color theme="1"/>
        <rFont val="宋体"/>
        <family val="3"/>
        <charset val="134"/>
        <scheme val="minor"/>
      </rPr>
      <t>758</t>
    </r>
    <r>
      <rPr>
        <sz val="11"/>
        <color theme="1"/>
        <rFont val="宋体"/>
        <family val="2"/>
        <charset val="134"/>
        <scheme val="minor"/>
      </rPr>
      <t/>
    </r>
  </si>
  <si>
    <r>
      <t>-</t>
    </r>
    <r>
      <rPr>
        <sz val="11"/>
        <color theme="1"/>
        <rFont val="宋体"/>
        <family val="3"/>
        <charset val="134"/>
        <scheme val="minor"/>
      </rPr>
      <t>759</t>
    </r>
    <r>
      <rPr>
        <sz val="11"/>
        <color theme="1"/>
        <rFont val="宋体"/>
        <family val="2"/>
        <charset val="134"/>
        <scheme val="minor"/>
      </rPr>
      <t/>
    </r>
  </si>
  <si>
    <r>
      <t>-</t>
    </r>
    <r>
      <rPr>
        <sz val="11"/>
        <color theme="1"/>
        <rFont val="宋体"/>
        <family val="3"/>
        <charset val="134"/>
        <scheme val="minor"/>
      </rPr>
      <t>760</t>
    </r>
    <r>
      <rPr>
        <sz val="11"/>
        <color theme="1"/>
        <rFont val="宋体"/>
        <family val="2"/>
        <charset val="134"/>
        <scheme val="minor"/>
      </rPr>
      <t/>
    </r>
  </si>
  <si>
    <r>
      <t>-</t>
    </r>
    <r>
      <rPr>
        <sz val="11"/>
        <color theme="1"/>
        <rFont val="宋体"/>
        <family val="3"/>
        <charset val="134"/>
        <scheme val="minor"/>
      </rPr>
      <t>761</t>
    </r>
    <r>
      <rPr>
        <sz val="11"/>
        <color theme="1"/>
        <rFont val="宋体"/>
        <family val="2"/>
        <charset val="134"/>
        <scheme val="minor"/>
      </rPr>
      <t/>
    </r>
  </si>
  <si>
    <r>
      <t>-</t>
    </r>
    <r>
      <rPr>
        <sz val="11"/>
        <color theme="1"/>
        <rFont val="宋体"/>
        <family val="3"/>
        <charset val="134"/>
        <scheme val="minor"/>
      </rPr>
      <t>762</t>
    </r>
    <r>
      <rPr>
        <sz val="11"/>
        <color theme="1"/>
        <rFont val="宋体"/>
        <family val="2"/>
        <charset val="134"/>
        <scheme val="minor"/>
      </rPr>
      <t/>
    </r>
  </si>
  <si>
    <r>
      <t>-</t>
    </r>
    <r>
      <rPr>
        <sz val="11"/>
        <color theme="1"/>
        <rFont val="宋体"/>
        <family val="3"/>
        <charset val="134"/>
        <scheme val="minor"/>
      </rPr>
      <t>763</t>
    </r>
    <r>
      <rPr>
        <sz val="11"/>
        <color theme="1"/>
        <rFont val="宋体"/>
        <family val="2"/>
        <charset val="134"/>
        <scheme val="minor"/>
      </rPr>
      <t/>
    </r>
  </si>
  <si>
    <r>
      <t>-</t>
    </r>
    <r>
      <rPr>
        <sz val="11"/>
        <color theme="1"/>
        <rFont val="宋体"/>
        <family val="3"/>
        <charset val="134"/>
        <scheme val="minor"/>
      </rPr>
      <t>764</t>
    </r>
    <r>
      <rPr>
        <sz val="11"/>
        <color theme="1"/>
        <rFont val="宋体"/>
        <family val="2"/>
        <charset val="134"/>
        <scheme val="minor"/>
      </rPr>
      <t/>
    </r>
  </si>
  <si>
    <r>
      <t>-</t>
    </r>
    <r>
      <rPr>
        <sz val="11"/>
        <color theme="1"/>
        <rFont val="宋体"/>
        <family val="3"/>
        <charset val="134"/>
        <scheme val="minor"/>
      </rPr>
      <t>765</t>
    </r>
    <r>
      <rPr>
        <sz val="11"/>
        <color theme="1"/>
        <rFont val="宋体"/>
        <family val="2"/>
        <charset val="134"/>
        <scheme val="minor"/>
      </rPr>
      <t/>
    </r>
  </si>
  <si>
    <r>
      <t>-</t>
    </r>
    <r>
      <rPr>
        <sz val="11"/>
        <color theme="1"/>
        <rFont val="宋体"/>
        <family val="3"/>
        <charset val="134"/>
        <scheme val="minor"/>
      </rPr>
      <t>766</t>
    </r>
    <r>
      <rPr>
        <sz val="11"/>
        <color theme="1"/>
        <rFont val="宋体"/>
        <family val="2"/>
        <charset val="134"/>
        <scheme val="minor"/>
      </rPr>
      <t/>
    </r>
  </si>
  <si>
    <r>
      <t>-</t>
    </r>
    <r>
      <rPr>
        <sz val="11"/>
        <color theme="1"/>
        <rFont val="宋体"/>
        <family val="3"/>
        <charset val="134"/>
        <scheme val="minor"/>
      </rPr>
      <t>767</t>
    </r>
    <r>
      <rPr>
        <sz val="11"/>
        <color theme="1"/>
        <rFont val="宋体"/>
        <family val="2"/>
        <charset val="134"/>
        <scheme val="minor"/>
      </rPr>
      <t/>
    </r>
  </si>
  <si>
    <r>
      <t>-</t>
    </r>
    <r>
      <rPr>
        <sz val="11"/>
        <color theme="1"/>
        <rFont val="宋体"/>
        <family val="3"/>
        <charset val="134"/>
        <scheme val="minor"/>
      </rPr>
      <t>768</t>
    </r>
    <r>
      <rPr>
        <sz val="11"/>
        <color theme="1"/>
        <rFont val="宋体"/>
        <family val="2"/>
        <charset val="134"/>
        <scheme val="minor"/>
      </rPr>
      <t/>
    </r>
  </si>
  <si>
    <r>
      <t>-</t>
    </r>
    <r>
      <rPr>
        <sz val="11"/>
        <color theme="1"/>
        <rFont val="宋体"/>
        <family val="3"/>
        <charset val="134"/>
        <scheme val="minor"/>
      </rPr>
      <t>769</t>
    </r>
    <r>
      <rPr>
        <sz val="11"/>
        <color theme="1"/>
        <rFont val="宋体"/>
        <family val="2"/>
        <charset val="134"/>
        <scheme val="minor"/>
      </rPr>
      <t/>
    </r>
  </si>
  <si>
    <r>
      <t>-</t>
    </r>
    <r>
      <rPr>
        <sz val="11"/>
        <color theme="1"/>
        <rFont val="宋体"/>
        <family val="3"/>
        <charset val="134"/>
        <scheme val="minor"/>
      </rPr>
      <t>770</t>
    </r>
    <r>
      <rPr>
        <sz val="11"/>
        <color theme="1"/>
        <rFont val="宋体"/>
        <family val="2"/>
        <charset val="134"/>
        <scheme val="minor"/>
      </rPr>
      <t/>
    </r>
  </si>
  <si>
    <r>
      <t>-</t>
    </r>
    <r>
      <rPr>
        <sz val="11"/>
        <color theme="1"/>
        <rFont val="宋体"/>
        <family val="3"/>
        <charset val="134"/>
        <scheme val="minor"/>
      </rPr>
      <t>771</t>
    </r>
    <r>
      <rPr>
        <sz val="11"/>
        <color theme="1"/>
        <rFont val="宋体"/>
        <family val="2"/>
        <charset val="134"/>
        <scheme val="minor"/>
      </rPr>
      <t/>
    </r>
  </si>
  <si>
    <r>
      <t>-</t>
    </r>
    <r>
      <rPr>
        <sz val="11"/>
        <color theme="1"/>
        <rFont val="宋体"/>
        <family val="3"/>
        <charset val="134"/>
        <scheme val="minor"/>
      </rPr>
      <t>772</t>
    </r>
    <r>
      <rPr>
        <sz val="11"/>
        <color theme="1"/>
        <rFont val="宋体"/>
        <family val="2"/>
        <charset val="134"/>
        <scheme val="minor"/>
      </rPr>
      <t/>
    </r>
  </si>
  <si>
    <r>
      <t>-</t>
    </r>
    <r>
      <rPr>
        <sz val="11"/>
        <color theme="1"/>
        <rFont val="宋体"/>
        <family val="3"/>
        <charset val="134"/>
        <scheme val="minor"/>
      </rPr>
      <t>773</t>
    </r>
    <r>
      <rPr>
        <sz val="11"/>
        <color theme="1"/>
        <rFont val="宋体"/>
        <family val="2"/>
        <charset val="134"/>
        <scheme val="minor"/>
      </rPr>
      <t/>
    </r>
  </si>
  <si>
    <r>
      <t>-</t>
    </r>
    <r>
      <rPr>
        <sz val="11"/>
        <color theme="1"/>
        <rFont val="宋体"/>
        <family val="3"/>
        <charset val="134"/>
        <scheme val="minor"/>
      </rPr>
      <t>774</t>
    </r>
    <r>
      <rPr>
        <sz val="11"/>
        <color theme="1"/>
        <rFont val="宋体"/>
        <family val="2"/>
        <charset val="134"/>
        <scheme val="minor"/>
      </rPr>
      <t/>
    </r>
  </si>
  <si>
    <r>
      <t>-</t>
    </r>
    <r>
      <rPr>
        <sz val="11"/>
        <color theme="1"/>
        <rFont val="宋体"/>
        <family val="3"/>
        <charset val="134"/>
        <scheme val="minor"/>
      </rPr>
      <t>775</t>
    </r>
    <r>
      <rPr>
        <sz val="11"/>
        <color theme="1"/>
        <rFont val="宋体"/>
        <family val="2"/>
        <charset val="134"/>
        <scheme val="minor"/>
      </rPr>
      <t/>
    </r>
  </si>
  <si>
    <r>
      <t>-</t>
    </r>
    <r>
      <rPr>
        <sz val="11"/>
        <color theme="1"/>
        <rFont val="宋体"/>
        <family val="3"/>
        <charset val="134"/>
        <scheme val="minor"/>
      </rPr>
      <t>776</t>
    </r>
    <r>
      <rPr>
        <sz val="11"/>
        <color theme="1"/>
        <rFont val="宋体"/>
        <family val="2"/>
        <charset val="134"/>
        <scheme val="minor"/>
      </rPr>
      <t/>
    </r>
  </si>
  <si>
    <r>
      <t>-</t>
    </r>
    <r>
      <rPr>
        <sz val="11"/>
        <color theme="1"/>
        <rFont val="宋体"/>
        <family val="3"/>
        <charset val="134"/>
        <scheme val="minor"/>
      </rPr>
      <t>777</t>
    </r>
    <r>
      <rPr>
        <sz val="11"/>
        <color theme="1"/>
        <rFont val="宋体"/>
        <family val="2"/>
        <charset val="134"/>
        <scheme val="minor"/>
      </rPr>
      <t/>
    </r>
  </si>
  <si>
    <r>
      <t>-</t>
    </r>
    <r>
      <rPr>
        <sz val="11"/>
        <color theme="1"/>
        <rFont val="宋体"/>
        <family val="3"/>
        <charset val="134"/>
        <scheme val="minor"/>
      </rPr>
      <t>778</t>
    </r>
    <r>
      <rPr>
        <sz val="11"/>
        <color theme="1"/>
        <rFont val="宋体"/>
        <family val="2"/>
        <charset val="134"/>
        <scheme val="minor"/>
      </rPr>
      <t/>
    </r>
  </si>
  <si>
    <r>
      <t>-</t>
    </r>
    <r>
      <rPr>
        <sz val="11"/>
        <color theme="1"/>
        <rFont val="宋体"/>
        <family val="3"/>
        <charset val="134"/>
        <scheme val="minor"/>
      </rPr>
      <t>779</t>
    </r>
    <r>
      <rPr>
        <sz val="11"/>
        <color theme="1"/>
        <rFont val="宋体"/>
        <family val="2"/>
        <charset val="134"/>
        <scheme val="minor"/>
      </rPr>
      <t/>
    </r>
  </si>
  <si>
    <r>
      <t>-</t>
    </r>
    <r>
      <rPr>
        <sz val="11"/>
        <color theme="1"/>
        <rFont val="宋体"/>
        <family val="3"/>
        <charset val="134"/>
        <scheme val="minor"/>
      </rPr>
      <t>780</t>
    </r>
    <r>
      <rPr>
        <sz val="11"/>
        <color theme="1"/>
        <rFont val="宋体"/>
        <family val="2"/>
        <charset val="134"/>
        <scheme val="minor"/>
      </rPr>
      <t/>
    </r>
  </si>
  <si>
    <r>
      <t>-</t>
    </r>
    <r>
      <rPr>
        <sz val="11"/>
        <color theme="1"/>
        <rFont val="宋体"/>
        <family val="3"/>
        <charset val="134"/>
        <scheme val="minor"/>
      </rPr>
      <t>781、-782</t>
    </r>
    <phoneticPr fontId="145" type="noConversion"/>
  </si>
  <si>
    <r>
      <t>-</t>
    </r>
    <r>
      <rPr>
        <sz val="11"/>
        <color theme="1"/>
        <rFont val="宋体"/>
        <family val="3"/>
        <charset val="134"/>
        <scheme val="minor"/>
      </rPr>
      <t>783、-784</t>
    </r>
    <phoneticPr fontId="145" type="noConversion"/>
  </si>
  <si>
    <r>
      <t>-</t>
    </r>
    <r>
      <rPr>
        <sz val="11"/>
        <color theme="1"/>
        <rFont val="宋体"/>
        <family val="3"/>
        <charset val="134"/>
        <scheme val="minor"/>
      </rPr>
      <t>785、-786</t>
    </r>
    <phoneticPr fontId="145" type="noConversion"/>
  </si>
  <si>
    <r>
      <t>-</t>
    </r>
    <r>
      <rPr>
        <sz val="11"/>
        <color theme="1"/>
        <rFont val="宋体"/>
        <family val="3"/>
        <charset val="134"/>
        <scheme val="minor"/>
      </rPr>
      <t>787</t>
    </r>
    <phoneticPr fontId="145" type="noConversion"/>
  </si>
  <si>
    <r>
      <t>-</t>
    </r>
    <r>
      <rPr>
        <sz val="11"/>
        <color theme="1"/>
        <rFont val="宋体"/>
        <family val="3"/>
        <charset val="134"/>
        <scheme val="minor"/>
      </rPr>
      <t>788</t>
    </r>
    <r>
      <rPr>
        <sz val="11"/>
        <color theme="1"/>
        <rFont val="宋体"/>
        <family val="2"/>
        <charset val="134"/>
        <scheme val="minor"/>
      </rPr>
      <t/>
    </r>
  </si>
  <si>
    <r>
      <t>-</t>
    </r>
    <r>
      <rPr>
        <sz val="11"/>
        <color theme="1"/>
        <rFont val="宋体"/>
        <family val="3"/>
        <charset val="134"/>
        <scheme val="minor"/>
      </rPr>
      <t>789</t>
    </r>
    <r>
      <rPr>
        <sz val="11"/>
        <color theme="1"/>
        <rFont val="宋体"/>
        <family val="2"/>
        <charset val="134"/>
        <scheme val="minor"/>
      </rPr>
      <t/>
    </r>
  </si>
  <si>
    <r>
      <t>-</t>
    </r>
    <r>
      <rPr>
        <sz val="11"/>
        <color theme="1"/>
        <rFont val="宋体"/>
        <family val="3"/>
        <charset val="134"/>
        <scheme val="minor"/>
      </rPr>
      <t>790</t>
    </r>
    <r>
      <rPr>
        <sz val="11"/>
        <color theme="1"/>
        <rFont val="宋体"/>
        <family val="2"/>
        <charset val="134"/>
        <scheme val="minor"/>
      </rPr>
      <t/>
    </r>
  </si>
  <si>
    <r>
      <t>-</t>
    </r>
    <r>
      <rPr>
        <sz val="11"/>
        <color theme="1"/>
        <rFont val="宋体"/>
        <family val="3"/>
        <charset val="134"/>
        <scheme val="minor"/>
      </rPr>
      <t>791</t>
    </r>
    <r>
      <rPr>
        <sz val="11"/>
        <color theme="1"/>
        <rFont val="宋体"/>
        <family val="2"/>
        <charset val="134"/>
        <scheme val="minor"/>
      </rPr>
      <t/>
    </r>
  </si>
  <si>
    <r>
      <t>-</t>
    </r>
    <r>
      <rPr>
        <sz val="11"/>
        <color theme="1"/>
        <rFont val="宋体"/>
        <family val="3"/>
        <charset val="134"/>
        <scheme val="minor"/>
      </rPr>
      <t>792</t>
    </r>
    <r>
      <rPr>
        <sz val="11"/>
        <color theme="1"/>
        <rFont val="宋体"/>
        <family val="2"/>
        <charset val="134"/>
        <scheme val="minor"/>
      </rPr>
      <t/>
    </r>
  </si>
  <si>
    <r>
      <t>-</t>
    </r>
    <r>
      <rPr>
        <sz val="11"/>
        <color theme="1"/>
        <rFont val="宋体"/>
        <family val="3"/>
        <charset val="134"/>
        <scheme val="minor"/>
      </rPr>
      <t>793</t>
    </r>
    <r>
      <rPr>
        <sz val="11"/>
        <color theme="1"/>
        <rFont val="宋体"/>
        <family val="2"/>
        <charset val="134"/>
        <scheme val="minor"/>
      </rPr>
      <t/>
    </r>
  </si>
  <si>
    <r>
      <t>-</t>
    </r>
    <r>
      <rPr>
        <sz val="11"/>
        <color theme="1"/>
        <rFont val="宋体"/>
        <family val="3"/>
        <charset val="134"/>
        <scheme val="minor"/>
      </rPr>
      <t>794</t>
    </r>
    <r>
      <rPr>
        <sz val="11"/>
        <color theme="1"/>
        <rFont val="宋体"/>
        <family val="2"/>
        <charset val="134"/>
        <scheme val="minor"/>
      </rPr>
      <t/>
    </r>
  </si>
  <si>
    <r>
      <t>-</t>
    </r>
    <r>
      <rPr>
        <sz val="11"/>
        <color theme="1"/>
        <rFont val="宋体"/>
        <family val="3"/>
        <charset val="134"/>
        <scheme val="minor"/>
      </rPr>
      <t>795</t>
    </r>
    <r>
      <rPr>
        <sz val="11"/>
        <color theme="1"/>
        <rFont val="宋体"/>
        <family val="2"/>
        <charset val="134"/>
        <scheme val="minor"/>
      </rPr>
      <t/>
    </r>
  </si>
  <si>
    <r>
      <t>-</t>
    </r>
    <r>
      <rPr>
        <sz val="11"/>
        <color theme="1"/>
        <rFont val="宋体"/>
        <family val="3"/>
        <charset val="134"/>
        <scheme val="minor"/>
      </rPr>
      <t>796</t>
    </r>
    <r>
      <rPr>
        <sz val="11"/>
        <color theme="1"/>
        <rFont val="宋体"/>
        <family val="2"/>
        <charset val="134"/>
        <scheme val="minor"/>
      </rPr>
      <t/>
    </r>
  </si>
  <si>
    <r>
      <t>-</t>
    </r>
    <r>
      <rPr>
        <sz val="11"/>
        <color theme="1"/>
        <rFont val="宋体"/>
        <family val="3"/>
        <charset val="134"/>
        <scheme val="minor"/>
      </rPr>
      <t>797</t>
    </r>
    <r>
      <rPr>
        <sz val="11"/>
        <color theme="1"/>
        <rFont val="宋体"/>
        <family val="2"/>
        <charset val="134"/>
        <scheme val="minor"/>
      </rPr>
      <t/>
    </r>
  </si>
  <si>
    <r>
      <t>-</t>
    </r>
    <r>
      <rPr>
        <sz val="11"/>
        <color theme="1"/>
        <rFont val="宋体"/>
        <family val="3"/>
        <charset val="134"/>
        <scheme val="minor"/>
      </rPr>
      <t>798</t>
    </r>
    <r>
      <rPr>
        <sz val="11"/>
        <color theme="1"/>
        <rFont val="宋体"/>
        <family val="2"/>
        <charset val="134"/>
        <scheme val="minor"/>
      </rPr>
      <t/>
    </r>
  </si>
  <si>
    <r>
      <t>-</t>
    </r>
    <r>
      <rPr>
        <sz val="11"/>
        <color theme="1"/>
        <rFont val="宋体"/>
        <family val="3"/>
        <charset val="134"/>
        <scheme val="minor"/>
      </rPr>
      <t>799</t>
    </r>
    <r>
      <rPr>
        <sz val="11"/>
        <color theme="1"/>
        <rFont val="宋体"/>
        <family val="2"/>
        <charset val="134"/>
        <scheme val="minor"/>
      </rPr>
      <t/>
    </r>
  </si>
  <si>
    <r>
      <t>-</t>
    </r>
    <r>
      <rPr>
        <sz val="11"/>
        <color theme="1"/>
        <rFont val="宋体"/>
        <family val="3"/>
        <charset val="134"/>
        <scheme val="minor"/>
      </rPr>
      <t>800</t>
    </r>
    <r>
      <rPr>
        <sz val="11"/>
        <color theme="1"/>
        <rFont val="宋体"/>
        <family val="2"/>
        <charset val="134"/>
        <scheme val="minor"/>
      </rPr>
      <t/>
    </r>
  </si>
  <si>
    <r>
      <t>-</t>
    </r>
    <r>
      <rPr>
        <sz val="11"/>
        <color theme="1"/>
        <rFont val="宋体"/>
        <family val="3"/>
        <charset val="134"/>
        <scheme val="minor"/>
      </rPr>
      <t>801</t>
    </r>
    <r>
      <rPr>
        <sz val="11"/>
        <color theme="1"/>
        <rFont val="宋体"/>
        <family val="2"/>
        <charset val="134"/>
        <scheme val="minor"/>
      </rPr>
      <t/>
    </r>
  </si>
  <si>
    <r>
      <t>-</t>
    </r>
    <r>
      <rPr>
        <sz val="11"/>
        <color theme="1"/>
        <rFont val="宋体"/>
        <family val="3"/>
        <charset val="134"/>
        <scheme val="minor"/>
      </rPr>
      <t>802</t>
    </r>
    <r>
      <rPr>
        <sz val="11"/>
        <color theme="1"/>
        <rFont val="宋体"/>
        <family val="2"/>
        <charset val="134"/>
        <scheme val="minor"/>
      </rPr>
      <t/>
    </r>
  </si>
  <si>
    <r>
      <t>-</t>
    </r>
    <r>
      <rPr>
        <sz val="11"/>
        <color theme="1"/>
        <rFont val="宋体"/>
        <family val="3"/>
        <charset val="134"/>
        <scheme val="minor"/>
      </rPr>
      <t>803</t>
    </r>
    <r>
      <rPr>
        <sz val="11"/>
        <color theme="1"/>
        <rFont val="宋体"/>
        <family val="2"/>
        <charset val="134"/>
        <scheme val="minor"/>
      </rPr>
      <t/>
    </r>
  </si>
  <si>
    <r>
      <t>-</t>
    </r>
    <r>
      <rPr>
        <sz val="11"/>
        <color theme="1"/>
        <rFont val="宋体"/>
        <family val="3"/>
        <charset val="134"/>
        <scheme val="minor"/>
      </rPr>
      <t>804</t>
    </r>
    <r>
      <rPr>
        <sz val="11"/>
        <color theme="1"/>
        <rFont val="宋体"/>
        <family val="2"/>
        <charset val="134"/>
        <scheme val="minor"/>
      </rPr>
      <t/>
    </r>
  </si>
  <si>
    <t>1层</t>
    <phoneticPr fontId="145" type="noConversion"/>
  </si>
  <si>
    <t>-2层合计</t>
    <phoneticPr fontId="145" type="noConversion"/>
  </si>
  <si>
    <r>
      <t>1</t>
    </r>
    <r>
      <rPr>
        <sz val="11"/>
        <color theme="1"/>
        <rFont val="宋体"/>
        <family val="3"/>
        <charset val="134"/>
        <scheme val="minor"/>
      </rPr>
      <t>01</t>
    </r>
    <phoneticPr fontId="145" type="noConversion"/>
  </si>
  <si>
    <r>
      <t>-</t>
    </r>
    <r>
      <rPr>
        <sz val="11"/>
        <color theme="1"/>
        <rFont val="宋体"/>
        <family val="3"/>
        <charset val="134"/>
        <scheme val="minor"/>
      </rPr>
      <t>1层</t>
    </r>
    <phoneticPr fontId="145" type="noConversion"/>
  </si>
  <si>
    <t>2层</t>
    <phoneticPr fontId="145" type="noConversion"/>
  </si>
  <si>
    <t>3层</t>
    <phoneticPr fontId="145" type="noConversion"/>
  </si>
  <si>
    <t>4层</t>
    <phoneticPr fontId="145" type="noConversion"/>
  </si>
  <si>
    <t>5层</t>
    <phoneticPr fontId="145" type="noConversion"/>
  </si>
  <si>
    <t>6层</t>
    <phoneticPr fontId="145" type="noConversion"/>
  </si>
  <si>
    <t>人防</t>
    <phoneticPr fontId="145" type="noConversion"/>
  </si>
  <si>
    <t>附属机房层</t>
    <phoneticPr fontId="145" type="noConversion"/>
  </si>
  <si>
    <t>-3层</t>
    <phoneticPr fontId="145" type="noConversion"/>
  </si>
  <si>
    <t>-2层</t>
    <phoneticPr fontId="145" type="noConversion"/>
  </si>
  <si>
    <r>
      <t>-</t>
    </r>
    <r>
      <rPr>
        <sz val="11"/>
        <color theme="1"/>
        <rFont val="宋体"/>
        <family val="3"/>
        <charset val="134"/>
        <scheme val="minor"/>
      </rPr>
      <t>1至6层</t>
    </r>
    <phoneticPr fontId="145" type="noConversion"/>
  </si>
  <si>
    <t>车位</t>
    <phoneticPr fontId="145" type="noConversion"/>
  </si>
  <si>
    <t>商业</t>
    <phoneticPr fontId="145" type="noConversion"/>
  </si>
  <si>
    <t>自行车</t>
    <phoneticPr fontId="145" type="noConversion"/>
  </si>
  <si>
    <t>合计</t>
    <phoneticPr fontId="145" type="noConversion"/>
  </si>
  <si>
    <t>建面（不含人防）</t>
    <phoneticPr fontId="145" type="noConversion"/>
  </si>
  <si>
    <t>建筑面积（含人防）</t>
    <phoneticPr fontId="145" type="noConversion"/>
  </si>
  <si>
    <t>商业</t>
    <phoneticPr fontId="145" type="noConversion"/>
  </si>
  <si>
    <t>地下商业</t>
    <phoneticPr fontId="145" type="noConversion"/>
  </si>
  <si>
    <t>测绘分层</t>
    <phoneticPr fontId="145" type="noConversion"/>
  </si>
  <si>
    <t>明细表汇总</t>
    <phoneticPr fontId="145" type="noConversion"/>
  </si>
  <si>
    <t>测绘分层汇总</t>
    <phoneticPr fontId="145" type="noConversion"/>
  </si>
  <si>
    <t>差值</t>
    <phoneticPr fontId="145" type="noConversion"/>
  </si>
  <si>
    <t>分类规划建设</t>
    <phoneticPr fontId="145" type="noConversion"/>
  </si>
  <si>
    <t>附属机房层</t>
    <phoneticPr fontId="145" type="noConversion"/>
  </si>
  <si>
    <t>自行车库</t>
    <phoneticPr fontId="145" type="noConversion"/>
  </si>
  <si>
    <t>商业</t>
    <phoneticPr fontId="5" type="noConversion"/>
  </si>
  <si>
    <t>商业</t>
    <phoneticPr fontId="9" type="noConversion"/>
  </si>
  <si>
    <t>倒减求地下商业</t>
    <phoneticPr fontId="145" type="noConversion"/>
  </si>
  <si>
    <t>测绘分层地下1层</t>
    <phoneticPr fontId="145" type="noConversion"/>
  </si>
  <si>
    <t>车库—商业</t>
  </si>
  <si>
    <t>车库</t>
  </si>
  <si>
    <t>成新度</t>
  </si>
  <si>
    <t>收益法</t>
  </si>
  <si>
    <t>正常</t>
    <phoneticPr fontId="33" type="noConversion"/>
  </si>
  <si>
    <t>商业</t>
    <phoneticPr fontId="33" type="noConversion"/>
  </si>
  <si>
    <t>30-40</t>
    <phoneticPr fontId="33" type="noConversion"/>
  </si>
  <si>
    <t>押一</t>
  </si>
  <si>
    <t>钢混</t>
  </si>
  <si>
    <t>非生产用房</t>
  </si>
  <si>
    <t>成本法</t>
  </si>
  <si>
    <t>项目全部</t>
  </si>
  <si>
    <t>未包含在土地购买价格中</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</si>
  <si>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</si>
  <si>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</si>
  <si>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</si>
  <si>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</si>
  <si>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</si>
  <si>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</si>
  <si>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</si>
  <si>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</si>
  <si>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</si>
  <si>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</si>
  <si>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</si>
  <si>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</si>
  <si>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</si>
  <si>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</si>
  <si>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房山区长阳镇FS00-LX10-0092等地块</t>
  </si>
  <si>
    <t>商业/办公用地</t>
  </si>
  <si>
    <t>挂牌</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</si>
  <si>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</si>
  <si>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</si>
  <si>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2016-11-28</t>
  </si>
  <si>
    <t>北京龙湖天行置业有限公司、北京首都开发股份有限公司</t>
  </si>
  <si>
    <t>北京旭辉合创投资有限公司</t>
  </si>
  <si>
    <t>2016-09-01</t>
  </si>
  <si>
    <t>北京龙建诚信房地产开发有限公司</t>
  </si>
  <si>
    <t>房山区房山新城良乡组团14-03-05地块(原北京西南良乡物流基地A-013地块北侧)C2商业金融用地</t>
  </si>
  <si>
    <t>2014-07-29</t>
  </si>
  <si>
    <t>北京天洋基业投资有限公司</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</si>
  <si>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</si>
  <si>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</si>
  <si>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</si>
  <si>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</si>
  <si>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</si>
  <si>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</si>
  <si>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</si>
  <si>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</si>
  <si>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</si>
  <si>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</si>
  <si>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</si>
  <si>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2013-07-03</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</si>
  <si>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</si>
  <si>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</si>
  <si>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</si>
  <si>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</si>
  <si>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</si>
  <si>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</si>
  <si>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</si>
  <si>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</si>
  <si>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</si>
  <si>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</si>
  <si>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招标</t>
  </si>
  <si>
    <t>2013-02-22</t>
  </si>
  <si>
    <t>绿地控股集团有限公司</t>
  </si>
  <si>
    <t>较好</t>
  </si>
  <si>
    <t>较好</t>
    <phoneticPr fontId="33" type="noConversion"/>
  </si>
  <si>
    <t>较好</t>
    <phoneticPr fontId="33" type="noConversion"/>
  </si>
  <si>
    <t>六通</t>
    <phoneticPr fontId="33" type="noConversion"/>
  </si>
  <si>
    <t>多面临街</t>
  </si>
  <si>
    <t>双面临街</t>
  </si>
  <si>
    <t>单面临街</t>
  </si>
  <si>
    <t>快速路</t>
    <phoneticPr fontId="33" type="noConversion"/>
  </si>
  <si>
    <t>主干道</t>
  </si>
  <si>
    <t>主干道</t>
    <phoneticPr fontId="33" type="noConversion"/>
  </si>
  <si>
    <t>次干道</t>
  </si>
  <si>
    <t>次干道</t>
    <phoneticPr fontId="33" type="noConversion"/>
  </si>
  <si>
    <t>支路</t>
    <phoneticPr fontId="33" type="noConversion"/>
  </si>
  <si>
    <t>较规则</t>
    <phoneticPr fontId="33" type="noConversion"/>
  </si>
  <si>
    <t>三通</t>
    <phoneticPr fontId="33" type="noConversion"/>
  </si>
  <si>
    <t>七通</t>
    <phoneticPr fontId="33" type="noConversion"/>
  </si>
  <si>
    <t>五通</t>
    <phoneticPr fontId="33" type="noConversion"/>
  </si>
  <si>
    <t>四通</t>
    <phoneticPr fontId="33" type="noConversion"/>
  </si>
  <si>
    <t>楼面地价</t>
  </si>
  <si>
    <t>Ⅶ-房1</t>
  </si>
  <si>
    <t>全部缴纳</t>
  </si>
  <si>
    <t>租金</t>
  </si>
  <si>
    <t>序号</t>
    <phoneticPr fontId="257" type="noConversion"/>
  </si>
  <si>
    <t>楼层</t>
    <phoneticPr fontId="257" type="noConversion"/>
  </si>
  <si>
    <t>合同面积</t>
  </si>
  <si>
    <t>归档日期</t>
  </si>
  <si>
    <t>开始日期</t>
  </si>
  <si>
    <t>结束日期</t>
  </si>
  <si>
    <t>计租日期</t>
  </si>
  <si>
    <t>实际开业日期</t>
  </si>
  <si>
    <t>租赁期限（天）</t>
  </si>
  <si>
    <t>免租期（天）</t>
  </si>
  <si>
    <t>平均保底租金月单价</t>
  </si>
  <si>
    <t>平均物业管理费月单价</t>
  </si>
  <si>
    <t>合同末期保底租金月单价</t>
  </si>
  <si>
    <t>合同保底租金</t>
  </si>
  <si>
    <t>合同物业管理费</t>
  </si>
  <si>
    <t>合同推广服务费</t>
  </si>
  <si>
    <t>收银机租金</t>
  </si>
  <si>
    <t>1F</t>
  </si>
  <si>
    <t>2F</t>
  </si>
  <si>
    <t>3F</t>
  </si>
  <si>
    <t>4F</t>
  </si>
  <si>
    <t>5F</t>
  </si>
  <si>
    <t>6F</t>
  </si>
  <si>
    <t>B1</t>
  </si>
  <si>
    <t>-</t>
  </si>
  <si>
    <t>B1层</t>
    <phoneticPr fontId="145" type="noConversion"/>
  </si>
  <si>
    <t>面积</t>
    <phoneticPr fontId="145" type="noConversion"/>
  </si>
  <si>
    <t>个数</t>
    <phoneticPr fontId="145" type="noConversion"/>
  </si>
  <si>
    <t>总租金</t>
    <phoneticPr fontId="145" type="noConversion"/>
  </si>
  <si>
    <t>平均日租金</t>
    <phoneticPr fontId="145" type="noConversion"/>
  </si>
  <si>
    <r>
      <rPr>
        <sz val="12"/>
        <color theme="9" tint="-0.249977111117893"/>
        <rFont val="宋体"/>
        <family val="3"/>
        <charset val="134"/>
      </rPr>
      <t>房山区政通南路</t>
    </r>
    <r>
      <rPr>
        <sz val="12"/>
        <color theme="9" tint="-0.249977111117893"/>
        <rFont val="Arial"/>
        <family val="2"/>
      </rPr>
      <t>2</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号楼商业用房</t>
    </r>
    <phoneticPr fontId="8" type="noConversion"/>
  </si>
  <si>
    <t>系数比例</t>
    <phoneticPr fontId="145" type="noConversion"/>
  </si>
  <si>
    <r>
      <t>B</t>
    </r>
    <r>
      <rPr>
        <sz val="11"/>
        <color theme="1"/>
        <rFont val="宋体"/>
        <family val="3"/>
        <charset val="134"/>
        <scheme val="minor"/>
      </rPr>
      <t>1层</t>
    </r>
    <phoneticPr fontId="145" type="noConversion"/>
  </si>
  <si>
    <t>面积占比</t>
    <phoneticPr fontId="145" type="noConversion"/>
  </si>
  <si>
    <t>按租金收入计税</t>
  </si>
  <si>
    <t>房山区长阳镇FS00-LX10-0042等地块</t>
    <phoneticPr fontId="145" type="noConversion"/>
  </si>
  <si>
    <t>房山区拱辰街道FS00-LX11-0007地块</t>
    <phoneticPr fontId="145" type="noConversion"/>
  </si>
  <si>
    <t>房山区拱辰街道FS00-LX07-0097地块</t>
    <phoneticPr fontId="145" type="noConversion"/>
  </si>
  <si>
    <t>收益还原</t>
  </si>
  <si>
    <t>收益比率</t>
  </si>
  <si>
    <t>末期平均月租金</t>
    <phoneticPr fontId="145" type="noConversion"/>
  </si>
  <si>
    <t>租金</t>
    <phoneticPr fontId="145" type="noConversion"/>
  </si>
  <si>
    <t>平均月租金</t>
    <phoneticPr fontId="145" type="noConversion"/>
  </si>
  <si>
    <t>平局日租金</t>
    <phoneticPr fontId="145" type="noConversion"/>
  </si>
  <si>
    <t>正常操作</t>
  </si>
  <si>
    <t>较不规则</t>
    <phoneticPr fontId="33" type="noConversion"/>
  </si>
  <si>
    <t>规则</t>
    <phoneticPr fontId="33" type="noConversion"/>
  </si>
  <si>
    <t>较规则</t>
    <phoneticPr fontId="33" type="noConversion"/>
  </si>
  <si>
    <t>一般规则</t>
    <phoneticPr fontId="33" type="noConversion"/>
  </si>
  <si>
    <t>较不规则</t>
    <phoneticPr fontId="33" type="noConversion"/>
  </si>
  <si>
    <t>不规则</t>
    <phoneticPr fontId="33" type="noConversion"/>
  </si>
  <si>
    <t>七通</t>
  </si>
  <si>
    <t>租金表</t>
    <phoneticPr fontId="145" type="noConversion"/>
  </si>
  <si>
    <t>月总租金</t>
    <phoneticPr fontId="145" type="noConversion"/>
  </si>
  <si>
    <t>1层</t>
    <phoneticPr fontId="145" type="noConversion"/>
  </si>
  <si>
    <t>2层</t>
    <phoneticPr fontId="145" type="noConversion"/>
  </si>
  <si>
    <t>3层</t>
    <phoneticPr fontId="145" type="noConversion"/>
  </si>
  <si>
    <t>4层</t>
    <phoneticPr fontId="145" type="noConversion"/>
  </si>
  <si>
    <t>5层</t>
    <phoneticPr fontId="145" type="noConversion"/>
  </si>
  <si>
    <t>6层</t>
    <phoneticPr fontId="145" type="noConversion"/>
  </si>
  <si>
    <t>B1层</t>
    <phoneticPr fontId="145" type="noConversion"/>
  </si>
  <si>
    <t>出租面积</t>
    <phoneticPr fontId="145" type="noConversion"/>
  </si>
  <si>
    <t>建筑面积</t>
    <phoneticPr fontId="145" type="noConversion"/>
  </si>
  <si>
    <t>可出租面积</t>
    <phoneticPr fontId="145" type="noConversion"/>
  </si>
  <si>
    <t>可出租占比</t>
    <phoneticPr fontId="145" type="noConversion"/>
  </si>
  <si>
    <t>套内租金</t>
    <phoneticPr fontId="145" type="noConversion"/>
  </si>
  <si>
    <t>建面租金</t>
    <phoneticPr fontId="145" type="noConversion"/>
  </si>
  <si>
    <t>系数</t>
    <phoneticPr fontId="145" type="noConversion"/>
  </si>
</sst>
</file>

<file path=xl/styles.xml><?xml version="1.0" encoding="utf-8"?>
<styleSheet xmlns="http://schemas.openxmlformats.org/spreadsheetml/2006/main">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9">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theme="1"/>
      <name val="微软雅黑"/>
      <family val="2"/>
      <charset val="134"/>
    </font>
    <font>
      <sz val="9"/>
      <name val="宋体"/>
      <family val="2"/>
      <charset val="134"/>
      <scheme val="minor"/>
    </font>
    <font>
      <sz val="10"/>
      <color theme="1" tint="0.34998626667073579"/>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4.9958800012207406E-2"/>
        <bgColor indexed="64"/>
      </patternFill>
    </fill>
    <fill>
      <patternFill patternType="solid">
        <fgColor rgb="FFFFC000"/>
        <bgColor indexed="64"/>
      </patternFill>
    </fill>
    <fill>
      <patternFill patternType="solid">
        <fgColor theme="2" tint="-0.249977111117893"/>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theme="0" tint="-0.14990691854609822"/>
      </left>
      <right style="thin">
        <color rgb="FFD9D9D9"/>
      </right>
      <top style="thin">
        <color theme="0" tint="-0.14990691854609822"/>
      </top>
      <bottom style="thin">
        <color rgb="FFD9D9D9"/>
      </bottom>
      <diagonal/>
    </border>
    <border>
      <left style="thin">
        <color theme="0" tint="-0.14990691854609822"/>
      </left>
      <right style="thin">
        <color theme="0" tint="-0.14990691854609822"/>
      </right>
      <top style="thin">
        <color theme="0" tint="-0.14990691854609822"/>
      </top>
      <bottom/>
      <diagonal/>
    </border>
    <border>
      <left style="thin">
        <color theme="0" tint="-0.1498764000366222"/>
      </left>
      <right style="thin">
        <color theme="0" tint="-0.1498764000366222"/>
      </right>
      <top style="thin">
        <color theme="0" tint="-0.1498764000366222"/>
      </top>
      <bottom style="thin">
        <color theme="0" tint="-0.1498764000366222"/>
      </bottom>
      <diagonal/>
    </border>
  </borders>
  <cellStyleXfs count="14">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2" fillId="0" borderId="0"/>
    <xf numFmtId="0" fontId="2" fillId="0" borderId="0">
      <alignment vertical="center"/>
    </xf>
  </cellStyleXfs>
  <cellXfs count="3372">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49" fillId="0" borderId="24" xfId="1" applyNumberFormat="1" applyFont="1" applyFill="1" applyBorder="1" applyAlignment="1" applyProtection="1">
      <alignment horizontal="center" vertical="center"/>
      <protection locked="0"/>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0" fontId="58" fillId="0" borderId="49" xfId="1" applyNumberFormat="1" applyFont="1" applyFill="1" applyBorder="1" applyAlignment="1" applyProtection="1">
      <alignment horizontal="center" vertical="center"/>
      <protection locked="0"/>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7"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vertical="center"/>
      <protection locked="0"/>
    </xf>
    <xf numFmtId="181" fontId="52" fillId="0" borderId="1" xfId="0" applyNumberFormat="1" applyFont="1" applyBorder="1" applyAlignment="1" applyProtection="1">
      <alignment vertical="center"/>
      <protection locked="0"/>
    </xf>
    <xf numFmtId="181" fontId="52" fillId="0" borderId="24"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53" xfId="0" applyFont="1" applyFill="1" applyBorder="1" applyAlignment="1" applyProtection="1">
      <alignment horizontal="center" vertical="center" wrapText="1"/>
    </xf>
    <xf numFmtId="0" fontId="55" fillId="6" borderId="34"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48"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1" fillId="0" borderId="0" xfId="0" applyFont="1">
      <alignment vertical="center"/>
    </xf>
    <xf numFmtId="0" fontId="172" fillId="0" borderId="0" xfId="12"/>
    <xf numFmtId="0" fontId="101"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7"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84" xfId="0" applyFont="1" applyFill="1" applyBorder="1" applyAlignment="1" applyProtection="1">
      <alignment horizontal="center" vertical="center"/>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1" fillId="0" borderId="0" xfId="0" applyFont="1" applyProtection="1">
      <alignment vertical="center"/>
      <protection locked="0"/>
    </xf>
    <xf numFmtId="0" fontId="214"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5" fillId="0" borderId="0" xfId="0" applyFont="1" applyAlignment="1">
      <alignment vertical="center"/>
    </xf>
    <xf numFmtId="0" fontId="141"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1" fillId="0" borderId="0" xfId="0" applyFont="1" applyFill="1" applyAlignment="1">
      <alignment vertical="center" wrapText="1"/>
    </xf>
    <xf numFmtId="0" fontId="215"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19" fillId="5" borderId="0" xfId="0" applyFont="1" applyFill="1" applyProtection="1">
      <alignment vertical="center"/>
      <protection locked="0"/>
    </xf>
    <xf numFmtId="0" fontId="106" fillId="0" borderId="0" xfId="0" applyFont="1" applyProtection="1">
      <alignment vertical="center"/>
      <protection locked="0"/>
    </xf>
    <xf numFmtId="0" fontId="215"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5"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151" xfId="0" applyFont="1" applyFill="1" applyBorder="1" applyAlignment="1" applyProtection="1">
      <alignment vertical="center" wrapText="1"/>
      <protection locked="0"/>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 xfId="0" applyFont="1" applyFill="1" applyBorder="1" applyAlignment="1" applyProtection="1">
      <alignment vertical="center"/>
      <protection locked="0"/>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0" fontId="66" fillId="7" borderId="5" xfId="0" applyFont="1" applyFill="1" applyBorder="1" applyAlignment="1" applyProtection="1">
      <alignment vertical="center" wrapText="1"/>
      <protection locked="0"/>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0" fontId="66" fillId="7" borderId="60" xfId="0" applyFont="1" applyFill="1" applyBorder="1" applyAlignment="1" applyProtection="1">
      <alignment vertical="center" wrapText="1"/>
      <protection locked="0"/>
    </xf>
    <xf numFmtId="49" fontId="66"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54" xfId="0" applyFont="1" applyFill="1" applyBorder="1" applyAlignment="1" applyProtection="1">
      <alignment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177" fontId="52" fillId="0" borderId="1" xfId="1" applyNumberFormat="1" applyFont="1" applyFill="1" applyBorder="1" applyAlignment="1" applyProtection="1">
      <alignment vertical="center"/>
      <protection locked="0" hidden="1"/>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84" fontId="128" fillId="0" borderId="5" xfId="5" applyNumberFormat="1" applyFont="1" applyFill="1" applyBorder="1" applyAlignment="1">
      <alignment horizontal="righ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3"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6" borderId="17" xfId="0" applyFont="1" applyFill="1" applyBorder="1" applyAlignment="1" applyProtection="1">
      <alignment horizontal="left" vertical="center" wrapText="1"/>
    </xf>
    <xf numFmtId="0" fontId="58" fillId="5" borderId="17" xfId="0" applyFont="1" applyFill="1" applyBorder="1" applyAlignment="1" applyProtection="1">
      <alignment horizontal="center" vertical="center" wrapText="1"/>
      <protection locked="0"/>
    </xf>
    <xf numFmtId="0" fontId="58" fillId="5" borderId="9" xfId="0" applyFont="1" applyFill="1" applyBorder="1" applyAlignment="1" applyProtection="1">
      <alignment horizontal="right" vertical="center" wrapText="1"/>
      <protection locked="0"/>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xf>
    <xf numFmtId="0" fontId="58" fillId="6" borderId="13" xfId="0" applyFont="1" applyFill="1" applyBorder="1" applyAlignment="1" applyProtection="1">
      <alignment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54" fillId="12" borderId="126" xfId="9" applyFont="1" applyFill="1" applyBorder="1" applyAlignment="1" applyProtection="1">
      <alignment vertical="center" wrapText="1"/>
    </xf>
    <xf numFmtId="0" fontId="154" fillId="12" borderId="155" xfId="9" applyFont="1" applyFill="1" applyBorder="1" applyAlignment="1" applyProtection="1">
      <alignment vertical="center" wrapText="1"/>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122" fillId="6" borderId="0" xfId="0" applyFont="1" applyFill="1" applyProtection="1">
      <alignment vertical="center"/>
      <protection locked="0"/>
    </xf>
    <xf numFmtId="0" fontId="154" fillId="12" borderId="126" xfId="9" applyFont="1" applyFill="1" applyBorder="1" applyAlignment="1" applyProtection="1">
      <alignment horizontal="center" vertical="center" wrapText="1"/>
    </xf>
    <xf numFmtId="0" fontId="147" fillId="16" borderId="0" xfId="9" applyFont="1" applyFill="1">
      <alignment vertical="center"/>
    </xf>
    <xf numFmtId="0" fontId="122" fillId="5" borderId="0" xfId="9" applyFont="1" applyFill="1">
      <alignment vertical="center"/>
    </xf>
    <xf numFmtId="0" fontId="110" fillId="16" borderId="0" xfId="9" applyFont="1" applyFill="1">
      <alignment vertical="center"/>
    </xf>
    <xf numFmtId="0" fontId="106"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10" fillId="16" borderId="122" xfId="9" applyFont="1" applyFill="1" applyBorder="1" applyAlignment="1">
      <alignment horizontal="center" vertical="center"/>
    </xf>
    <xf numFmtId="0" fontId="110" fillId="16" borderId="0" xfId="9" applyFont="1" applyFill="1" applyBorder="1" applyAlignment="1">
      <alignment horizontal="center" vertical="center"/>
    </xf>
    <xf numFmtId="0" fontId="155" fillId="16" borderId="0" xfId="9" applyFont="1" applyFill="1" applyBorder="1" applyAlignment="1" applyProtection="1">
      <alignment horizontal="center" vertical="center"/>
      <protection locked="0"/>
    </xf>
    <xf numFmtId="0" fontId="110" fillId="16" borderId="0" xfId="9" applyFont="1" applyFill="1" applyAlignment="1">
      <alignment horizontal="center" vertical="center"/>
    </xf>
    <xf numFmtId="0" fontId="107" fillId="16" borderId="0" xfId="9" applyFont="1" applyFill="1" applyAlignment="1">
      <alignment horizontal="center" vertical="center"/>
    </xf>
    <xf numFmtId="10" fontId="107" fillId="16" borderId="0" xfId="9" applyNumberFormat="1" applyFont="1" applyFill="1" applyAlignment="1">
      <alignment horizontal="center" vertical="center"/>
    </xf>
    <xf numFmtId="0" fontId="149" fillId="16" borderId="0" xfId="9" applyFont="1" applyFill="1">
      <alignment vertical="center"/>
    </xf>
    <xf numFmtId="0" fontId="154" fillId="12" borderId="126" xfId="9" applyFont="1" applyFill="1" applyBorder="1" applyAlignment="1" applyProtection="1">
      <alignment horizontal="center" vertical="center" wrapText="1"/>
    </xf>
    <xf numFmtId="0" fontId="154" fillId="12" borderId="155" xfId="9" applyFont="1" applyFill="1" applyBorder="1" applyAlignment="1" applyProtection="1">
      <alignment horizontal="center" vertical="center" wrapText="1"/>
    </xf>
    <xf numFmtId="192" fontId="128" fillId="0" borderId="1" xfId="5" applyNumberFormat="1" applyFont="1" applyFill="1" applyBorder="1" applyAlignment="1">
      <alignment horizontal="right" vertical="center"/>
    </xf>
    <xf numFmtId="0" fontId="243" fillId="0" borderId="24" xfId="0" applyFont="1" applyFill="1" applyBorder="1" applyAlignment="1" applyProtection="1">
      <alignment horizontal="left" vertical="center" wrapText="1"/>
      <protection locked="0"/>
    </xf>
    <xf numFmtId="0" fontId="82" fillId="0" borderId="1" xfId="0" applyFont="1" applyBorder="1" applyAlignment="1" applyProtection="1">
      <alignment horizontal="center" vertical="center" wrapText="1"/>
      <protection locked="0"/>
    </xf>
    <xf numFmtId="0" fontId="82" fillId="0" borderId="1" xfId="0" applyFont="1" applyBorder="1" applyAlignment="1" applyProtection="1">
      <alignment vertical="center" wrapText="1"/>
      <protection locked="0"/>
    </xf>
    <xf numFmtId="0" fontId="101" fillId="0" borderId="0" xfId="0" applyNumberFormat="1" applyFont="1">
      <alignment vertical="center"/>
    </xf>
    <xf numFmtId="0" fontId="0" fillId="0" borderId="0" xfId="0" applyNumberFormat="1">
      <alignment vertical="center"/>
    </xf>
    <xf numFmtId="49" fontId="101" fillId="0" borderId="1" xfId="0" applyNumberFormat="1" applyFont="1" applyBorder="1">
      <alignment vertical="center"/>
    </xf>
    <xf numFmtId="0" fontId="0" fillId="0" borderId="1" xfId="0" applyNumberFormat="1" applyBorder="1">
      <alignment vertical="center"/>
    </xf>
    <xf numFmtId="0" fontId="101" fillId="0" borderId="1" xfId="0" applyNumberFormat="1" applyFont="1" applyBorder="1">
      <alignment vertical="center"/>
    </xf>
    <xf numFmtId="49" fontId="101" fillId="0" borderId="1" xfId="0" applyNumberFormat="1" applyFont="1" applyFill="1" applyBorder="1">
      <alignment vertical="center"/>
    </xf>
    <xf numFmtId="0" fontId="101" fillId="0" borderId="1" xfId="0" applyNumberFormat="1" applyFont="1" applyFill="1" applyBorder="1">
      <alignment vertical="center"/>
    </xf>
    <xf numFmtId="177" fontId="82" fillId="0" borderId="1" xfId="1" applyNumberFormat="1" applyFont="1" applyFill="1" applyBorder="1" applyAlignment="1" applyProtection="1">
      <alignment vertical="center"/>
      <protection locked="0" hidden="1"/>
    </xf>
    <xf numFmtId="49" fontId="139" fillId="2" borderId="26" xfId="0" applyNumberFormat="1" applyFont="1" applyFill="1" applyBorder="1" applyAlignment="1" applyProtection="1">
      <alignment horizontal="center" vertical="center" wrapText="1"/>
      <protection locked="0"/>
    </xf>
    <xf numFmtId="0" fontId="139" fillId="2" borderId="51" xfId="0" applyNumberFormat="1" applyFont="1" applyFill="1" applyBorder="1" applyAlignment="1" applyProtection="1">
      <alignment horizontal="center" vertical="center" wrapText="1"/>
      <protection locked="0"/>
    </xf>
    <xf numFmtId="0" fontId="0" fillId="5" borderId="0" xfId="0" applyFill="1" applyAlignment="1"/>
    <xf numFmtId="49" fontId="100" fillId="2" borderId="35" xfId="0" applyNumberFormat="1" applyFont="1" applyFill="1" applyBorder="1" applyAlignment="1" applyProtection="1">
      <alignment horizontal="center" vertical="center" wrapText="1"/>
      <protection locked="0"/>
    </xf>
    <xf numFmtId="49" fontId="100" fillId="2" borderId="14" xfId="0" applyNumberFormat="1" applyFont="1" applyFill="1" applyBorder="1" applyAlignment="1" applyProtection="1">
      <alignment horizontal="center" vertical="center" wrapText="1"/>
      <protection locked="0"/>
    </xf>
    <xf numFmtId="0" fontId="100" fillId="2" borderId="41" xfId="0" applyNumberFormat="1" applyFont="1" applyFill="1" applyBorder="1" applyAlignment="1" applyProtection="1">
      <alignment horizontal="center" vertical="center" wrapText="1"/>
      <protection locked="0"/>
    </xf>
    <xf numFmtId="49" fontId="100" fillId="2" borderId="7" xfId="0" applyNumberFormat="1" applyFont="1" applyFill="1" applyBorder="1" applyAlignment="1" applyProtection="1">
      <alignment horizontal="center" vertical="center" wrapText="1"/>
      <protection locked="0"/>
    </xf>
    <xf numFmtId="49" fontId="100" fillId="2" borderId="41" xfId="0" applyNumberFormat="1" applyFont="1" applyFill="1" applyBorder="1" applyAlignment="1" applyProtection="1">
      <alignment horizontal="center" vertical="center" wrapText="1"/>
      <protection locked="0"/>
    </xf>
    <xf numFmtId="0" fontId="100" fillId="2" borderId="37" xfId="0" applyNumberFormat="1" applyFont="1" applyFill="1" applyBorder="1" applyAlignment="1" applyProtection="1">
      <alignment horizontal="center" vertical="center" wrapText="1"/>
      <protection locked="0"/>
    </xf>
    <xf numFmtId="0" fontId="100" fillId="2" borderId="7" xfId="0" applyNumberFormat="1" applyFont="1" applyFill="1" applyBorder="1" applyAlignment="1" applyProtection="1">
      <alignment horizontal="center" vertical="center" wrapText="1"/>
      <protection locked="0"/>
    </xf>
    <xf numFmtId="0" fontId="139" fillId="2" borderId="69" xfId="0" applyNumberFormat="1" applyFont="1" applyFill="1" applyBorder="1" applyAlignment="1" applyProtection="1">
      <alignment horizontal="center" vertical="center" wrapText="1"/>
      <protection locked="0"/>
    </xf>
    <xf numFmtId="0" fontId="139" fillId="2" borderId="60" xfId="0" applyNumberFormat="1" applyFont="1" applyFill="1" applyBorder="1" applyAlignment="1" applyProtection="1">
      <alignment horizontal="center" vertical="center" wrapText="1"/>
      <protection locked="0"/>
    </xf>
    <xf numFmtId="0" fontId="139" fillId="0" borderId="44" xfId="0" applyNumberFormat="1" applyFont="1" applyFill="1" applyBorder="1" applyAlignment="1" applyProtection="1">
      <alignment horizontal="center" vertical="center" wrapText="1"/>
      <protection locked="0"/>
    </xf>
    <xf numFmtId="49" fontId="100" fillId="2" borderId="23" xfId="0" applyNumberFormat="1" applyFont="1" applyFill="1" applyBorder="1" applyAlignment="1" applyProtection="1">
      <alignment horizontal="center" vertical="center" wrapText="1"/>
      <protection locked="0"/>
    </xf>
    <xf numFmtId="9" fontId="139" fillId="2" borderId="37" xfId="0" applyNumberFormat="1" applyFont="1" applyFill="1" applyBorder="1" applyAlignment="1" applyProtection="1">
      <alignment horizontal="center" vertical="center" wrapText="1"/>
      <protection locked="0"/>
    </xf>
    <xf numFmtId="0" fontId="0" fillId="0" borderId="0" xfId="0" applyAlignment="1">
      <alignment vertical="center"/>
    </xf>
    <xf numFmtId="0" fontId="256" fillId="0" borderId="0" xfId="13" applyFont="1" applyAlignment="1">
      <alignment vertical="center"/>
    </xf>
    <xf numFmtId="0" fontId="256" fillId="0" borderId="158" xfId="13" applyFont="1" applyBorder="1" applyAlignment="1">
      <alignment horizontal="center" vertical="center"/>
    </xf>
    <xf numFmtId="179" fontId="256" fillId="0" borderId="158" xfId="13" applyNumberFormat="1" applyFont="1" applyBorder="1" applyAlignment="1">
      <alignment horizontal="right" vertical="center"/>
    </xf>
    <xf numFmtId="197" fontId="256" fillId="0" borderId="158" xfId="13" applyNumberFormat="1" applyFont="1" applyBorder="1" applyAlignment="1">
      <alignment vertical="center"/>
    </xf>
    <xf numFmtId="0" fontId="0" fillId="0" borderId="0" xfId="13" applyFont="1" applyAlignment="1">
      <alignment horizontal="center" vertical="center"/>
    </xf>
    <xf numFmtId="179" fontId="0" fillId="0" borderId="0" xfId="13" applyNumberFormat="1" applyFont="1" applyAlignment="1">
      <alignment vertical="center"/>
    </xf>
    <xf numFmtId="14" fontId="0" fillId="0" borderId="0" xfId="13" applyNumberFormat="1" applyFont="1" applyAlignment="1">
      <alignment vertical="center"/>
    </xf>
    <xf numFmtId="0" fontId="258" fillId="5" borderId="0" xfId="13" applyFont="1" applyFill="1" applyAlignment="1">
      <alignment horizontal="center" vertical="center"/>
    </xf>
    <xf numFmtId="0" fontId="258" fillId="5" borderId="158" xfId="13" applyFont="1" applyFill="1" applyBorder="1" applyAlignment="1">
      <alignment horizontal="center" vertical="center" wrapText="1"/>
    </xf>
    <xf numFmtId="179" fontId="258" fillId="5" borderId="158" xfId="13" applyNumberFormat="1" applyFont="1" applyFill="1" applyBorder="1" applyAlignment="1">
      <alignment horizontal="right" vertical="center"/>
    </xf>
    <xf numFmtId="14" fontId="258" fillId="5" borderId="158" xfId="13" applyNumberFormat="1" applyFont="1" applyFill="1" applyBorder="1" applyAlignment="1">
      <alignment horizontal="center" vertical="center"/>
    </xf>
    <xf numFmtId="0" fontId="258" fillId="5" borderId="158" xfId="13" applyFont="1" applyFill="1" applyBorder="1" applyAlignment="1">
      <alignment horizontal="center" vertical="center"/>
    </xf>
    <xf numFmtId="197" fontId="258" fillId="5" borderId="158" xfId="13" applyNumberFormat="1" applyFont="1" applyFill="1" applyBorder="1" applyAlignment="1">
      <alignment horizontal="right" vertical="center"/>
    </xf>
    <xf numFmtId="0" fontId="258" fillId="9" borderId="0" xfId="13" applyFont="1" applyFill="1" applyAlignment="1">
      <alignment horizontal="center" vertical="center"/>
    </xf>
    <xf numFmtId="0" fontId="258" fillId="9" borderId="158" xfId="13" applyFont="1" applyFill="1" applyBorder="1" applyAlignment="1">
      <alignment horizontal="center" vertical="center" wrapText="1"/>
    </xf>
    <xf numFmtId="179" fontId="258" fillId="9" borderId="158" xfId="13" applyNumberFormat="1" applyFont="1" applyFill="1" applyBorder="1" applyAlignment="1">
      <alignment horizontal="right" vertical="center"/>
    </xf>
    <xf numFmtId="14" fontId="258" fillId="9" borderId="158" xfId="13" applyNumberFormat="1" applyFont="1" applyFill="1" applyBorder="1" applyAlignment="1">
      <alignment horizontal="center" vertical="center"/>
    </xf>
    <xf numFmtId="0" fontId="258" fillId="9" borderId="158" xfId="13" applyFont="1" applyFill="1" applyBorder="1" applyAlignment="1">
      <alignment horizontal="center" vertical="center"/>
    </xf>
    <xf numFmtId="197" fontId="258" fillId="9" borderId="158" xfId="13" applyNumberFormat="1" applyFont="1" applyFill="1" applyBorder="1" applyAlignment="1">
      <alignment horizontal="right" vertical="center"/>
    </xf>
    <xf numFmtId="0" fontId="258" fillId="18" borderId="0" xfId="13" applyFont="1" applyFill="1" applyAlignment="1">
      <alignment horizontal="center" vertical="center"/>
    </xf>
    <xf numFmtId="0" fontId="258" fillId="18" borderId="158" xfId="13" applyFont="1" applyFill="1" applyBorder="1" applyAlignment="1">
      <alignment horizontal="center" vertical="center" wrapText="1"/>
    </xf>
    <xf numFmtId="179" fontId="258" fillId="18" borderId="158" xfId="13" applyNumberFormat="1" applyFont="1" applyFill="1" applyBorder="1" applyAlignment="1">
      <alignment horizontal="right" vertical="center"/>
    </xf>
    <xf numFmtId="14" fontId="258" fillId="18" borderId="158" xfId="13" applyNumberFormat="1" applyFont="1" applyFill="1" applyBorder="1" applyAlignment="1">
      <alignment horizontal="center" vertical="center"/>
    </xf>
    <xf numFmtId="0" fontId="258" fillId="18" borderId="158" xfId="13" applyFont="1" applyFill="1" applyBorder="1" applyAlignment="1">
      <alignment horizontal="center" vertical="center"/>
    </xf>
    <xf numFmtId="197" fontId="258" fillId="18" borderId="158" xfId="13" applyNumberFormat="1" applyFont="1" applyFill="1" applyBorder="1" applyAlignment="1">
      <alignment horizontal="right" vertical="center"/>
    </xf>
    <xf numFmtId="0" fontId="258" fillId="10" borderId="0" xfId="13" applyFont="1" applyFill="1" applyAlignment="1">
      <alignment horizontal="center" vertical="center"/>
    </xf>
    <xf numFmtId="0" fontId="258" fillId="10" borderId="158" xfId="13" applyFont="1" applyFill="1" applyBorder="1" applyAlignment="1">
      <alignment horizontal="center" vertical="center" wrapText="1"/>
    </xf>
    <xf numFmtId="179" fontId="258" fillId="10" borderId="158" xfId="13" applyNumberFormat="1" applyFont="1" applyFill="1" applyBorder="1" applyAlignment="1">
      <alignment horizontal="right" vertical="center"/>
    </xf>
    <xf numFmtId="14" fontId="258" fillId="10" borderId="158" xfId="13" applyNumberFormat="1" applyFont="1" applyFill="1" applyBorder="1" applyAlignment="1">
      <alignment horizontal="center" vertical="center"/>
    </xf>
    <xf numFmtId="0" fontId="258" fillId="10" borderId="158" xfId="13" applyFont="1" applyFill="1" applyBorder="1" applyAlignment="1">
      <alignment horizontal="center" vertical="center"/>
    </xf>
    <xf numFmtId="197" fontId="258" fillId="10" borderId="158" xfId="13" applyNumberFormat="1" applyFont="1" applyFill="1" applyBorder="1" applyAlignment="1">
      <alignment horizontal="right" vertical="center"/>
    </xf>
    <xf numFmtId="0" fontId="258" fillId="14" borderId="0" xfId="13" applyFont="1" applyFill="1" applyAlignment="1">
      <alignment horizontal="center" vertical="center"/>
    </xf>
    <xf numFmtId="0" fontId="258" fillId="14" borderId="158" xfId="13" applyFont="1" applyFill="1" applyBorder="1" applyAlignment="1">
      <alignment horizontal="center" vertical="center" wrapText="1"/>
    </xf>
    <xf numFmtId="179" fontId="258" fillId="14" borderId="158" xfId="13" applyNumberFormat="1" applyFont="1" applyFill="1" applyBorder="1" applyAlignment="1">
      <alignment horizontal="right" vertical="center"/>
    </xf>
    <xf numFmtId="14" fontId="258" fillId="14" borderId="158" xfId="13" applyNumberFormat="1" applyFont="1" applyFill="1" applyBorder="1" applyAlignment="1">
      <alignment horizontal="center" vertical="center"/>
    </xf>
    <xf numFmtId="0" fontId="258" fillId="14" borderId="158" xfId="13" applyFont="1" applyFill="1" applyBorder="1" applyAlignment="1">
      <alignment horizontal="center" vertical="center"/>
    </xf>
    <xf numFmtId="197" fontId="258" fillId="14" borderId="158" xfId="13" applyNumberFormat="1" applyFont="1" applyFill="1" applyBorder="1" applyAlignment="1">
      <alignment horizontal="right" vertical="center"/>
    </xf>
    <xf numFmtId="0" fontId="258" fillId="19" borderId="0" xfId="13" applyFont="1" applyFill="1" applyAlignment="1">
      <alignment horizontal="center" vertical="center"/>
    </xf>
    <xf numFmtId="0" fontId="258" fillId="19" borderId="158" xfId="13" applyFont="1" applyFill="1" applyBorder="1" applyAlignment="1">
      <alignment horizontal="center" vertical="center" wrapText="1"/>
    </xf>
    <xf numFmtId="179" fontId="258" fillId="19" borderId="158" xfId="13" applyNumberFormat="1" applyFont="1" applyFill="1" applyBorder="1" applyAlignment="1">
      <alignment horizontal="right" vertical="center"/>
    </xf>
    <xf numFmtId="14" fontId="258" fillId="19" borderId="158" xfId="13" applyNumberFormat="1" applyFont="1" applyFill="1" applyBorder="1" applyAlignment="1">
      <alignment horizontal="center" vertical="center"/>
    </xf>
    <xf numFmtId="0" fontId="258" fillId="19" borderId="158" xfId="13" applyFont="1" applyFill="1" applyBorder="1" applyAlignment="1">
      <alignment horizontal="center" vertical="center"/>
    </xf>
    <xf numFmtId="197" fontId="258" fillId="19" borderId="158" xfId="13" applyNumberFormat="1" applyFont="1" applyFill="1" applyBorder="1" applyAlignment="1">
      <alignment horizontal="right" vertical="center"/>
    </xf>
    <xf numFmtId="14" fontId="101" fillId="0" borderId="0" xfId="13" applyNumberFormat="1" applyFont="1" applyAlignment="1">
      <alignment vertical="center"/>
    </xf>
    <xf numFmtId="0" fontId="101" fillId="0" borderId="0" xfId="13" applyNumberFormat="1" applyFont="1" applyAlignment="1">
      <alignment vertical="center"/>
    </xf>
    <xf numFmtId="0" fontId="0" fillId="0" borderId="0" xfId="13" applyNumberFormat="1" applyFont="1" applyAlignment="1">
      <alignment vertical="center"/>
    </xf>
    <xf numFmtId="0" fontId="0" fillId="0" borderId="0" xfId="0" applyNumberFormat="1" applyAlignment="1">
      <alignment vertical="center"/>
    </xf>
    <xf numFmtId="0" fontId="0" fillId="0" borderId="0" xfId="13" applyNumberFormat="1" applyFont="1" applyAlignment="1">
      <alignment horizontal="center" vertical="center"/>
    </xf>
    <xf numFmtId="0" fontId="101" fillId="0" borderId="0" xfId="0" applyFont="1" applyAlignment="1">
      <alignment vertical="center"/>
    </xf>
    <xf numFmtId="0" fontId="101" fillId="0" borderId="0" xfId="13" applyNumberFormat="1" applyFont="1" applyAlignment="1">
      <alignment horizontal="center" vertical="center"/>
    </xf>
    <xf numFmtId="0" fontId="101" fillId="5" borderId="1" xfId="0" applyNumberFormat="1" applyFont="1" applyFill="1" applyBorder="1">
      <alignment vertical="center"/>
    </xf>
    <xf numFmtId="0" fontId="0" fillId="5" borderId="1" xfId="0" applyNumberFormat="1" applyFill="1" applyBorder="1">
      <alignment vertical="center"/>
    </xf>
    <xf numFmtId="0" fontId="101" fillId="5" borderId="0" xfId="0" applyFont="1" applyFill="1" applyAlignment="1"/>
    <xf numFmtId="0" fontId="256" fillId="17" borderId="156" xfId="13" applyFont="1" applyFill="1" applyBorder="1" applyAlignment="1">
      <alignment horizontal="center" vertical="center" wrapText="1"/>
    </xf>
    <xf numFmtId="0" fontId="256" fillId="17" borderId="157" xfId="13" applyFont="1" applyFill="1" applyBorder="1" applyAlignment="1">
      <alignment horizontal="center" vertical="center" wrapText="1"/>
    </xf>
    <xf numFmtId="197" fontId="0" fillId="0" borderId="0" xfId="0" applyNumberFormat="1" applyAlignment="1">
      <alignment vertical="center"/>
    </xf>
    <xf numFmtId="0" fontId="100" fillId="0" borderId="44" xfId="0" applyNumberFormat="1" applyFont="1" applyFill="1" applyBorder="1" applyAlignment="1" applyProtection="1">
      <alignment horizontal="center" vertical="center" wrapText="1"/>
      <protection locked="0"/>
    </xf>
    <xf numFmtId="0" fontId="258" fillId="8" borderId="0" xfId="13" applyFont="1" applyFill="1" applyAlignment="1">
      <alignment horizontal="center" vertical="center"/>
    </xf>
    <xf numFmtId="0" fontId="258" fillId="8" borderId="158" xfId="13" applyFont="1" applyFill="1" applyBorder="1" applyAlignment="1">
      <alignment horizontal="center" vertical="center" wrapText="1"/>
    </xf>
    <xf numFmtId="179" fontId="258" fillId="8" borderId="158" xfId="13" applyNumberFormat="1" applyFont="1" applyFill="1" applyBorder="1" applyAlignment="1">
      <alignment horizontal="right" vertical="center"/>
    </xf>
    <xf numFmtId="14" fontId="258" fillId="8" borderId="158" xfId="13" applyNumberFormat="1" applyFont="1" applyFill="1" applyBorder="1" applyAlignment="1">
      <alignment horizontal="center" vertical="center"/>
    </xf>
    <xf numFmtId="0" fontId="258" fillId="8" borderId="158" xfId="13" applyFont="1" applyFill="1" applyBorder="1" applyAlignment="1">
      <alignment horizontal="center" vertical="center"/>
    </xf>
    <xf numFmtId="197" fontId="258" fillId="8" borderId="158" xfId="13" applyNumberFormat="1" applyFont="1" applyFill="1" applyBorder="1" applyAlignment="1">
      <alignment horizontal="right" vertical="center"/>
    </xf>
    <xf numFmtId="179" fontId="0" fillId="0" borderId="0" xfId="0" applyNumberFormat="1" applyAlignment="1">
      <alignment vertical="center"/>
    </xf>
    <xf numFmtId="0" fontId="101" fillId="0" borderId="0" xfId="0" applyNumberFormat="1" applyFont="1" applyAlignment="1">
      <alignment vertical="center"/>
    </xf>
    <xf numFmtId="0" fontId="205"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5"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26"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10" fillId="6" borderId="1" xfId="0"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182" fontId="49" fillId="6" borderId="5"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1" fillId="6" borderId="21" xfId="0" applyFont="1" applyFill="1" applyBorder="1" applyAlignment="1" applyProtection="1">
      <alignment horizontal="center" vertical="center"/>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135" fillId="6" borderId="23" xfId="0" applyFont="1" applyFill="1" applyBorder="1" applyProtection="1">
      <alignment vertical="center"/>
    </xf>
    <xf numFmtId="0" fontId="51" fillId="6" borderId="23" xfId="0" applyFont="1" applyFill="1" applyBorder="1" applyAlignment="1" applyProtection="1">
      <alignment horizontal="lef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0" fontId="57" fillId="6" borderId="47" xfId="0" applyFont="1" applyFill="1" applyBorder="1" applyAlignment="1" applyProtection="1">
      <alignment horizontal="center" vertical="center"/>
    </xf>
    <xf numFmtId="0" fontId="52" fillId="6" borderId="23" xfId="0"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186"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186" fontId="55" fillId="6"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223" fillId="6" borderId="1" xfId="0" applyFont="1" applyFill="1" applyBorder="1" applyAlignment="1">
      <alignment horizontal="center"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21" fillId="0" borderId="1" xfId="0" applyFont="1" applyBorder="1" applyAlignment="1"/>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55"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47" fillId="0" borderId="0" xfId="9" applyFont="1" applyAlignment="1">
      <alignment horizontal="center" vertical="center"/>
    </xf>
    <xf numFmtId="0" fontId="110" fillId="0" borderId="0" xfId="9" applyFont="1" applyAlignment="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xf numFmtId="0" fontId="256" fillId="17" borderId="156" xfId="13" applyFont="1" applyFill="1" applyBorder="1" applyAlignment="1">
      <alignment horizontal="center" vertical="center" wrapText="1"/>
    </xf>
    <xf numFmtId="0" fontId="256" fillId="17" borderId="157" xfId="13" applyFont="1" applyFill="1" applyBorder="1" applyAlignment="1">
      <alignment horizontal="center" vertical="center" wrapText="1"/>
    </xf>
    <xf numFmtId="179" fontId="256" fillId="17" borderId="156" xfId="13" applyNumberFormat="1" applyFont="1" applyFill="1" applyBorder="1" applyAlignment="1">
      <alignment horizontal="center" vertical="center" wrapText="1"/>
    </xf>
    <xf numFmtId="179" fontId="256" fillId="17" borderId="157" xfId="13" applyNumberFormat="1" applyFont="1" applyFill="1" applyBorder="1" applyAlignment="1">
      <alignment horizontal="center" vertical="center" wrapText="1"/>
    </xf>
    <xf numFmtId="14" fontId="256" fillId="17" borderId="156" xfId="13" applyNumberFormat="1" applyFont="1" applyFill="1" applyBorder="1" applyAlignment="1">
      <alignment horizontal="center" vertical="center" wrapText="1"/>
    </xf>
    <xf numFmtId="14" fontId="256" fillId="17" borderId="157" xfId="13" applyNumberFormat="1" applyFont="1" applyFill="1" applyBorder="1" applyAlignment="1">
      <alignment horizontal="center" vertical="center" wrapText="1"/>
    </xf>
  </cellXfs>
  <cellStyles count="14">
    <cellStyle name="Normal" xfId="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437384</xdr:colOff>
      <xdr:row>30</xdr:row>
      <xdr:rowOff>19050</xdr:rowOff>
    </xdr:to>
    <xdr:pic>
      <xdr:nvPicPr>
        <xdr:cNvPr id="113665" name="Picture 1"/>
        <xdr:cNvPicPr>
          <a:picLocks noChangeAspect="1" noChangeArrowheads="1"/>
        </xdr:cNvPicPr>
      </xdr:nvPicPr>
      <xdr:blipFill>
        <a:blip xmlns:r="http://schemas.openxmlformats.org/officeDocument/2006/relationships" r:embed="rId1"/>
        <a:srcRect/>
        <a:stretch>
          <a:fillRect/>
        </a:stretch>
      </xdr:blipFill>
      <xdr:spPr bwMode="auto">
        <a:xfrm>
          <a:off x="0" y="0"/>
          <a:ext cx="5923784" cy="5162550"/>
        </a:xfrm>
        <a:prstGeom prst="rect">
          <a:avLst/>
        </a:prstGeom>
        <a:noFill/>
        <a:ln w="1">
          <a:noFill/>
          <a:miter lim="800000"/>
          <a:headEnd/>
          <a:tailEnd type="none" w="med" len="med"/>
        </a:ln>
        <a:effectLst/>
      </xdr:spPr>
    </xdr:pic>
    <xdr:clientData/>
  </xdr:twoCellAnchor>
  <xdr:twoCellAnchor editAs="oneCell">
    <xdr:from>
      <xdr:col>0</xdr:col>
      <xdr:colOff>0</xdr:colOff>
      <xdr:row>28</xdr:row>
      <xdr:rowOff>161925</xdr:rowOff>
    </xdr:from>
    <xdr:to>
      <xdr:col>13</xdr:col>
      <xdr:colOff>76200</xdr:colOff>
      <xdr:row>38</xdr:row>
      <xdr:rowOff>38100</xdr:rowOff>
    </xdr:to>
    <xdr:pic>
      <xdr:nvPicPr>
        <xdr:cNvPr id="113666" name="Picture 2"/>
        <xdr:cNvPicPr>
          <a:picLocks noChangeAspect="1" noChangeArrowheads="1"/>
        </xdr:cNvPicPr>
      </xdr:nvPicPr>
      <xdr:blipFill>
        <a:blip xmlns:r="http://schemas.openxmlformats.org/officeDocument/2006/relationships" r:embed="rId2"/>
        <a:srcRect/>
        <a:stretch>
          <a:fillRect/>
        </a:stretch>
      </xdr:blipFill>
      <xdr:spPr bwMode="auto">
        <a:xfrm>
          <a:off x="0" y="4962525"/>
          <a:ext cx="8991600" cy="1590675"/>
        </a:xfrm>
        <a:prstGeom prst="rect">
          <a:avLst/>
        </a:prstGeom>
        <a:noFill/>
        <a:ln w="1">
          <a:noFill/>
          <a:miter lim="800000"/>
          <a:headEnd/>
          <a:tailEnd type="none" w="med" len="med"/>
        </a:ln>
        <a:effectLst/>
      </xdr:spPr>
    </xdr:pic>
    <xdr:clientData/>
  </xdr:twoCellAnchor>
  <xdr:twoCellAnchor editAs="oneCell">
    <xdr:from>
      <xdr:col>0</xdr:col>
      <xdr:colOff>0</xdr:colOff>
      <xdr:row>37</xdr:row>
      <xdr:rowOff>38100</xdr:rowOff>
    </xdr:from>
    <xdr:to>
      <xdr:col>13</xdr:col>
      <xdr:colOff>95250</xdr:colOff>
      <xdr:row>46</xdr:row>
      <xdr:rowOff>28575</xdr:rowOff>
    </xdr:to>
    <xdr:pic>
      <xdr:nvPicPr>
        <xdr:cNvPr id="113667" name="Picture 3"/>
        <xdr:cNvPicPr>
          <a:picLocks noChangeAspect="1" noChangeArrowheads="1"/>
        </xdr:cNvPicPr>
      </xdr:nvPicPr>
      <xdr:blipFill>
        <a:blip xmlns:r="http://schemas.openxmlformats.org/officeDocument/2006/relationships" r:embed="rId3"/>
        <a:srcRect/>
        <a:stretch>
          <a:fillRect/>
        </a:stretch>
      </xdr:blipFill>
      <xdr:spPr bwMode="auto">
        <a:xfrm>
          <a:off x="0" y="6381750"/>
          <a:ext cx="9010650" cy="1533525"/>
        </a:xfrm>
        <a:prstGeom prst="rect">
          <a:avLst/>
        </a:prstGeom>
        <a:noFill/>
        <a:ln w="1">
          <a:noFill/>
          <a:miter lim="800000"/>
          <a:headEnd/>
          <a:tailEnd type="none" w="med" len="med"/>
        </a:ln>
        <a:effectLst/>
      </xdr:spPr>
    </xdr:pic>
    <xdr:clientData/>
  </xdr:twoCellAnchor>
  <xdr:twoCellAnchor editAs="oneCell">
    <xdr:from>
      <xdr:col>0</xdr:col>
      <xdr:colOff>0</xdr:colOff>
      <xdr:row>45</xdr:row>
      <xdr:rowOff>123825</xdr:rowOff>
    </xdr:from>
    <xdr:to>
      <xdr:col>12</xdr:col>
      <xdr:colOff>628650</xdr:colOff>
      <xdr:row>54</xdr:row>
      <xdr:rowOff>57150</xdr:rowOff>
    </xdr:to>
    <xdr:pic>
      <xdr:nvPicPr>
        <xdr:cNvPr id="113668" name="Picture 4"/>
        <xdr:cNvPicPr>
          <a:picLocks noChangeAspect="1" noChangeArrowheads="1"/>
        </xdr:cNvPicPr>
      </xdr:nvPicPr>
      <xdr:blipFill>
        <a:blip xmlns:r="http://schemas.openxmlformats.org/officeDocument/2006/relationships" r:embed="rId4"/>
        <a:srcRect/>
        <a:stretch>
          <a:fillRect/>
        </a:stretch>
      </xdr:blipFill>
      <xdr:spPr bwMode="auto">
        <a:xfrm>
          <a:off x="0" y="7839075"/>
          <a:ext cx="8858250" cy="1476375"/>
        </a:xfrm>
        <a:prstGeom prst="rect">
          <a:avLst/>
        </a:prstGeom>
        <a:noFill/>
        <a:ln w="1">
          <a:noFill/>
          <a:miter lim="800000"/>
          <a:headEnd/>
          <a:tailEnd type="none" w="med" len="med"/>
        </a:ln>
        <a:effectLst/>
      </xdr:spPr>
    </xdr:pic>
    <xdr:clientData/>
  </xdr:twoCellAnchor>
  <xdr:twoCellAnchor editAs="oneCell">
    <xdr:from>
      <xdr:col>0</xdr:col>
      <xdr:colOff>9525</xdr:colOff>
      <xdr:row>54</xdr:row>
      <xdr:rowOff>0</xdr:rowOff>
    </xdr:from>
    <xdr:to>
      <xdr:col>12</xdr:col>
      <xdr:colOff>666750</xdr:colOff>
      <xdr:row>64</xdr:row>
      <xdr:rowOff>66675</xdr:rowOff>
    </xdr:to>
    <xdr:pic>
      <xdr:nvPicPr>
        <xdr:cNvPr id="113669" name="Picture 5"/>
        <xdr:cNvPicPr>
          <a:picLocks noChangeAspect="1" noChangeArrowheads="1"/>
        </xdr:cNvPicPr>
      </xdr:nvPicPr>
      <xdr:blipFill>
        <a:blip xmlns:r="http://schemas.openxmlformats.org/officeDocument/2006/relationships" r:embed="rId5"/>
        <a:srcRect/>
        <a:stretch>
          <a:fillRect/>
        </a:stretch>
      </xdr:blipFill>
      <xdr:spPr bwMode="auto">
        <a:xfrm>
          <a:off x="9525" y="9258300"/>
          <a:ext cx="8886825" cy="1781175"/>
        </a:xfrm>
        <a:prstGeom prst="rect">
          <a:avLst/>
        </a:prstGeom>
        <a:noFill/>
        <a:ln w="1">
          <a:noFill/>
          <a:miter lim="800000"/>
          <a:headEnd/>
          <a:tailEnd type="none" w="med" len="med"/>
        </a:ln>
        <a:effectLst/>
      </xdr:spPr>
    </xdr:pic>
    <xdr:clientData/>
  </xdr:twoCellAnchor>
  <xdr:twoCellAnchor editAs="oneCell">
    <xdr:from>
      <xdr:col>0</xdr:col>
      <xdr:colOff>0</xdr:colOff>
      <xdr:row>63</xdr:row>
      <xdr:rowOff>114300</xdr:rowOff>
    </xdr:from>
    <xdr:to>
      <xdr:col>12</xdr:col>
      <xdr:colOff>676275</xdr:colOff>
      <xdr:row>72</xdr:row>
      <xdr:rowOff>152400</xdr:rowOff>
    </xdr:to>
    <xdr:pic>
      <xdr:nvPicPr>
        <xdr:cNvPr id="113670" name="Picture 6"/>
        <xdr:cNvPicPr>
          <a:picLocks noChangeAspect="1" noChangeArrowheads="1"/>
        </xdr:cNvPicPr>
      </xdr:nvPicPr>
      <xdr:blipFill>
        <a:blip xmlns:r="http://schemas.openxmlformats.org/officeDocument/2006/relationships" r:embed="rId6"/>
        <a:srcRect/>
        <a:stretch>
          <a:fillRect/>
        </a:stretch>
      </xdr:blipFill>
      <xdr:spPr bwMode="auto">
        <a:xfrm>
          <a:off x="0" y="10915650"/>
          <a:ext cx="8905875" cy="1581150"/>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13</xdr:col>
      <xdr:colOff>476250</xdr:colOff>
      <xdr:row>86</xdr:row>
      <xdr:rowOff>104775</xdr:rowOff>
    </xdr:to>
    <xdr:pic>
      <xdr:nvPicPr>
        <xdr:cNvPr id="113671" name="Picture 7"/>
        <xdr:cNvPicPr>
          <a:picLocks noChangeAspect="1" noChangeArrowheads="1"/>
        </xdr:cNvPicPr>
      </xdr:nvPicPr>
      <xdr:blipFill>
        <a:blip xmlns:r="http://schemas.openxmlformats.org/officeDocument/2006/relationships" r:embed="rId7"/>
        <a:srcRect/>
        <a:stretch>
          <a:fillRect/>
        </a:stretch>
      </xdr:blipFill>
      <xdr:spPr bwMode="auto">
        <a:xfrm>
          <a:off x="0" y="12515850"/>
          <a:ext cx="9391650" cy="2333625"/>
        </a:xfrm>
        <a:prstGeom prst="rect">
          <a:avLst/>
        </a:prstGeom>
        <a:noFill/>
        <a:ln w="1">
          <a:noFill/>
          <a:miter lim="800000"/>
          <a:headEnd/>
          <a:tailEnd type="none" w="med" len="med"/>
        </a:ln>
        <a:effectLst/>
      </xdr:spPr>
    </xdr:pic>
    <xdr:clientData/>
  </xdr:twoCellAnchor>
  <xdr:twoCellAnchor editAs="oneCell">
    <xdr:from>
      <xdr:col>0</xdr:col>
      <xdr:colOff>0</xdr:colOff>
      <xdr:row>87</xdr:row>
      <xdr:rowOff>0</xdr:rowOff>
    </xdr:from>
    <xdr:to>
      <xdr:col>13</xdr:col>
      <xdr:colOff>485775</xdr:colOff>
      <xdr:row>94</xdr:row>
      <xdr:rowOff>38100</xdr:rowOff>
    </xdr:to>
    <xdr:pic>
      <xdr:nvPicPr>
        <xdr:cNvPr id="113672" name="Picture 8"/>
        <xdr:cNvPicPr>
          <a:picLocks noChangeAspect="1" noChangeArrowheads="1"/>
        </xdr:cNvPicPr>
      </xdr:nvPicPr>
      <xdr:blipFill>
        <a:blip xmlns:r="http://schemas.openxmlformats.org/officeDocument/2006/relationships" r:embed="rId8"/>
        <a:srcRect/>
        <a:stretch>
          <a:fillRect/>
        </a:stretch>
      </xdr:blipFill>
      <xdr:spPr bwMode="auto">
        <a:xfrm>
          <a:off x="0" y="14916150"/>
          <a:ext cx="9401175" cy="1238250"/>
        </a:xfrm>
        <a:prstGeom prst="rect">
          <a:avLst/>
        </a:prstGeom>
        <a:noFill/>
        <a:ln w="1">
          <a:noFill/>
          <a:miter lim="800000"/>
          <a:headEnd/>
          <a:tailEnd type="none" w="med" len="med"/>
        </a:ln>
        <a:effectLst/>
      </xdr:spPr>
    </xdr:pic>
    <xdr:clientData/>
  </xdr:twoCellAnchor>
  <xdr:twoCellAnchor editAs="oneCell">
    <xdr:from>
      <xdr:col>0</xdr:col>
      <xdr:colOff>0</xdr:colOff>
      <xdr:row>94</xdr:row>
      <xdr:rowOff>0</xdr:rowOff>
    </xdr:from>
    <xdr:to>
      <xdr:col>14</xdr:col>
      <xdr:colOff>28575</xdr:colOff>
      <xdr:row>101</xdr:row>
      <xdr:rowOff>28575</xdr:rowOff>
    </xdr:to>
    <xdr:pic>
      <xdr:nvPicPr>
        <xdr:cNvPr id="113673" name="Picture 9"/>
        <xdr:cNvPicPr>
          <a:picLocks noChangeAspect="1" noChangeArrowheads="1"/>
        </xdr:cNvPicPr>
      </xdr:nvPicPr>
      <xdr:blipFill>
        <a:blip xmlns:r="http://schemas.openxmlformats.org/officeDocument/2006/relationships" r:embed="rId9"/>
        <a:srcRect/>
        <a:stretch>
          <a:fillRect/>
        </a:stretch>
      </xdr:blipFill>
      <xdr:spPr bwMode="auto">
        <a:xfrm>
          <a:off x="0" y="16116300"/>
          <a:ext cx="9629775" cy="1228725"/>
        </a:xfrm>
        <a:prstGeom prst="rect">
          <a:avLst/>
        </a:prstGeom>
        <a:noFill/>
        <a:ln w="1">
          <a:noFill/>
          <a:miter lim="800000"/>
          <a:headEnd/>
          <a:tailEnd type="none" w="med" len="med"/>
        </a:ln>
        <a:effectLst/>
      </xdr:spPr>
    </xdr:pic>
    <xdr:clientData/>
  </xdr:twoCellAnchor>
  <xdr:twoCellAnchor editAs="oneCell">
    <xdr:from>
      <xdr:col>0</xdr:col>
      <xdr:colOff>0</xdr:colOff>
      <xdr:row>101</xdr:row>
      <xdr:rowOff>0</xdr:rowOff>
    </xdr:from>
    <xdr:to>
      <xdr:col>13</xdr:col>
      <xdr:colOff>514350</xdr:colOff>
      <xdr:row>107</xdr:row>
      <xdr:rowOff>76200</xdr:rowOff>
    </xdr:to>
    <xdr:pic>
      <xdr:nvPicPr>
        <xdr:cNvPr id="113674" name="Picture 10"/>
        <xdr:cNvPicPr>
          <a:picLocks noChangeAspect="1" noChangeArrowheads="1"/>
        </xdr:cNvPicPr>
      </xdr:nvPicPr>
      <xdr:blipFill>
        <a:blip xmlns:r="http://schemas.openxmlformats.org/officeDocument/2006/relationships" r:embed="rId10"/>
        <a:srcRect/>
        <a:stretch>
          <a:fillRect/>
        </a:stretch>
      </xdr:blipFill>
      <xdr:spPr bwMode="auto">
        <a:xfrm>
          <a:off x="0" y="17316450"/>
          <a:ext cx="9429750" cy="11049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北京市房山区政通南路2号院1号楼商业用房房地产抵押价值预评估</v>
      </c>
    </row>
    <row r="3" spans="1:2" s="1596" customFormat="1">
      <c r="A3" s="1594" t="s">
        <v>1221</v>
      </c>
      <c r="B3" s="1595">
        <f>'预评函-封皮'!B40</f>
        <v>0</v>
      </c>
    </row>
    <row r="4" spans="1:2" s="1596" customFormat="1">
      <c r="A4" s="1594" t="s">
        <v>1222</v>
      </c>
      <c r="B4" s="1595" t="str">
        <f ca="1">'预评函-封皮'!B46</f>
        <v>吴薇（注册号：1419970001)、刘梅（注册号：1120140022)</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受贵公司委托，我公司对北京市房山区政通南路2号院1号楼商业用房房地产抵押价值进行了预评估。</v>
      </c>
    </row>
    <row r="7" spans="1:2" s="1596" customFormat="1">
      <c r="A7" s="1594" t="s">
        <v>1264</v>
      </c>
      <c r="B7" s="1595" t="str">
        <f>'预评函-1'!A7</f>
        <v>估价对象为北京市房山区政通南路2号院1号楼商业用房房地产，为所有。根据《土地面积分摊技术报告书》，估价对象（分摊）出让国有建设用地使用权面积为24498.84平方米，建筑面积为119963.53平方米。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山区政通南路2号院1号楼商业用房房地产,为开发建设的商业项目，该项目尚在开发建设中。根据《土地面积分摊技术报告书》，估价对象（分摊）出让国有建设用地使用权面积为24498.84平方米，规划建筑面积为119963.53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房山区政通南路2号院1号楼商业用房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2018年5月15日（评估专业人员实地查勘之日）</v>
      </c>
    </row>
    <row r="13" spans="1:2" s="1596" customFormat="1">
      <c r="A13" s="1594" t="s">
        <v>1227</v>
      </c>
      <c r="B13" s="1595" t="str">
        <f>'预评函-1'!A18</f>
        <v>本次估价的“房地产价值”是指在正常市场情况下，在价值时点2018年5月15日，估价对象规划用途为商业、地下车库，土地取得方式为出让，出让国有建设用地使用权剩余土地使用年限为商业33.5年、地下车库43.5年，假定未设立法定优先受偿款下的房地产市场价值。</v>
      </c>
    </row>
    <row r="14" spans="1:2" s="1596" customFormat="1">
      <c r="A14" s="1594" t="s">
        <v>1228</v>
      </c>
      <c r="B14" s="1595" t="str">
        <f>'预评函-1'!A19</f>
        <v>其中，“出让国有建设用地使用权价值”是指估价对象用途为商业、地下车库，实际开发程度为宗地红线外“六通”（即通路、通电、通讯、通上水、通下水、通热）、红线内场地平整条件下，剩余土地使用年限为商业33.5年、地下车库43.5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252494</v>
      </c>
    </row>
    <row r="21" spans="1:2" s="1596" customFormat="1">
      <c r="A21" s="1594" t="s">
        <v>1235</v>
      </c>
      <c r="B21" s="1595">
        <f ca="1">'预评函-2'!D7</f>
        <v>21048</v>
      </c>
    </row>
    <row r="22" spans="1:2" s="1596" customFormat="1">
      <c r="A22" s="1594" t="s">
        <v>1236</v>
      </c>
      <c r="B22" s="1595" t="str">
        <f ca="1">'预评函-2'!D6</f>
        <v>贰拾伍亿贰仟肆佰玖拾肆万元整</v>
      </c>
    </row>
    <row r="23" spans="1:2" s="1596" customFormat="1">
      <c r="A23" s="1594" t="s">
        <v>1287</v>
      </c>
      <c r="B23" s="1595" t="str">
        <f>'预评函-2'!B8</f>
        <v>2.估价师知悉的法定优先受偿款</v>
      </c>
    </row>
    <row r="24" spans="1:2" s="1596" customFormat="1">
      <c r="A24" s="1594" t="s">
        <v>1293</v>
      </c>
      <c r="B24" s="1595">
        <f>'预评函-2'!D8</f>
        <v>65000</v>
      </c>
    </row>
    <row r="25" spans="1:2" s="1596" customFormat="1">
      <c r="A25" s="1594" t="s">
        <v>1237</v>
      </c>
      <c r="B25" s="1595" t="str">
        <f>'预评函-2'!D9</f>
        <v>陆亿伍仟万元整</v>
      </c>
    </row>
    <row r="26" spans="1:2" s="1596" customFormat="1">
      <c r="A26" s="1594" t="s">
        <v>1238</v>
      </c>
      <c r="B26" s="1595">
        <f>'预评函-2'!D10</f>
        <v>65000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187494</v>
      </c>
    </row>
    <row r="31" spans="1:2" s="1596" customFormat="1">
      <c r="A31" s="1594" t="s">
        <v>1274</v>
      </c>
      <c r="B31" s="1595">
        <f ca="1">'预评函-2'!D15</f>
        <v>15629</v>
      </c>
    </row>
    <row r="32" spans="1:2" s="1596" customFormat="1">
      <c r="A32" s="1594" t="s">
        <v>1241</v>
      </c>
      <c r="B32" s="1595" t="str">
        <f ca="1">'预评函-2'!D14</f>
        <v>壹拾捌亿柒仟肆佰玖拾肆万元整</v>
      </c>
    </row>
    <row r="33" spans="1:2" s="1596" customFormat="1">
      <c r="A33" s="1594" t="s">
        <v>1276</v>
      </c>
      <c r="B33" s="1595" t="str">
        <f>'预评函-2'!B16</f>
        <v>4.抵押担保权已注销时的房地产抵押价值</v>
      </c>
    </row>
    <row r="34" spans="1:2" s="1596" customFormat="1">
      <c r="A34" s="1594" t="s">
        <v>1294</v>
      </c>
      <c r="B34" s="1595">
        <f ca="1">'预评函-2'!D16</f>
        <v>252494</v>
      </c>
    </row>
    <row r="35" spans="1:2" s="1596" customFormat="1">
      <c r="A35" s="1594" t="s">
        <v>1275</v>
      </c>
      <c r="B35" s="1595">
        <f ca="1">'预评函-2'!D18</f>
        <v>21048</v>
      </c>
    </row>
    <row r="36" spans="1:2" s="1596" customFormat="1">
      <c r="A36" s="1594" t="s">
        <v>1242</v>
      </c>
      <c r="B36" s="1595" t="str">
        <f ca="1">'预评函-2'!D17</f>
        <v>贰拾伍亿贰仟肆佰玖拾肆万元整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北京市房山区政通南路2号院1号楼商业用房房地产</v>
      </c>
    </row>
    <row r="42" spans="1:2" s="1596" customFormat="1">
      <c r="A42" s="1594" t="s">
        <v>1288</v>
      </c>
      <c r="B42" s="1595" t="str">
        <f>'预评函-3'!B2</f>
        <v>建筑面积</v>
      </c>
    </row>
    <row r="43" spans="1:2" s="1596" customFormat="1">
      <c r="A43" s="1594" t="s">
        <v>1289</v>
      </c>
      <c r="B43" s="1595">
        <f>'预评函-3'!B4</f>
        <v>119963.53</v>
      </c>
    </row>
    <row r="44" spans="1:2" s="1596" customFormat="1">
      <c r="A44" s="1594" t="s">
        <v>1273</v>
      </c>
      <c r="B44" s="1595" t="str">
        <f>'预评函-3'!C2</f>
        <v>(分摊)土地面积</v>
      </c>
    </row>
    <row r="45" spans="1:2" s="1596" customFormat="1">
      <c r="A45" s="1594" t="s">
        <v>1245</v>
      </c>
      <c r="B45" s="1595">
        <f>'预评函-3'!C4</f>
        <v>24498.84</v>
      </c>
    </row>
    <row r="46" spans="1:2" s="1596" customFormat="1">
      <c r="A46" s="1594" t="s">
        <v>1271</v>
      </c>
      <c r="B46" s="1595" t="str">
        <f>'预评函-3'!D2</f>
        <v>出让国有建设用地使用权价值</v>
      </c>
    </row>
    <row r="47" spans="1:2" s="1596" customFormat="1">
      <c r="A47" s="1594" t="s">
        <v>1246</v>
      </c>
      <c r="B47" s="1595">
        <f ca="1">'预评函-3'!D4</f>
        <v>150234</v>
      </c>
    </row>
    <row r="48" spans="1:2" s="1596" customFormat="1">
      <c r="A48" s="1594" t="s">
        <v>1247</v>
      </c>
      <c r="B48" s="1595">
        <f ca="1">'预评函-3'!E4</f>
        <v>12524</v>
      </c>
    </row>
    <row r="49" spans="1:2" s="1596" customFormat="1">
      <c r="A49" s="1594" t="s">
        <v>1248</v>
      </c>
      <c r="B49" s="1595" t="str">
        <f ca="1">'预评函-3'!D5</f>
        <v>壹拾伍亿零贰佰叁拾肆万元整</v>
      </c>
    </row>
    <row r="50" spans="1:2" s="1596" customFormat="1">
      <c r="A50" s="1594" t="s">
        <v>1272</v>
      </c>
      <c r="B50" s="1595" t="str">
        <f>'预评函-3'!F2</f>
        <v>在建建筑物价值</v>
      </c>
    </row>
    <row r="51" spans="1:2" s="1596" customFormat="1">
      <c r="A51" s="1594" t="s">
        <v>1249</v>
      </c>
      <c r="B51" s="1595">
        <f ca="1">'预评函-3'!F4</f>
        <v>102260</v>
      </c>
    </row>
    <row r="52" spans="1:2" s="1596" customFormat="1">
      <c r="A52" s="1594" t="s">
        <v>1250</v>
      </c>
      <c r="B52" s="1595">
        <f ca="1">'预评函-3'!G4</f>
        <v>8524</v>
      </c>
    </row>
    <row r="53" spans="1:2" s="1596" customFormat="1">
      <c r="A53" s="1594" t="s">
        <v>1278</v>
      </c>
      <c r="B53" s="1595" t="str">
        <f ca="1">'预评函-3'!F5</f>
        <v>壹拾亿贰仟贰佰陆拾万元整</v>
      </c>
    </row>
    <row r="54" spans="1:2" s="1596" customFormat="1">
      <c r="A54" s="1594" t="s">
        <v>1296</v>
      </c>
      <c r="B54" s="1595" t="str">
        <f>'预评函-3'!A8</f>
        <v>房地产抵押价值</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已设定抵押。上述抵押权设定日期为2018年3月26日，权利人为中国银行股份有限公司北京海淀支行，权利范围为，权利价值为65000。</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故，本次评估估价师知悉的法定优先受偿款为人民币65000万元整。</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刘梅</v>
      </c>
    </row>
    <row r="73" spans="1:2" s="1590" customFormat="1" ht="15" thickBot="1">
      <c r="A73" s="1597" t="s">
        <v>1263</v>
      </c>
      <c r="B73" s="1598">
        <f ca="1">'预评函-4'!B5</f>
        <v>1120140022</v>
      </c>
    </row>
    <row r="74" spans="1:2" ht="15" thickTop="1">
      <c r="A74" s="1587" t="s">
        <v>1299</v>
      </c>
      <c r="B74" s="1604"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757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政通南路2号院1号楼商业用房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8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15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84"/>
      <c r="B54" s="2025" t="s">
        <v>864</v>
      </c>
      <c r="C54" s="2022" t="s">
        <v>1281</v>
      </c>
    </row>
    <row r="55" spans="1:4">
      <c r="A55" s="3084"/>
      <c r="B55" s="2025" t="s">
        <v>865</v>
      </c>
      <c r="C55" s="2022" t="s">
        <v>1282</v>
      </c>
    </row>
    <row r="56" spans="1:4">
      <c r="A56" s="3084"/>
      <c r="B56" s="2025" t="s">
        <v>866</v>
      </c>
      <c r="C56" s="2022" t="s">
        <v>1286</v>
      </c>
    </row>
    <row r="57" spans="1:4">
      <c r="A57" s="3084"/>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D26" sqref="D2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1775</v>
      </c>
      <c r="B1" s="3085" t="str">
        <f>IF(B10="北京市","北京市",C10)&amp;F10&amp;IF(结果表!G1="在建","出让国有建设用地使用权及在建建筑物",IF(结果表!G1="土地","出让国有建设用地使用权",))&amp;B9&amp;"预评估"</f>
        <v>北京市房山区政通南路2号院1号楼商业用房房地产抵押价值预评估</v>
      </c>
      <c r="C1" s="3086"/>
      <c r="D1" s="3086"/>
      <c r="E1" s="3086"/>
      <c r="F1" s="3086"/>
      <c r="G1" s="3086"/>
      <c r="H1" s="3086"/>
      <c r="I1" s="308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北京市房山区政通南路2号院1号楼商业用房房地产抵押价值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北京市房山区政通南路2号院1号楼商业用房房地产</v>
      </c>
    </row>
    <row r="3" spans="1:19" ht="18" customHeight="1">
      <c r="A3" s="2038" t="s">
        <v>1777</v>
      </c>
      <c r="B3" s="2039">
        <v>43235</v>
      </c>
      <c r="C3" s="2040" t="s">
        <v>1778</v>
      </c>
      <c r="D3" s="2039">
        <v>43235</v>
      </c>
      <c r="E3" s="2029"/>
      <c r="F3" s="2029"/>
      <c r="G3" s="2029"/>
      <c r="H3" s="2029"/>
      <c r="I3" s="2029"/>
      <c r="J3" s="2029"/>
      <c r="K3" s="2030"/>
      <c r="L3" s="2031"/>
      <c r="M3" s="2031"/>
      <c r="N3" s="2032"/>
      <c r="O3" s="2033"/>
      <c r="P3" s="2032"/>
      <c r="Q3" s="2032"/>
      <c r="R3" s="2032"/>
      <c r="S3" s="2034"/>
    </row>
    <row r="4" spans="1:19" ht="18" customHeight="1" thickBot="1">
      <c r="A4" s="2041" t="s">
        <v>1779</v>
      </c>
      <c r="B4" s="2042" t="s">
        <v>3047</v>
      </c>
      <c r="C4" s="1040">
        <f ca="1">SUMIF(注册房地产估价师,B4,估价师及机构信息!B3:B24)</f>
        <v>1419970001</v>
      </c>
      <c r="D4" s="2042" t="s">
        <v>3048</v>
      </c>
      <c r="E4" s="1041">
        <f ca="1">SUMIF(注册房地产估价师,D4,估价师及机构信息!B3:B24)</f>
        <v>1120140022</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吴薇（注册号：1419970001)、刘梅（注册号：1120140022)</v>
      </c>
      <c r="L4" s="2031"/>
      <c r="M4" s="2031"/>
      <c r="N4" s="2032"/>
      <c r="O4" s="2033"/>
      <c r="P4" s="2032"/>
      <c r="Q4" s="2032"/>
      <c r="R4" s="2032"/>
      <c r="S4" s="2034"/>
    </row>
    <row r="5" spans="1:19" ht="18" customHeight="1" thickTop="1">
      <c r="A5" s="2047" t="s">
        <v>1780</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1781</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1782</v>
      </c>
      <c r="B7" s="2056"/>
      <c r="C7" s="2053"/>
      <c r="D7" s="2054"/>
      <c r="E7" s="2037"/>
      <c r="F7" s="2045"/>
      <c r="G7" s="2045"/>
      <c r="H7" s="2045"/>
      <c r="I7" s="2045"/>
      <c r="J7" s="2045"/>
      <c r="K7" s="2057"/>
      <c r="L7" s="2031"/>
      <c r="M7" s="2031"/>
      <c r="N7" s="2032"/>
      <c r="O7" s="2033"/>
      <c r="P7" s="2032"/>
      <c r="Q7" s="2032"/>
      <c r="R7" s="2032"/>
    </row>
    <row r="8" spans="1:19" ht="18" customHeight="1">
      <c r="A8" s="2051" t="s">
        <v>1783</v>
      </c>
      <c r="B8" s="2058" t="s">
        <v>3049</v>
      </c>
      <c r="C8" s="2059"/>
      <c r="D8" s="3088" t="s">
        <v>1784</v>
      </c>
      <c r="E8" s="2060" t="s">
        <v>3051</v>
      </c>
      <c r="F8" s="2061"/>
      <c r="G8" s="2029"/>
      <c r="H8" s="2029"/>
      <c r="I8" s="2029"/>
      <c r="J8" s="2045"/>
      <c r="K8" s="2046"/>
      <c r="L8" s="2031"/>
      <c r="M8" s="2031"/>
      <c r="N8" s="2032"/>
      <c r="O8" s="2033"/>
      <c r="P8" s="2032"/>
      <c r="Q8" s="2032"/>
      <c r="R8" s="2032"/>
    </row>
    <row r="9" spans="1:19" ht="18" customHeight="1" thickBot="1">
      <c r="A9" s="2043" t="s">
        <v>1785</v>
      </c>
      <c r="B9" s="2062" t="s">
        <v>3050</v>
      </c>
      <c r="C9" s="2063"/>
      <c r="D9" s="3089"/>
      <c r="E9" s="2062" t="s">
        <v>70</v>
      </c>
      <c r="F9" s="2064"/>
      <c r="G9" s="2065"/>
      <c r="H9" s="2065"/>
      <c r="I9" s="2065"/>
      <c r="J9" s="2045"/>
      <c r="K9" s="2057"/>
      <c r="L9" s="2031"/>
      <c r="M9" s="2031"/>
      <c r="N9" s="2032"/>
      <c r="O9" s="2033"/>
      <c r="P9" s="2032"/>
      <c r="Q9" s="2032"/>
      <c r="R9" s="2032"/>
    </row>
    <row r="10" spans="1:19" ht="18" customHeight="1" thickTop="1">
      <c r="A10" s="2066" t="s">
        <v>1786</v>
      </c>
      <c r="B10" s="2067" t="s">
        <v>3052</v>
      </c>
      <c r="C10" s="2068"/>
      <c r="D10" s="2050"/>
      <c r="E10" s="2069" t="s">
        <v>1787</v>
      </c>
      <c r="F10" s="2070" t="s">
        <v>3562</v>
      </c>
      <c r="G10" s="2071"/>
      <c r="H10" s="2072"/>
      <c r="I10" s="2050"/>
      <c r="J10" s="2045"/>
      <c r="K10" s="2057"/>
      <c r="L10" s="2031"/>
      <c r="M10" s="2031"/>
      <c r="N10" s="2032"/>
      <c r="O10" s="2033"/>
      <c r="P10" s="2032"/>
      <c r="Q10" s="2032"/>
      <c r="R10" s="2032"/>
    </row>
    <row r="11" spans="1:19" ht="18" customHeight="1">
      <c r="A11" s="2073" t="s">
        <v>1788</v>
      </c>
      <c r="B11" s="2074" t="s">
        <v>3053</v>
      </c>
      <c r="C11" s="2075"/>
      <c r="D11" s="2076"/>
      <c r="E11" s="2045"/>
      <c r="F11" s="2045"/>
      <c r="G11" s="2045"/>
      <c r="H11" s="2045"/>
      <c r="I11" s="2045"/>
      <c r="J11" s="2045"/>
      <c r="K11" s="2057"/>
      <c r="L11" s="2031"/>
      <c r="M11" s="2031"/>
      <c r="N11" s="2032"/>
      <c r="O11" s="2033"/>
      <c r="P11" s="2032"/>
      <c r="Q11" s="2032"/>
      <c r="R11" s="2032"/>
    </row>
    <row r="12" spans="1:19" ht="18" customHeight="1">
      <c r="A12" s="2077" t="s">
        <v>1789</v>
      </c>
      <c r="B12" s="2074" t="s">
        <v>3054</v>
      </c>
      <c r="C12" s="2078" t="s">
        <v>1790</v>
      </c>
      <c r="D12" s="2079" t="s">
        <v>1791</v>
      </c>
      <c r="E12" s="2079" t="s">
        <v>1792</v>
      </c>
      <c r="F12" s="2079" t="s">
        <v>1793</v>
      </c>
      <c r="G12" s="2079" t="s">
        <v>1794</v>
      </c>
      <c r="H12" s="2079" t="s">
        <v>1795</v>
      </c>
      <c r="I12" s="2079" t="s">
        <v>1796</v>
      </c>
      <c r="J12" s="2045"/>
      <c r="K12" s="2057"/>
      <c r="L12" s="2031"/>
      <c r="M12" s="2031"/>
      <c r="N12" s="2032"/>
      <c r="O12" s="2033"/>
      <c r="P12" s="2032"/>
      <c r="Q12" s="2032"/>
      <c r="R12" s="2032"/>
    </row>
    <row r="13" spans="1:19" ht="18" customHeight="1">
      <c r="A13" s="2080"/>
      <c r="B13" s="2081"/>
      <c r="C13" s="2082" t="s">
        <v>1797</v>
      </c>
      <c r="D13" s="2083"/>
      <c r="E13" s="2083">
        <v>55485</v>
      </c>
      <c r="F13" s="2083"/>
      <c r="G13" s="2083">
        <v>59138</v>
      </c>
      <c r="H13" s="2083"/>
      <c r="I13" s="1050"/>
      <c r="J13" s="2045"/>
      <c r="K13" s="2057"/>
      <c r="L13" s="2031"/>
      <c r="M13" s="2031"/>
      <c r="N13" s="2032"/>
      <c r="O13" s="2033"/>
      <c r="P13" s="2032"/>
      <c r="Q13" s="2032"/>
      <c r="R13" s="2032"/>
    </row>
    <row r="14" spans="1:19" ht="18" customHeight="1">
      <c r="A14" s="2080"/>
      <c r="B14" s="2081"/>
      <c r="C14" s="2082" t="s">
        <v>1798</v>
      </c>
      <c r="D14" s="1053"/>
      <c r="E14" s="1053">
        <v>40</v>
      </c>
      <c r="F14" s="1053"/>
      <c r="G14" s="1053">
        <v>50</v>
      </c>
      <c r="H14" s="1053"/>
      <c r="I14" s="1053"/>
      <c r="J14" s="2045"/>
      <c r="K14" s="2084"/>
      <c r="L14" s="2031"/>
      <c r="M14" s="2031"/>
      <c r="N14" s="2032"/>
      <c r="O14" s="2033"/>
      <c r="P14" s="2032"/>
      <c r="Q14" s="2032"/>
      <c r="R14" s="2032"/>
    </row>
    <row r="15" spans="1:19" ht="18" customHeight="1">
      <c r="A15" s="2066"/>
      <c r="B15" s="2085"/>
      <c r="C15" s="2082" t="s">
        <v>1799</v>
      </c>
      <c r="D15" s="1052" t="str">
        <f>IF(B12="出让",IF(D13="","",ROUNDDOWN(MIN((D13-$D$3)/365,D14),2)),D14)</f>
        <v/>
      </c>
      <c r="E15" s="1052">
        <f>IF(B12="出让",IF(E13="","",ROUNDDOWN(MIN((E13-$D$3)/365,E14),2)),E14)</f>
        <v>33.56</v>
      </c>
      <c r="F15" s="1052" t="str">
        <f>IF(B12="出让",IF(F13="","",ROUNDDOWN(MIN((F13-$D$3)/365,F14),2)),F14)</f>
        <v/>
      </c>
      <c r="G15" s="1052">
        <f>IF(B12="出让",IF(G13="","",ROUNDDOWN(MIN((G13-$D$3)/365,G14),2)),G14)</f>
        <v>43.56</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1800</v>
      </c>
      <c r="B16" s="3095" t="s">
        <v>3055</v>
      </c>
      <c r="C16" s="3096"/>
      <c r="D16" s="3097"/>
      <c r="E16" s="2089" t="s">
        <v>1801</v>
      </c>
      <c r="F16" s="3098" t="s">
        <v>3056</v>
      </c>
      <c r="G16" s="3099"/>
      <c r="H16" s="3099"/>
      <c r="I16" s="3100"/>
      <c r="J16" s="2032"/>
      <c r="K16" s="2086"/>
      <c r="L16" s="2087"/>
      <c r="M16" s="2087"/>
      <c r="N16" s="2088"/>
      <c r="O16" s="2087"/>
      <c r="P16" s="2088"/>
      <c r="Q16" s="2032"/>
      <c r="R16" s="2032"/>
    </row>
    <row r="17" spans="1:22" ht="18" customHeight="1">
      <c r="A17" s="2090" t="s">
        <v>1802</v>
      </c>
      <c r="B17" s="2038" t="s">
        <v>1803</v>
      </c>
      <c r="C17" s="1057">
        <f>'数据-汇总表'!E3</f>
        <v>119963.53</v>
      </c>
      <c r="D17" s="2091" t="s">
        <v>1804</v>
      </c>
      <c r="E17" s="3101" t="s">
        <v>3057</v>
      </c>
      <c r="F17" s="3102"/>
      <c r="G17" s="3102"/>
      <c r="H17" s="3102"/>
      <c r="I17" s="3103"/>
      <c r="J17" s="2032"/>
      <c r="K17" s="2092"/>
      <c r="L17" s="2087"/>
      <c r="M17" s="2087"/>
      <c r="N17" s="2088"/>
      <c r="O17" s="2087"/>
      <c r="P17" s="2088"/>
      <c r="Q17" s="2032"/>
      <c r="R17" s="2032"/>
      <c r="S17" s="2032"/>
      <c r="T17" s="2032"/>
      <c r="U17" s="2032"/>
      <c r="V17" s="2032"/>
    </row>
    <row r="18" spans="1:22" ht="36" customHeight="1" thickBot="1">
      <c r="A18" s="2093" t="s">
        <v>1805</v>
      </c>
      <c r="B18" s="2041" t="s">
        <v>1806</v>
      </c>
      <c r="C18" s="1447">
        <f>'数据-汇总表'!D3</f>
        <v>24498.84</v>
      </c>
      <c r="D18" s="2094" t="s">
        <v>1804</v>
      </c>
      <c r="E18" s="3104" t="s">
        <v>3058</v>
      </c>
      <c r="F18" s="3105"/>
      <c r="G18" s="3105"/>
      <c r="H18" s="3105"/>
      <c r="I18" s="3106"/>
      <c r="J18" s="2032"/>
      <c r="K18" s="2092"/>
      <c r="L18" s="2087"/>
      <c r="M18" s="2087"/>
      <c r="N18" s="2088"/>
      <c r="O18" s="2087"/>
      <c r="P18" s="2088"/>
      <c r="Q18" s="2032"/>
      <c r="R18" s="2032"/>
      <c r="S18" s="2032"/>
      <c r="T18" s="2032"/>
      <c r="U18" s="2032"/>
      <c r="V18" s="2032"/>
    </row>
    <row r="19" spans="1:22" ht="37.5" customHeight="1" thickTop="1" thickBot="1">
      <c r="A19" s="373" t="s">
        <v>1807</v>
      </c>
      <c r="B19" s="352" t="s">
        <v>1808</v>
      </c>
      <c r="C19" s="2095" t="s">
        <v>3059</v>
      </c>
      <c r="D19" s="2096" t="s">
        <v>1809</v>
      </c>
      <c r="E19" s="2097" t="s">
        <v>3059</v>
      </c>
      <c r="F19" s="2098" t="str">
        <f>IF(AND(C19="是",E19="否"),"是否提供他项权证或相关说明","")</f>
        <v/>
      </c>
      <c r="G19" s="2099" t="s">
        <v>70</v>
      </c>
      <c r="H19" s="2045"/>
      <c r="I19" s="2045"/>
      <c r="J19" s="2045"/>
      <c r="K19" s="2057"/>
      <c r="L19" s="2031"/>
      <c r="M19" s="2031"/>
      <c r="N19" s="2088"/>
      <c r="O19" s="2087"/>
      <c r="P19" s="2088"/>
      <c r="Q19" s="2032"/>
      <c r="R19" s="2032"/>
      <c r="S19" s="2032"/>
      <c r="T19" s="2032"/>
      <c r="U19" s="2032"/>
      <c r="V19" s="2032"/>
    </row>
    <row r="20" spans="1:22" ht="18" customHeight="1">
      <c r="A20" s="2100" t="s">
        <v>1810</v>
      </c>
      <c r="B20" s="3091" t="s">
        <v>1811</v>
      </c>
      <c r="C20" s="3092"/>
      <c r="D20" s="3093" t="s">
        <v>1812</v>
      </c>
      <c r="E20" s="3094"/>
      <c r="F20" s="2101" t="s">
        <v>1813</v>
      </c>
      <c r="G20" s="2045"/>
      <c r="H20" s="2045"/>
      <c r="I20" s="2045"/>
      <c r="J20" s="2045"/>
      <c r="K20" s="3090" t="s">
        <v>1814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8"/>
      <c r="O20" s="2087"/>
      <c r="P20" s="2088"/>
      <c r="Q20" s="2032"/>
      <c r="R20" s="2032"/>
      <c r="S20" s="2032"/>
      <c r="T20" s="2032"/>
      <c r="U20" s="2032"/>
      <c r="V20" s="2032"/>
    </row>
    <row r="21" spans="1:22" ht="24.75" customHeight="1">
      <c r="A21" s="2100"/>
      <c r="B21" s="2102" t="s">
        <v>1815</v>
      </c>
      <c r="C21" s="2103" t="s">
        <v>3060</v>
      </c>
      <c r="D21" s="2104" t="s">
        <v>1816</v>
      </c>
      <c r="E21" s="2105" t="s">
        <v>70</v>
      </c>
      <c r="F21" s="2106"/>
      <c r="G21" s="2045"/>
      <c r="H21" s="2045"/>
      <c r="I21" s="2045"/>
      <c r="J21" s="2045"/>
      <c r="K21" s="309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上述抵押权设定日期为2018年3月26日，权利人为中国银行股份有限公司北京海淀支行，权利范围为，权利价值为65000。</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9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v>43185</v>
      </c>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949" t="s">
        <v>3061</v>
      </c>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v>65000</v>
      </c>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108" t="s">
        <v>1825</v>
      </c>
      <c r="B27" s="2066" t="s">
        <v>1826</v>
      </c>
      <c r="C27" s="2123" t="s">
        <v>3062</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108"/>
      <c r="B28" s="2038" t="s">
        <v>1827</v>
      </c>
      <c r="C28" s="2125" t="s">
        <v>3063</v>
      </c>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108"/>
      <c r="B29" s="2038" t="s">
        <v>1828</v>
      </c>
      <c r="C29" s="2128" t="s">
        <v>3064</v>
      </c>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109"/>
      <c r="B30" s="2038" t="s">
        <v>1829</v>
      </c>
      <c r="C30" s="3110"/>
      <c r="D30" s="3111"/>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112" t="s">
        <v>1830</v>
      </c>
      <c r="B31" s="2130" t="s">
        <v>3065</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113"/>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113"/>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t="s">
        <v>3066</v>
      </c>
      <c r="C34" s="2137" t="s">
        <v>3067</v>
      </c>
      <c r="D34" s="2137" t="s">
        <v>3068</v>
      </c>
      <c r="E34" s="2137" t="s">
        <v>3069</v>
      </c>
      <c r="F34" s="2137" t="s">
        <v>3070</v>
      </c>
      <c r="G34" s="2137" t="s">
        <v>3071</v>
      </c>
      <c r="H34" s="2137" t="s">
        <v>70</v>
      </c>
      <c r="I34" s="2045"/>
      <c r="J34" s="2045"/>
      <c r="K34" s="1798">
        <f>COUNTIF(B34:H34,"——")</f>
        <v>1</v>
      </c>
      <c r="L34" s="2078" t="s">
        <v>1832</v>
      </c>
      <c r="M34" s="2078" t="s">
        <v>1833</v>
      </c>
      <c r="N34" s="2078" t="s">
        <v>1834</v>
      </c>
      <c r="O34" s="2078" t="s">
        <v>1835</v>
      </c>
      <c r="P34" s="2078" t="s">
        <v>1836</v>
      </c>
      <c r="Q34" s="2078" t="s">
        <v>1837</v>
      </c>
      <c r="R34" s="2078" t="s">
        <v>1838</v>
      </c>
      <c r="S34" s="3107" t="s">
        <v>1839</v>
      </c>
      <c r="T34" s="2138" t="str">
        <f>NUMBERSTRING(7-K34,1)&amp;"通"</f>
        <v>六通</v>
      </c>
      <c r="U34" s="2032"/>
      <c r="V34" s="2032"/>
    </row>
    <row r="35" spans="1:22" ht="18" customHeight="1">
      <c r="A35" s="2139"/>
      <c r="B35" s="3114" t="s">
        <v>1840</v>
      </c>
      <c r="C35" s="3114"/>
      <c r="D35" s="3114"/>
      <c r="E35" s="3114"/>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107"/>
      <c r="T35" s="48" t="str">
        <f>IF(T34="一通",L35,IF(T34="二通",M35,IF(T34="三通",N35,IF(T34="四通",O35,IF(T34="五通",P35,IF(T34="六通",Q35,R35))))))</f>
        <v>通路、通电、通讯、通上水、通下水、通热</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t="s">
        <v>526</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t="s">
        <v>3529</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5" sqref="C25"/>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面积详情!B1</f>
        <v>24498.84</v>
      </c>
      <c r="B3" s="14">
        <f>IF(C3="否",G5-AT5,G5)</f>
        <v>119963.53</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119963.53</v>
      </c>
      <c r="H5" s="16">
        <f t="shared" ref="H5:AT5" si="0">SUM(H13:H656)</f>
        <v>119963.53</v>
      </c>
      <c r="I5" s="16">
        <f t="shared" si="0"/>
        <v>85551.93</v>
      </c>
      <c r="J5" s="16">
        <f t="shared" si="0"/>
        <v>0</v>
      </c>
      <c r="K5" s="16">
        <f t="shared" si="0"/>
        <v>18136.540000000008</v>
      </c>
      <c r="L5" s="16">
        <f t="shared" si="0"/>
        <v>0</v>
      </c>
      <c r="M5" s="16">
        <f t="shared" si="0"/>
        <v>16275.06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119963.53</v>
      </c>
      <c r="BA5" s="18">
        <f t="shared" si="1"/>
        <v>119963.53</v>
      </c>
      <c r="BB5" s="18">
        <f t="shared" si="1"/>
        <v>85551.93</v>
      </c>
      <c r="BC5" s="18">
        <f t="shared" si="1"/>
        <v>18136.540000000008</v>
      </c>
      <c r="BD5" s="18">
        <f t="shared" si="1"/>
        <v>16275.06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24498.85</v>
      </c>
      <c r="F6" s="16" t="s">
        <v>1</v>
      </c>
      <c r="G6" s="16" t="s">
        <v>2</v>
      </c>
      <c r="H6" s="20">
        <f>SUMIF(I$12:AB$12,"总值",I6:AB6)</f>
        <v>24498.85</v>
      </c>
      <c r="I6" s="16">
        <f t="shared" ref="I6:AB6" si="2">ROUND($A$3*I5/$B$3,2)</f>
        <v>17471.34</v>
      </c>
      <c r="J6" s="16">
        <f t="shared" si="2"/>
        <v>0</v>
      </c>
      <c r="K6" s="16">
        <f t="shared" si="2"/>
        <v>3703.83</v>
      </c>
      <c r="L6" s="16">
        <f t="shared" si="2"/>
        <v>0</v>
      </c>
      <c r="M6" s="16">
        <f t="shared" si="2"/>
        <v>3323.68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24498.84</v>
      </c>
      <c r="AZ6" s="16" t="s">
        <v>3</v>
      </c>
      <c r="BA6" s="16">
        <f>ROUND($AY$6*BA5/$AZ$5,2)</f>
        <v>24498.84</v>
      </c>
      <c r="BB6" s="16">
        <f>ROUND($AY$6*BB5/$AZ$5,2)</f>
        <v>17471.34</v>
      </c>
      <c r="BC6" s="16">
        <f t="shared" ref="BC6:BH6" si="4">ROUND($AY$6*BC5/$AZ$5,2)</f>
        <v>3703.83</v>
      </c>
      <c r="BD6" s="16">
        <f t="shared" si="4"/>
        <v>3323.68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3072</v>
      </c>
      <c r="J9" s="984"/>
      <c r="K9" s="2195" t="s">
        <v>3073</v>
      </c>
      <c r="L9" s="984"/>
      <c r="M9" s="2195" t="s">
        <v>3073</v>
      </c>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1377</v>
      </c>
      <c r="J10" s="984"/>
      <c r="K10" s="2201" t="s">
        <v>1377</v>
      </c>
      <c r="L10" s="984"/>
      <c r="M10" s="2201" t="s">
        <v>3445</v>
      </c>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3074</v>
      </c>
      <c r="J11" s="2207"/>
      <c r="K11" s="2206" t="s">
        <v>3074</v>
      </c>
      <c r="L11" s="2207"/>
      <c r="M11" s="2206" t="s">
        <v>3446</v>
      </c>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t="str">
        <f>M10</f>
        <v>车库—商业</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t="str">
        <f>I11</f>
        <v>独立商业</v>
      </c>
      <c r="BC12" s="2216" t="str">
        <f>K11</f>
        <v>独立商业</v>
      </c>
      <c r="BD12" s="2216" t="str">
        <f>M11</f>
        <v>车库</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50" t="s">
        <v>3441</v>
      </c>
      <c r="D13" s="2217" t="s">
        <v>3059</v>
      </c>
      <c r="E13" s="16">
        <f>IF($C$3="是",ROUND($A$3*G13/$B$3,2),ROUND($A$3*(G13-AT13)/$B$3,2))</f>
        <v>24498.84</v>
      </c>
      <c r="F13" s="32"/>
      <c r="G13" s="33">
        <f>H13+AC13+AT13</f>
        <v>119963.53</v>
      </c>
      <c r="H13" s="20">
        <f>SUMIF(I$12:AB$12,"总值",I13:AB13)</f>
        <v>119963.53</v>
      </c>
      <c r="I13" s="2218">
        <f>SUM(面积详情!I7:I12)</f>
        <v>85551.93</v>
      </c>
      <c r="J13" s="2218"/>
      <c r="K13" s="2218">
        <f>面积详情!G26-'数据-基础表'!I13</f>
        <v>18136.540000000008</v>
      </c>
      <c r="L13" s="2218"/>
      <c r="M13" s="2218">
        <f>面积详情!G25</f>
        <v>16275.06</v>
      </c>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商业</v>
      </c>
      <c r="AY13" s="1809">
        <f>ROUND($AY$6*AZ13/$AZ$5,2)</f>
        <v>24498.84</v>
      </c>
      <c r="AZ13" s="16">
        <f>BA13+BL13</f>
        <v>119963.53</v>
      </c>
      <c r="BA13" s="16">
        <f>SUM(BB13:BK13)</f>
        <v>119963.53</v>
      </c>
      <c r="BB13" s="16">
        <f>IF($D13="是",I13-J13,0)</f>
        <v>85551.93</v>
      </c>
      <c r="BC13" s="16">
        <f>IF($D13="是",K13-L13,0)</f>
        <v>18136.540000000008</v>
      </c>
      <c r="BD13" s="16">
        <f>IF($D13="是",M13-N13,0)</f>
        <v>16275.06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51"/>
      <c r="D14" s="2217" t="s">
        <v>3059</v>
      </c>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951"/>
      <c r="D15" s="2217" t="s">
        <v>3059</v>
      </c>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951"/>
      <c r="D16" s="2217" t="s">
        <v>3059</v>
      </c>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5" t="s">
        <v>0</v>
      </c>
      <c r="B1" s="3115" t="s">
        <v>4</v>
      </c>
      <c r="C1" s="3115" t="s">
        <v>5</v>
      </c>
      <c r="D1" s="3116" t="s">
        <v>53</v>
      </c>
      <c r="E1" s="3116" t="s">
        <v>54</v>
      </c>
      <c r="F1" s="3116"/>
      <c r="G1" s="3116"/>
      <c r="H1" s="3116"/>
      <c r="I1" s="3116"/>
      <c r="J1" s="3116"/>
      <c r="K1" s="3116"/>
      <c r="L1" s="3116"/>
      <c r="M1" s="3116"/>
    </row>
    <row r="2" spans="1:13" ht="27" customHeight="1">
      <c r="A2" s="3115"/>
      <c r="B2" s="3115"/>
      <c r="C2" s="3115"/>
      <c r="D2" s="3116"/>
      <c r="E2" s="3116" t="s">
        <v>37</v>
      </c>
      <c r="F2" s="3116" t="s">
        <v>38</v>
      </c>
      <c r="G2" s="3116"/>
      <c r="H2" s="3116"/>
      <c r="I2" s="3116"/>
      <c r="J2" s="3116" t="s">
        <v>39</v>
      </c>
      <c r="K2" s="3116"/>
      <c r="L2" s="3116"/>
      <c r="M2" s="3116"/>
    </row>
    <row r="3" spans="1:13" ht="28.5">
      <c r="A3" s="3115"/>
      <c r="B3" s="3115"/>
      <c r="C3" s="3115"/>
      <c r="D3" s="3116"/>
      <c r="E3" s="311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6" t="s">
        <v>55</v>
      </c>
      <c r="B9" s="3116"/>
      <c r="C9" s="31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L339"/>
  <sheetViews>
    <sheetView topLeftCell="F1" workbookViewId="0">
      <selection activeCell="H24" sqref="H24"/>
    </sheetView>
  </sheetViews>
  <sheetFormatPr defaultRowHeight="13.5"/>
  <cols>
    <col min="1" max="1" width="11.625" style="2953" customWidth="1"/>
    <col min="2" max="2" width="10.875" style="2953" customWidth="1"/>
    <col min="3" max="3" width="13.375" style="2953" customWidth="1"/>
    <col min="4" max="5" width="9" style="2953"/>
    <col min="6" max="6" width="12.125" style="2953" customWidth="1"/>
    <col min="7" max="7" width="18.25" style="2953" customWidth="1"/>
    <col min="8" max="8" width="15.75" style="2953" customWidth="1"/>
    <col min="9" max="9" width="16.875" style="2953" customWidth="1"/>
    <col min="10" max="16384" width="9" style="2953"/>
  </cols>
  <sheetData>
    <row r="1" spans="1:9">
      <c r="A1" s="2952" t="s">
        <v>3075</v>
      </c>
      <c r="B1" s="2953">
        <v>24498.84</v>
      </c>
    </row>
    <row r="2" spans="1:9">
      <c r="F2" s="2956" t="s">
        <v>3434</v>
      </c>
      <c r="G2" s="2955"/>
      <c r="H2" s="2955"/>
      <c r="I2" s="2956"/>
    </row>
    <row r="3" spans="1:9">
      <c r="F3" s="2955"/>
      <c r="G3" s="2956" t="s">
        <v>3431</v>
      </c>
      <c r="H3" s="2956" t="s">
        <v>3421</v>
      </c>
      <c r="I3" s="2956" t="s">
        <v>3430</v>
      </c>
    </row>
    <row r="4" spans="1:9">
      <c r="A4" s="2956" t="s">
        <v>3076</v>
      </c>
      <c r="B4" s="2956" t="s">
        <v>3077</v>
      </c>
      <c r="C4" s="2955">
        <v>47.62</v>
      </c>
      <c r="F4" s="2956" t="s">
        <v>3076</v>
      </c>
      <c r="G4" s="2956">
        <v>17244.13</v>
      </c>
      <c r="H4" s="2956">
        <v>12518.16</v>
      </c>
      <c r="I4" s="2956">
        <f>G4-H4</f>
        <v>4725.9700000000012</v>
      </c>
    </row>
    <row r="5" spans="1:9">
      <c r="A5" s="2955"/>
      <c r="B5" s="2956" t="s">
        <v>3078</v>
      </c>
      <c r="C5" s="2955">
        <v>47.62</v>
      </c>
      <c r="F5" s="2956" t="s">
        <v>3110</v>
      </c>
      <c r="G5" s="2956">
        <v>17106.86</v>
      </c>
      <c r="H5" s="2956">
        <v>118.42</v>
      </c>
      <c r="I5" s="2956">
        <f t="shared" ref="I5:I13" si="0">G5-H5</f>
        <v>16988.440000000002</v>
      </c>
    </row>
    <row r="6" spans="1:9">
      <c r="A6" s="2955"/>
      <c r="B6" s="2956" t="s">
        <v>3079</v>
      </c>
      <c r="C6" s="2955">
        <v>46.06</v>
      </c>
      <c r="F6" s="2956" t="s">
        <v>3415</v>
      </c>
      <c r="G6" s="2956">
        <v>15606.7</v>
      </c>
      <c r="H6" s="2956">
        <v>139.65</v>
      </c>
      <c r="I6" s="2956">
        <f t="shared" si="0"/>
        <v>15467.050000000001</v>
      </c>
    </row>
    <row r="7" spans="1:9">
      <c r="A7" s="2955"/>
      <c r="B7" s="2956" t="s">
        <v>3080</v>
      </c>
      <c r="C7" s="2955">
        <v>46.06</v>
      </c>
      <c r="F7" s="2956" t="s">
        <v>3412</v>
      </c>
      <c r="G7" s="2956">
        <v>14406.6</v>
      </c>
      <c r="H7" s="2956">
        <v>86.49</v>
      </c>
      <c r="I7" s="2956">
        <f>G7-H7</f>
        <v>14320.11</v>
      </c>
    </row>
    <row r="8" spans="1:9">
      <c r="A8" s="2955"/>
      <c r="B8" s="2956" t="s">
        <v>3081</v>
      </c>
      <c r="C8" s="2955">
        <v>46.06</v>
      </c>
      <c r="F8" s="2956" t="s">
        <v>3416</v>
      </c>
      <c r="G8" s="2956">
        <v>14588.99</v>
      </c>
      <c r="H8" s="2956"/>
      <c r="I8" s="2956">
        <f t="shared" si="0"/>
        <v>14588.99</v>
      </c>
    </row>
    <row r="9" spans="1:9">
      <c r="A9" s="2955"/>
      <c r="B9" s="2956" t="s">
        <v>3082</v>
      </c>
      <c r="C9" s="2955">
        <v>49.56</v>
      </c>
      <c r="F9" s="2956" t="s">
        <v>3417</v>
      </c>
      <c r="G9" s="2956">
        <v>14713.93</v>
      </c>
      <c r="H9" s="2956"/>
      <c r="I9" s="2956">
        <f t="shared" si="0"/>
        <v>14713.93</v>
      </c>
    </row>
    <row r="10" spans="1:9">
      <c r="A10" s="2955"/>
      <c r="B10" s="2956" t="s">
        <v>3083</v>
      </c>
      <c r="C10" s="2955">
        <v>47.62</v>
      </c>
      <c r="F10" s="2956" t="s">
        <v>3418</v>
      </c>
      <c r="G10" s="2956">
        <v>14715.7</v>
      </c>
      <c r="H10" s="2956"/>
      <c r="I10" s="2956">
        <f t="shared" si="0"/>
        <v>14715.7</v>
      </c>
    </row>
    <row r="11" spans="1:9">
      <c r="A11" s="2955"/>
      <c r="B11" s="2956" t="s">
        <v>3084</v>
      </c>
      <c r="C11" s="2955">
        <v>48.57</v>
      </c>
      <c r="F11" s="2956" t="s">
        <v>3419</v>
      </c>
      <c r="G11" s="2956">
        <v>14978.2</v>
      </c>
      <c r="H11" s="2956"/>
      <c r="I11" s="2956">
        <f t="shared" si="0"/>
        <v>14978.2</v>
      </c>
    </row>
    <row r="12" spans="1:9">
      <c r="A12" s="2955"/>
      <c r="B12" s="2956" t="s">
        <v>3085</v>
      </c>
      <c r="C12" s="2955">
        <v>48.57</v>
      </c>
      <c r="F12" s="2956" t="s">
        <v>3420</v>
      </c>
      <c r="G12" s="2956">
        <v>12235</v>
      </c>
      <c r="H12" s="2956"/>
      <c r="I12" s="2956">
        <f t="shared" si="0"/>
        <v>12235</v>
      </c>
    </row>
    <row r="13" spans="1:9">
      <c r="A13" s="2955"/>
      <c r="B13" s="2956" t="s">
        <v>3086</v>
      </c>
      <c r="C13" s="2955">
        <v>48.57</v>
      </c>
      <c r="F13" s="2956" t="s">
        <v>3422</v>
      </c>
      <c r="G13" s="2956">
        <v>378.24</v>
      </c>
      <c r="H13" s="2955"/>
      <c r="I13" s="2956">
        <f t="shared" si="0"/>
        <v>378.24</v>
      </c>
    </row>
    <row r="14" spans="1:9">
      <c r="A14" s="2955"/>
      <c r="B14" s="2956" t="s">
        <v>3087</v>
      </c>
      <c r="C14" s="2955">
        <v>48.57</v>
      </c>
      <c r="F14" s="2955"/>
      <c r="G14" s="2956">
        <f>SUM(G4:G13)</f>
        <v>135974.34999999998</v>
      </c>
      <c r="H14" s="2955">
        <f>SUM(H4:H12)</f>
        <v>12862.72</v>
      </c>
      <c r="I14" s="2955">
        <f>SUM(I4:I13)</f>
        <v>123111.63000000002</v>
      </c>
    </row>
    <row r="15" spans="1:9">
      <c r="A15" s="2955"/>
      <c r="B15" s="2956" t="s">
        <v>3088</v>
      </c>
      <c r="C15" s="2955">
        <v>48.57</v>
      </c>
    </row>
    <row r="16" spans="1:9">
      <c r="A16" s="2955"/>
      <c r="B16" s="2956" t="s">
        <v>3089</v>
      </c>
      <c r="C16" s="2955">
        <v>45.68</v>
      </c>
      <c r="F16" s="2955"/>
      <c r="G16" s="2956" t="s">
        <v>3435</v>
      </c>
      <c r="H16" s="2956" t="s">
        <v>3436</v>
      </c>
      <c r="I16" s="2956" t="s">
        <v>3437</v>
      </c>
    </row>
    <row r="17" spans="1:12">
      <c r="A17" s="2955"/>
      <c r="B17" s="2956" t="s">
        <v>3090</v>
      </c>
      <c r="C17" s="2955">
        <v>45.68</v>
      </c>
      <c r="F17" s="2954" t="s">
        <v>3423</v>
      </c>
      <c r="G17" s="2955">
        <f>C37</f>
        <v>1587.42</v>
      </c>
      <c r="H17" s="2955">
        <f>I4</f>
        <v>4725.9700000000012</v>
      </c>
      <c r="I17" s="2955">
        <f>G17-H17</f>
        <v>-3138.5500000000011</v>
      </c>
      <c r="K17" s="2952" t="s">
        <v>3440</v>
      </c>
      <c r="L17" s="2952" t="s">
        <v>3439</v>
      </c>
    </row>
    <row r="18" spans="1:12">
      <c r="A18" s="2955"/>
      <c r="B18" s="2956" t="s">
        <v>3091</v>
      </c>
      <c r="C18" s="2955">
        <v>44.69</v>
      </c>
      <c r="F18" s="2954" t="s">
        <v>3424</v>
      </c>
      <c r="G18" s="2955">
        <f>C338</f>
        <v>14687.639999999994</v>
      </c>
      <c r="H18" s="2955">
        <f>I5</f>
        <v>16988.440000000002</v>
      </c>
      <c r="I18" s="2955">
        <f t="shared" ref="I18:I21" si="1">G18-H18</f>
        <v>-2300.8000000000084</v>
      </c>
      <c r="K18" s="2953">
        <v>2434.54</v>
      </c>
      <c r="L18" s="2953">
        <v>378.24</v>
      </c>
    </row>
    <row r="19" spans="1:12">
      <c r="A19" s="2955"/>
      <c r="B19" s="2956" t="s">
        <v>3092</v>
      </c>
      <c r="C19" s="2955">
        <v>52.99</v>
      </c>
      <c r="F19" s="2954" t="s">
        <v>3425</v>
      </c>
      <c r="G19" s="2955">
        <f>C339</f>
        <v>103688.47</v>
      </c>
      <c r="H19" s="2955">
        <f>SUM(I6:I12)</f>
        <v>101018.98</v>
      </c>
      <c r="I19" s="2955">
        <f t="shared" si="1"/>
        <v>2669.4900000000052</v>
      </c>
    </row>
    <row r="20" spans="1:12">
      <c r="A20" s="2955"/>
      <c r="B20" s="2956" t="s">
        <v>3093</v>
      </c>
      <c r="C20" s="2955">
        <v>52.99</v>
      </c>
      <c r="F20" s="2957" t="s">
        <v>3439</v>
      </c>
      <c r="G20" s="2955"/>
      <c r="H20" s="2955">
        <v>378.24</v>
      </c>
      <c r="I20" s="2955">
        <f t="shared" si="1"/>
        <v>-378.24</v>
      </c>
    </row>
    <row r="21" spans="1:12">
      <c r="A21" s="2955"/>
      <c r="B21" s="2956" t="s">
        <v>3094</v>
      </c>
      <c r="C21" s="2955">
        <v>52.99</v>
      </c>
      <c r="F21" s="2954" t="s">
        <v>3429</v>
      </c>
      <c r="G21" s="2955">
        <f>SUM(G17:G19)</f>
        <v>119963.53</v>
      </c>
      <c r="H21" s="2955">
        <f>SUM(H17:H20)</f>
        <v>123111.63</v>
      </c>
      <c r="I21" s="2955">
        <f t="shared" si="1"/>
        <v>-3148.1000000000058</v>
      </c>
    </row>
    <row r="22" spans="1:12">
      <c r="A22" s="2955"/>
      <c r="B22" s="2956" t="s">
        <v>3095</v>
      </c>
      <c r="C22" s="2955">
        <v>49.07</v>
      </c>
    </row>
    <row r="23" spans="1:12">
      <c r="A23" s="2955"/>
      <c r="B23" s="2956" t="s">
        <v>3096</v>
      </c>
      <c r="C23" s="2955">
        <v>49.07</v>
      </c>
    </row>
    <row r="24" spans="1:12">
      <c r="A24" s="2955"/>
      <c r="B24" s="2956" t="s">
        <v>3097</v>
      </c>
      <c r="C24" s="2955">
        <v>49.07</v>
      </c>
      <c r="F24" s="2957" t="s">
        <v>3438</v>
      </c>
      <c r="G24" s="2955"/>
    </row>
    <row r="25" spans="1:12">
      <c r="A25" s="2955"/>
      <c r="B25" s="2956" t="s">
        <v>3098</v>
      </c>
      <c r="C25" s="2955">
        <v>49.07</v>
      </c>
      <c r="F25" s="2954" t="s">
        <v>3426</v>
      </c>
      <c r="G25" s="2955">
        <v>16275.06</v>
      </c>
    </row>
    <row r="26" spans="1:12">
      <c r="A26" s="2955"/>
      <c r="B26" s="2956" t="s">
        <v>3099</v>
      </c>
      <c r="C26" s="2955">
        <v>49.07</v>
      </c>
      <c r="F26" s="2954" t="s">
        <v>3427</v>
      </c>
      <c r="G26" s="2955">
        <v>103688.47</v>
      </c>
    </row>
    <row r="27" spans="1:12">
      <c r="A27" s="2955"/>
      <c r="B27" s="2956" t="s">
        <v>3100</v>
      </c>
      <c r="C27" s="2955">
        <v>49.07</v>
      </c>
      <c r="F27" s="2954" t="s">
        <v>3428</v>
      </c>
      <c r="G27" s="2955">
        <v>2434.54</v>
      </c>
    </row>
    <row r="28" spans="1:12">
      <c r="A28" s="2955"/>
      <c r="B28" s="2956" t="s">
        <v>3101</v>
      </c>
      <c r="C28" s="2955">
        <v>46.51</v>
      </c>
      <c r="F28" s="2954" t="s">
        <v>3429</v>
      </c>
      <c r="G28" s="2955">
        <f>SUM(G25:G27)</f>
        <v>122398.06999999999</v>
      </c>
    </row>
    <row r="29" spans="1:12">
      <c r="A29" s="2955"/>
      <c r="B29" s="2956" t="s">
        <v>3102</v>
      </c>
      <c r="C29" s="2955">
        <v>46.51</v>
      </c>
    </row>
    <row r="30" spans="1:12">
      <c r="A30" s="2955"/>
      <c r="B30" s="2956" t="s">
        <v>3103</v>
      </c>
      <c r="C30" s="2955">
        <v>46.51</v>
      </c>
      <c r="F30" s="2957" t="s">
        <v>3432</v>
      </c>
      <c r="G30" s="2956" t="s">
        <v>3443</v>
      </c>
      <c r="H30" s="2956" t="s">
        <v>3444</v>
      </c>
      <c r="I30" s="2958" t="s">
        <v>3437</v>
      </c>
    </row>
    <row r="31" spans="1:12">
      <c r="A31" s="2955"/>
      <c r="B31" s="2956" t="s">
        <v>3104</v>
      </c>
      <c r="C31" s="2955">
        <v>47.5</v>
      </c>
      <c r="F31" s="2957" t="s">
        <v>3412</v>
      </c>
      <c r="G31" s="2956">
        <f t="shared" ref="G31:G36" si="2">I7</f>
        <v>14320.11</v>
      </c>
      <c r="H31" s="2955"/>
      <c r="I31" s="2955"/>
    </row>
    <row r="32" spans="1:12">
      <c r="A32" s="2955"/>
      <c r="B32" s="2956" t="s">
        <v>3105</v>
      </c>
      <c r="C32" s="2955">
        <v>47.5</v>
      </c>
      <c r="F32" s="2957" t="s">
        <v>3416</v>
      </c>
      <c r="G32" s="2956">
        <f t="shared" si="2"/>
        <v>14588.99</v>
      </c>
      <c r="H32" s="2955"/>
      <c r="I32" s="2955"/>
    </row>
    <row r="33" spans="1:9">
      <c r="A33" s="2955"/>
      <c r="B33" s="2956" t="s">
        <v>3106</v>
      </c>
      <c r="C33" s="2955">
        <v>47.5</v>
      </c>
      <c r="F33" s="2957" t="s">
        <v>3417</v>
      </c>
      <c r="G33" s="2956">
        <f t="shared" si="2"/>
        <v>14713.93</v>
      </c>
      <c r="H33" s="2955"/>
      <c r="I33" s="2955"/>
    </row>
    <row r="34" spans="1:9">
      <c r="A34" s="2955"/>
      <c r="B34" s="2956" t="s">
        <v>3107</v>
      </c>
      <c r="C34" s="2955">
        <v>47.5</v>
      </c>
      <c r="F34" s="2957" t="s">
        <v>3418</v>
      </c>
      <c r="G34" s="2956">
        <f t="shared" si="2"/>
        <v>14715.7</v>
      </c>
      <c r="H34" s="2955"/>
      <c r="I34" s="2955"/>
    </row>
    <row r="35" spans="1:9">
      <c r="A35" s="2955"/>
      <c r="B35" s="2956" t="s">
        <v>3108</v>
      </c>
      <c r="C35" s="2955">
        <v>47.5</v>
      </c>
      <c r="F35" s="2957" t="s">
        <v>3419</v>
      </c>
      <c r="G35" s="2956">
        <f t="shared" si="2"/>
        <v>14978.2</v>
      </c>
      <c r="H35" s="2955"/>
      <c r="I35" s="2955"/>
    </row>
    <row r="36" spans="1:9">
      <c r="A36" s="2955"/>
      <c r="B36" s="2956" t="s">
        <v>3109</v>
      </c>
      <c r="C36" s="2955">
        <v>47.5</v>
      </c>
      <c r="F36" s="2957" t="s">
        <v>3420</v>
      </c>
      <c r="G36" s="2956">
        <f t="shared" si="2"/>
        <v>12235</v>
      </c>
      <c r="H36" s="2955"/>
      <c r="I36" s="2955"/>
    </row>
    <row r="37" spans="1:9">
      <c r="A37" s="3026" t="s">
        <v>3111</v>
      </c>
      <c r="B37" s="3027"/>
      <c r="C37" s="3027">
        <f>SUM(C4:C36)</f>
        <v>1587.42</v>
      </c>
      <c r="F37" s="2957" t="s">
        <v>3433</v>
      </c>
      <c r="G37" s="2958">
        <f>G26-SUM(G31:G36)</f>
        <v>18136.540000000008</v>
      </c>
      <c r="H37" s="2955">
        <f>I6</f>
        <v>15467.050000000001</v>
      </c>
      <c r="I37" s="2955">
        <f>G37-H37</f>
        <v>2669.4900000000071</v>
      </c>
    </row>
    <row r="38" spans="1:9">
      <c r="A38" s="2956" t="s">
        <v>3110</v>
      </c>
      <c r="B38" s="2956" t="s">
        <v>3112</v>
      </c>
      <c r="C38" s="2955">
        <v>48.57</v>
      </c>
    </row>
    <row r="39" spans="1:9">
      <c r="A39" s="2955"/>
      <c r="B39" s="2956" t="s">
        <v>3113</v>
      </c>
      <c r="C39" s="2955">
        <v>48.57</v>
      </c>
    </row>
    <row r="40" spans="1:9">
      <c r="A40" s="2955"/>
      <c r="B40" s="2956" t="s">
        <v>3114</v>
      </c>
      <c r="C40" s="2955">
        <v>48.57</v>
      </c>
    </row>
    <row r="41" spans="1:9">
      <c r="A41" s="2955"/>
      <c r="B41" s="2956" t="s">
        <v>3115</v>
      </c>
      <c r="C41" s="2955">
        <v>48.57</v>
      </c>
    </row>
    <row r="42" spans="1:9">
      <c r="A42" s="2955"/>
      <c r="B42" s="2956" t="s">
        <v>3116</v>
      </c>
      <c r="C42" s="2955">
        <v>48.57</v>
      </c>
    </row>
    <row r="43" spans="1:9">
      <c r="A43" s="2955"/>
      <c r="B43" s="2956" t="s">
        <v>3117</v>
      </c>
      <c r="C43" s="2955">
        <v>48.57</v>
      </c>
    </row>
    <row r="44" spans="1:9">
      <c r="A44" s="2955"/>
      <c r="B44" s="2956" t="s">
        <v>3118</v>
      </c>
      <c r="C44" s="2955">
        <v>48.57</v>
      </c>
    </row>
    <row r="45" spans="1:9">
      <c r="A45" s="2955"/>
      <c r="B45" s="2956" t="s">
        <v>3119</v>
      </c>
      <c r="C45" s="2955">
        <v>48.57</v>
      </c>
    </row>
    <row r="46" spans="1:9">
      <c r="A46" s="2955"/>
      <c r="B46" s="2956" t="s">
        <v>3120</v>
      </c>
      <c r="C46" s="2955">
        <v>48.57</v>
      </c>
    </row>
    <row r="47" spans="1:9">
      <c r="A47" s="2955"/>
      <c r="B47" s="2956" t="s">
        <v>3121</v>
      </c>
      <c r="C47" s="2955">
        <v>48.57</v>
      </c>
    </row>
    <row r="48" spans="1:9">
      <c r="A48" s="2955"/>
      <c r="B48" s="2956" t="s">
        <v>3122</v>
      </c>
      <c r="C48" s="2955">
        <v>48.57</v>
      </c>
    </row>
    <row r="49" spans="1:3">
      <c r="A49" s="2955"/>
      <c r="B49" s="2956" t="s">
        <v>3123</v>
      </c>
      <c r="C49" s="2955">
        <v>48.57</v>
      </c>
    </row>
    <row r="50" spans="1:3">
      <c r="A50" s="2955"/>
      <c r="B50" s="2956" t="s">
        <v>3124</v>
      </c>
      <c r="C50" s="2955">
        <v>48.57</v>
      </c>
    </row>
    <row r="51" spans="1:3">
      <c r="A51" s="2955"/>
      <c r="B51" s="2956" t="s">
        <v>3125</v>
      </c>
      <c r="C51" s="2955">
        <v>48.57</v>
      </c>
    </row>
    <row r="52" spans="1:3">
      <c r="A52" s="2955"/>
      <c r="B52" s="2956" t="s">
        <v>3126</v>
      </c>
      <c r="C52" s="2955">
        <v>48.57</v>
      </c>
    </row>
    <row r="53" spans="1:3">
      <c r="A53" s="2955"/>
      <c r="B53" s="2956" t="s">
        <v>3127</v>
      </c>
      <c r="C53" s="2955">
        <v>48.57</v>
      </c>
    </row>
    <row r="54" spans="1:3">
      <c r="A54" s="2955"/>
      <c r="B54" s="2956" t="s">
        <v>3128</v>
      </c>
      <c r="C54" s="2955">
        <v>48.57</v>
      </c>
    </row>
    <row r="55" spans="1:3">
      <c r="A55" s="2955"/>
      <c r="B55" s="2956" t="s">
        <v>3129</v>
      </c>
      <c r="C55" s="2955">
        <v>48.57</v>
      </c>
    </row>
    <row r="56" spans="1:3">
      <c r="A56" s="2955"/>
      <c r="B56" s="2956" t="s">
        <v>3130</v>
      </c>
      <c r="C56" s="2955">
        <v>48.57</v>
      </c>
    </row>
    <row r="57" spans="1:3">
      <c r="A57" s="2955"/>
      <c r="B57" s="2956" t="s">
        <v>3131</v>
      </c>
      <c r="C57" s="2955">
        <v>48.57</v>
      </c>
    </row>
    <row r="58" spans="1:3">
      <c r="A58" s="2955"/>
      <c r="B58" s="2956" t="s">
        <v>3132</v>
      </c>
      <c r="C58" s="2955">
        <v>49.56</v>
      </c>
    </row>
    <row r="59" spans="1:3">
      <c r="A59" s="2955"/>
      <c r="B59" s="2956" t="s">
        <v>3133</v>
      </c>
      <c r="C59" s="2955">
        <v>49.56</v>
      </c>
    </row>
    <row r="60" spans="1:3">
      <c r="A60" s="2955"/>
      <c r="B60" s="2956" t="s">
        <v>3134</v>
      </c>
      <c r="C60" s="2955">
        <v>48.57</v>
      </c>
    </row>
    <row r="61" spans="1:3">
      <c r="A61" s="2955"/>
      <c r="B61" s="2956" t="s">
        <v>3135</v>
      </c>
      <c r="C61" s="2955">
        <v>48.57</v>
      </c>
    </row>
    <row r="62" spans="1:3">
      <c r="A62" s="2955"/>
      <c r="B62" s="2956" t="s">
        <v>3136</v>
      </c>
      <c r="C62" s="2955">
        <v>48.57</v>
      </c>
    </row>
    <row r="63" spans="1:3">
      <c r="A63" s="2955"/>
      <c r="B63" s="2956" t="s">
        <v>3137</v>
      </c>
      <c r="C63" s="2955">
        <v>48.57</v>
      </c>
    </row>
    <row r="64" spans="1:3">
      <c r="A64" s="2955"/>
      <c r="B64" s="2956" t="s">
        <v>3138</v>
      </c>
      <c r="C64" s="2955">
        <v>48.57</v>
      </c>
    </row>
    <row r="65" spans="1:3">
      <c r="A65" s="2955"/>
      <c r="B65" s="2956" t="s">
        <v>3139</v>
      </c>
      <c r="C65" s="2955">
        <v>48.57</v>
      </c>
    </row>
    <row r="66" spans="1:3">
      <c r="A66" s="2955"/>
      <c r="B66" s="2956" t="s">
        <v>3140</v>
      </c>
      <c r="C66" s="2955">
        <v>48.57</v>
      </c>
    </row>
    <row r="67" spans="1:3">
      <c r="A67" s="2955"/>
      <c r="B67" s="2956" t="s">
        <v>3141</v>
      </c>
      <c r="C67" s="2955">
        <v>48.57</v>
      </c>
    </row>
    <row r="68" spans="1:3">
      <c r="A68" s="2955"/>
      <c r="B68" s="2956" t="s">
        <v>3142</v>
      </c>
      <c r="C68" s="2955">
        <v>48.57</v>
      </c>
    </row>
    <row r="69" spans="1:3">
      <c r="A69" s="2955"/>
      <c r="B69" s="2956" t="s">
        <v>3143</v>
      </c>
      <c r="C69" s="2955">
        <v>48.57</v>
      </c>
    </row>
    <row r="70" spans="1:3">
      <c r="A70" s="2955"/>
      <c r="B70" s="2956" t="s">
        <v>3144</v>
      </c>
      <c r="C70" s="2955">
        <v>48.57</v>
      </c>
    </row>
    <row r="71" spans="1:3">
      <c r="A71" s="2955"/>
      <c r="B71" s="2956" t="s">
        <v>3145</v>
      </c>
      <c r="C71" s="2955">
        <v>54.97</v>
      </c>
    </row>
    <row r="72" spans="1:3">
      <c r="A72" s="2955"/>
      <c r="B72" s="2956" t="s">
        <v>3146</v>
      </c>
      <c r="C72" s="2955">
        <v>54.97</v>
      </c>
    </row>
    <row r="73" spans="1:3">
      <c r="A73" s="2955"/>
      <c r="B73" s="2956" t="s">
        <v>3147</v>
      </c>
      <c r="C73" s="2955">
        <v>54.97</v>
      </c>
    </row>
    <row r="74" spans="1:3">
      <c r="A74" s="2955"/>
      <c r="B74" s="2956" t="s">
        <v>3148</v>
      </c>
      <c r="C74" s="2955">
        <v>48.57</v>
      </c>
    </row>
    <row r="75" spans="1:3">
      <c r="A75" s="2955"/>
      <c r="B75" s="2956" t="s">
        <v>3149</v>
      </c>
      <c r="C75" s="2955">
        <v>48.57</v>
      </c>
    </row>
    <row r="76" spans="1:3">
      <c r="A76" s="2955"/>
      <c r="B76" s="2956" t="s">
        <v>3150</v>
      </c>
      <c r="C76" s="2955">
        <v>48.57</v>
      </c>
    </row>
    <row r="77" spans="1:3">
      <c r="A77" s="2955"/>
      <c r="B77" s="2956" t="s">
        <v>3151</v>
      </c>
      <c r="C77" s="2955">
        <v>68.989999999999995</v>
      </c>
    </row>
    <row r="78" spans="1:3">
      <c r="A78" s="2955"/>
      <c r="B78" s="2956" t="s">
        <v>3152</v>
      </c>
      <c r="C78" s="2955">
        <v>52.46</v>
      </c>
    </row>
    <row r="79" spans="1:3">
      <c r="A79" s="2955"/>
      <c r="B79" s="2956" t="s">
        <v>3153</v>
      </c>
      <c r="C79" s="2955">
        <v>48.57</v>
      </c>
    </row>
    <row r="80" spans="1:3">
      <c r="A80" s="2955"/>
      <c r="B80" s="2956" t="s">
        <v>3154</v>
      </c>
      <c r="C80" s="2955">
        <v>48.57</v>
      </c>
    </row>
    <row r="81" spans="1:3">
      <c r="A81" s="2955"/>
      <c r="B81" s="2956" t="s">
        <v>3155</v>
      </c>
      <c r="C81" s="2955">
        <v>48.57</v>
      </c>
    </row>
    <row r="82" spans="1:3">
      <c r="A82" s="2955"/>
      <c r="B82" s="2956" t="s">
        <v>3156</v>
      </c>
      <c r="C82" s="2955">
        <v>94.29</v>
      </c>
    </row>
    <row r="83" spans="1:3">
      <c r="A83" s="2955"/>
      <c r="B83" s="2956" t="s">
        <v>3157</v>
      </c>
      <c r="C83" s="2955">
        <v>46.63</v>
      </c>
    </row>
    <row r="84" spans="1:3">
      <c r="A84" s="2955"/>
      <c r="B84" s="2956" t="s">
        <v>3158</v>
      </c>
      <c r="C84" s="2955">
        <v>46.63</v>
      </c>
    </row>
    <row r="85" spans="1:3">
      <c r="A85" s="2955"/>
      <c r="B85" s="2956" t="s">
        <v>3159</v>
      </c>
      <c r="C85" s="2955">
        <v>46.63</v>
      </c>
    </row>
    <row r="86" spans="1:3">
      <c r="A86" s="2955"/>
      <c r="B86" s="2956" t="s">
        <v>3160</v>
      </c>
      <c r="C86" s="2955">
        <v>46.63</v>
      </c>
    </row>
    <row r="87" spans="1:3">
      <c r="A87" s="2955"/>
      <c r="B87" s="2956" t="s">
        <v>3161</v>
      </c>
      <c r="C87" s="2955">
        <v>46.63</v>
      </c>
    </row>
    <row r="88" spans="1:3">
      <c r="A88" s="2955"/>
      <c r="B88" s="2956" t="s">
        <v>3162</v>
      </c>
      <c r="C88" s="2955">
        <v>46.63</v>
      </c>
    </row>
    <row r="89" spans="1:3">
      <c r="A89" s="2955"/>
      <c r="B89" s="2956" t="s">
        <v>3163</v>
      </c>
      <c r="C89" s="2955">
        <v>48.57</v>
      </c>
    </row>
    <row r="90" spans="1:3">
      <c r="A90" s="2955"/>
      <c r="B90" s="2956" t="s">
        <v>3164</v>
      </c>
      <c r="C90" s="2955">
        <v>48.57</v>
      </c>
    </row>
    <row r="91" spans="1:3">
      <c r="A91" s="2955"/>
      <c r="B91" s="2956" t="s">
        <v>3165</v>
      </c>
      <c r="C91" s="2955">
        <v>48.57</v>
      </c>
    </row>
    <row r="92" spans="1:3">
      <c r="A92" s="2955"/>
      <c r="B92" s="2956" t="s">
        <v>3166</v>
      </c>
      <c r="C92" s="2955">
        <v>48.57</v>
      </c>
    </row>
    <row r="93" spans="1:3">
      <c r="A93" s="2955"/>
      <c r="B93" s="2956" t="s">
        <v>3167</v>
      </c>
      <c r="C93" s="2955">
        <v>48.57</v>
      </c>
    </row>
    <row r="94" spans="1:3">
      <c r="A94" s="2955"/>
      <c r="B94" s="2956" t="s">
        <v>3168</v>
      </c>
      <c r="C94" s="2955">
        <v>48.57</v>
      </c>
    </row>
    <row r="95" spans="1:3">
      <c r="A95" s="2955"/>
      <c r="B95" s="2956" t="s">
        <v>3169</v>
      </c>
      <c r="C95" s="2955">
        <v>48.57</v>
      </c>
    </row>
    <row r="96" spans="1:3">
      <c r="A96" s="2955"/>
      <c r="B96" s="2956" t="s">
        <v>3170</v>
      </c>
      <c r="C96" s="2955">
        <v>48.57</v>
      </c>
    </row>
    <row r="97" spans="1:3">
      <c r="A97" s="2955"/>
      <c r="B97" s="2956" t="s">
        <v>3171</v>
      </c>
      <c r="C97" s="2955">
        <v>48.57</v>
      </c>
    </row>
    <row r="98" spans="1:3">
      <c r="A98" s="2955"/>
      <c r="B98" s="2956" t="s">
        <v>3172</v>
      </c>
      <c r="C98" s="2955">
        <v>47.62</v>
      </c>
    </row>
    <row r="99" spans="1:3">
      <c r="A99" s="2955"/>
      <c r="B99" s="2956" t="s">
        <v>3173</v>
      </c>
      <c r="C99" s="2955">
        <v>47.62</v>
      </c>
    </row>
    <row r="100" spans="1:3">
      <c r="A100" s="2955"/>
      <c r="B100" s="2956" t="s">
        <v>3174</v>
      </c>
      <c r="C100" s="2955">
        <v>47.62</v>
      </c>
    </row>
    <row r="101" spans="1:3">
      <c r="A101" s="2955"/>
      <c r="B101" s="2956" t="s">
        <v>3175</v>
      </c>
      <c r="C101" s="2955">
        <v>48.57</v>
      </c>
    </row>
    <row r="102" spans="1:3">
      <c r="A102" s="2955"/>
      <c r="B102" s="2956" t="s">
        <v>3176</v>
      </c>
      <c r="C102" s="2955">
        <v>48.57</v>
      </c>
    </row>
    <row r="103" spans="1:3">
      <c r="A103" s="2955"/>
      <c r="B103" s="2956" t="s">
        <v>3177</v>
      </c>
      <c r="C103" s="2955">
        <v>48.57</v>
      </c>
    </row>
    <row r="104" spans="1:3">
      <c r="A104" s="2955"/>
      <c r="B104" s="2956" t="s">
        <v>3178</v>
      </c>
      <c r="C104" s="2955">
        <v>49.56</v>
      </c>
    </row>
    <row r="105" spans="1:3">
      <c r="A105" s="2955"/>
      <c r="B105" s="2956" t="s">
        <v>3179</v>
      </c>
      <c r="C105" s="2955">
        <v>47.62</v>
      </c>
    </row>
    <row r="106" spans="1:3">
      <c r="A106" s="2955"/>
      <c r="B106" s="2956" t="s">
        <v>3180</v>
      </c>
      <c r="C106" s="2955">
        <v>47.62</v>
      </c>
    </row>
    <row r="107" spans="1:3">
      <c r="A107" s="2955"/>
      <c r="B107" s="2956" t="s">
        <v>3181</v>
      </c>
      <c r="C107" s="2955">
        <v>47.62</v>
      </c>
    </row>
    <row r="108" spans="1:3">
      <c r="A108" s="2955"/>
      <c r="B108" s="2956" t="s">
        <v>3182</v>
      </c>
      <c r="C108" s="2955">
        <v>47.62</v>
      </c>
    </row>
    <row r="109" spans="1:3">
      <c r="A109" s="2955"/>
      <c r="B109" s="2956" t="s">
        <v>3183</v>
      </c>
      <c r="C109" s="2955">
        <v>48</v>
      </c>
    </row>
    <row r="110" spans="1:3">
      <c r="A110" s="2955"/>
      <c r="B110" s="2956" t="s">
        <v>3184</v>
      </c>
      <c r="C110" s="2955">
        <v>48</v>
      </c>
    </row>
    <row r="111" spans="1:3">
      <c r="A111" s="2955"/>
      <c r="B111" s="2956" t="s">
        <v>3185</v>
      </c>
      <c r="C111" s="2955">
        <v>48</v>
      </c>
    </row>
    <row r="112" spans="1:3">
      <c r="A112" s="2955"/>
      <c r="B112" s="2956" t="s">
        <v>3186</v>
      </c>
      <c r="C112" s="2955">
        <v>49.07</v>
      </c>
    </row>
    <row r="113" spans="1:3">
      <c r="A113" s="2955"/>
      <c r="B113" s="2956" t="s">
        <v>3187</v>
      </c>
      <c r="C113" s="2955">
        <v>47.5</v>
      </c>
    </row>
    <row r="114" spans="1:3">
      <c r="A114" s="2955"/>
      <c r="B114" s="2956" t="s">
        <v>3188</v>
      </c>
      <c r="C114" s="2955">
        <v>47.5</v>
      </c>
    </row>
    <row r="115" spans="1:3">
      <c r="A115" s="2955"/>
      <c r="B115" s="2956" t="s">
        <v>3189</v>
      </c>
      <c r="C115" s="2955">
        <v>47.5</v>
      </c>
    </row>
    <row r="116" spans="1:3">
      <c r="A116" s="2955"/>
      <c r="B116" s="2956" t="s">
        <v>3190</v>
      </c>
      <c r="C116" s="2955">
        <v>49.07</v>
      </c>
    </row>
    <row r="117" spans="1:3">
      <c r="A117" s="2955"/>
      <c r="B117" s="2956" t="s">
        <v>3191</v>
      </c>
      <c r="C117" s="2955">
        <v>43.31</v>
      </c>
    </row>
    <row r="118" spans="1:3">
      <c r="A118" s="2955"/>
      <c r="B118" s="2956" t="s">
        <v>3192</v>
      </c>
      <c r="C118" s="2955">
        <v>43.31</v>
      </c>
    </row>
    <row r="119" spans="1:3">
      <c r="A119" s="2955"/>
      <c r="B119" s="2956" t="s">
        <v>3193</v>
      </c>
      <c r="C119" s="2955">
        <v>43.31</v>
      </c>
    </row>
    <row r="120" spans="1:3">
      <c r="A120" s="2955"/>
      <c r="B120" s="2956" t="s">
        <v>3194</v>
      </c>
      <c r="C120" s="2955">
        <v>46.63</v>
      </c>
    </row>
    <row r="121" spans="1:3">
      <c r="A121" s="2955"/>
      <c r="B121" s="2956" t="s">
        <v>3195</v>
      </c>
      <c r="C121" s="2955">
        <v>46.63</v>
      </c>
    </row>
    <row r="122" spans="1:3">
      <c r="A122" s="2955"/>
      <c r="B122" s="2956" t="s">
        <v>3196</v>
      </c>
      <c r="C122" s="2955">
        <v>48.57</v>
      </c>
    </row>
    <row r="123" spans="1:3">
      <c r="A123" s="2955"/>
      <c r="B123" s="2956" t="s">
        <v>3197</v>
      </c>
      <c r="C123" s="2955">
        <v>48</v>
      </c>
    </row>
    <row r="124" spans="1:3">
      <c r="A124" s="2955"/>
      <c r="B124" s="2956" t="s">
        <v>3198</v>
      </c>
      <c r="C124" s="2955">
        <v>48</v>
      </c>
    </row>
    <row r="125" spans="1:3">
      <c r="A125" s="2955"/>
      <c r="B125" s="2956" t="s">
        <v>3199</v>
      </c>
      <c r="C125" s="2955">
        <v>48</v>
      </c>
    </row>
    <row r="126" spans="1:3">
      <c r="A126" s="2955"/>
      <c r="B126" s="2956" t="s">
        <v>3200</v>
      </c>
      <c r="C126" s="2955">
        <v>48.57</v>
      </c>
    </row>
    <row r="127" spans="1:3">
      <c r="A127" s="2955"/>
      <c r="B127" s="2956" t="s">
        <v>3201</v>
      </c>
      <c r="C127" s="2955">
        <v>48.57</v>
      </c>
    </row>
    <row r="128" spans="1:3">
      <c r="A128" s="2955"/>
      <c r="B128" s="2956" t="s">
        <v>3202</v>
      </c>
      <c r="C128" s="2955">
        <v>48.57</v>
      </c>
    </row>
    <row r="129" spans="1:3">
      <c r="A129" s="2955"/>
      <c r="B129" s="2956" t="s">
        <v>3203</v>
      </c>
      <c r="C129" s="2955">
        <v>48.57</v>
      </c>
    </row>
    <row r="130" spans="1:3">
      <c r="A130" s="2955"/>
      <c r="B130" s="2956" t="s">
        <v>3204</v>
      </c>
      <c r="C130" s="2955">
        <v>48.57</v>
      </c>
    </row>
    <row r="131" spans="1:3">
      <c r="A131" s="2955"/>
      <c r="B131" s="2956" t="s">
        <v>3205</v>
      </c>
      <c r="C131" s="2955">
        <v>46.86</v>
      </c>
    </row>
    <row r="132" spans="1:3">
      <c r="A132" s="2955"/>
      <c r="B132" s="2956" t="s">
        <v>3206</v>
      </c>
      <c r="C132" s="2955">
        <v>46.86</v>
      </c>
    </row>
    <row r="133" spans="1:3">
      <c r="A133" s="2955"/>
      <c r="B133" s="2956" t="s">
        <v>3207</v>
      </c>
      <c r="C133" s="2955">
        <v>46.86</v>
      </c>
    </row>
    <row r="134" spans="1:3">
      <c r="A134" s="2955"/>
      <c r="B134" s="2956" t="s">
        <v>3208</v>
      </c>
      <c r="C134" s="2955">
        <v>46.86</v>
      </c>
    </row>
    <row r="135" spans="1:3">
      <c r="A135" s="2955"/>
      <c r="B135" s="2956" t="s">
        <v>3209</v>
      </c>
      <c r="C135" s="2955">
        <v>46.86</v>
      </c>
    </row>
    <row r="136" spans="1:3">
      <c r="A136" s="2955"/>
      <c r="B136" s="2956" t="s">
        <v>3210</v>
      </c>
      <c r="C136" s="2955">
        <v>46.86</v>
      </c>
    </row>
    <row r="137" spans="1:3">
      <c r="A137" s="2955"/>
      <c r="B137" s="2956" t="s">
        <v>3211</v>
      </c>
      <c r="C137" s="2955">
        <v>46.48</v>
      </c>
    </row>
    <row r="138" spans="1:3">
      <c r="A138" s="2955"/>
      <c r="B138" s="2956" t="s">
        <v>3212</v>
      </c>
      <c r="C138" s="2955">
        <v>46.48</v>
      </c>
    </row>
    <row r="139" spans="1:3">
      <c r="A139" s="2955"/>
      <c r="B139" s="2956" t="s">
        <v>3213</v>
      </c>
      <c r="C139" s="2955">
        <v>46.48</v>
      </c>
    </row>
    <row r="140" spans="1:3">
      <c r="A140" s="2955"/>
      <c r="B140" s="2956" t="s">
        <v>3214</v>
      </c>
      <c r="C140" s="2955">
        <v>46.48</v>
      </c>
    </row>
    <row r="141" spans="1:3">
      <c r="A141" s="2955"/>
      <c r="B141" s="2956" t="s">
        <v>3215</v>
      </c>
      <c r="C141" s="2955">
        <v>47.43</v>
      </c>
    </row>
    <row r="142" spans="1:3">
      <c r="A142" s="2955"/>
      <c r="B142" s="2956" t="s">
        <v>3216</v>
      </c>
      <c r="C142" s="2955">
        <v>47.43</v>
      </c>
    </row>
    <row r="143" spans="1:3">
      <c r="A143" s="2955"/>
      <c r="B143" s="2956" t="s">
        <v>3217</v>
      </c>
      <c r="C143" s="2955">
        <v>47.43</v>
      </c>
    </row>
    <row r="144" spans="1:3">
      <c r="A144" s="2955"/>
      <c r="B144" s="2956" t="s">
        <v>3218</v>
      </c>
      <c r="C144" s="2955">
        <v>47.43</v>
      </c>
    </row>
    <row r="145" spans="1:3">
      <c r="A145" s="2955"/>
      <c r="B145" s="2956" t="s">
        <v>3219</v>
      </c>
      <c r="C145" s="2955">
        <v>47.43</v>
      </c>
    </row>
    <row r="146" spans="1:3">
      <c r="A146" s="2955"/>
      <c r="B146" s="2956" t="s">
        <v>3220</v>
      </c>
      <c r="C146" s="2955">
        <v>47.43</v>
      </c>
    </row>
    <row r="147" spans="1:3">
      <c r="A147" s="2955"/>
      <c r="B147" s="2956" t="s">
        <v>3221</v>
      </c>
      <c r="C147" s="2955">
        <v>47.43</v>
      </c>
    </row>
    <row r="148" spans="1:3">
      <c r="A148" s="2955"/>
      <c r="B148" s="2956" t="s">
        <v>3222</v>
      </c>
      <c r="C148" s="2955">
        <v>47.43</v>
      </c>
    </row>
    <row r="149" spans="1:3">
      <c r="A149" s="2955"/>
      <c r="B149" s="2956" t="s">
        <v>3223</v>
      </c>
      <c r="C149" s="2955">
        <v>48.57</v>
      </c>
    </row>
    <row r="150" spans="1:3">
      <c r="A150" s="2955"/>
      <c r="B150" s="2956" t="s">
        <v>3224</v>
      </c>
      <c r="C150" s="2955">
        <v>48.57</v>
      </c>
    </row>
    <row r="151" spans="1:3">
      <c r="A151" s="2955"/>
      <c r="B151" s="2956" t="s">
        <v>3225</v>
      </c>
      <c r="C151" s="2955">
        <v>48.57</v>
      </c>
    </row>
    <row r="152" spans="1:3">
      <c r="A152" s="2955"/>
      <c r="B152" s="2956" t="s">
        <v>3226</v>
      </c>
      <c r="C152" s="2955">
        <v>48.11</v>
      </c>
    </row>
    <row r="153" spans="1:3">
      <c r="A153" s="2955"/>
      <c r="B153" s="2956" t="s">
        <v>3227</v>
      </c>
      <c r="C153" s="2955">
        <v>48.11</v>
      </c>
    </row>
    <row r="154" spans="1:3">
      <c r="A154" s="2955"/>
      <c r="B154" s="2956" t="s">
        <v>3228</v>
      </c>
      <c r="C154" s="2955">
        <v>48</v>
      </c>
    </row>
    <row r="155" spans="1:3">
      <c r="A155" s="2955"/>
      <c r="B155" s="2956" t="s">
        <v>3229</v>
      </c>
      <c r="C155" s="2955">
        <v>48</v>
      </c>
    </row>
    <row r="156" spans="1:3">
      <c r="A156" s="2955"/>
      <c r="B156" s="2956" t="s">
        <v>3230</v>
      </c>
      <c r="C156" s="2955">
        <v>48</v>
      </c>
    </row>
    <row r="157" spans="1:3">
      <c r="A157" s="2955"/>
      <c r="B157" s="2956" t="s">
        <v>3231</v>
      </c>
      <c r="C157" s="2955">
        <v>58.29</v>
      </c>
    </row>
    <row r="158" spans="1:3">
      <c r="A158" s="2955"/>
      <c r="B158" s="2956" t="s">
        <v>3232</v>
      </c>
      <c r="C158" s="2955">
        <v>58.29</v>
      </c>
    </row>
    <row r="159" spans="1:3">
      <c r="A159" s="2955"/>
      <c r="B159" s="2956" t="s">
        <v>3233</v>
      </c>
      <c r="C159" s="2955">
        <v>48.57</v>
      </c>
    </row>
    <row r="160" spans="1:3">
      <c r="A160" s="2955"/>
      <c r="B160" s="2956" t="s">
        <v>3234</v>
      </c>
      <c r="C160" s="2955">
        <v>48.57</v>
      </c>
    </row>
    <row r="161" spans="1:3">
      <c r="A161" s="2955"/>
      <c r="B161" s="2956" t="s">
        <v>3235</v>
      </c>
      <c r="C161" s="2955">
        <v>47.43</v>
      </c>
    </row>
    <row r="162" spans="1:3">
      <c r="A162" s="2955"/>
      <c r="B162" s="2956" t="s">
        <v>3236</v>
      </c>
      <c r="C162" s="2955">
        <v>47.43</v>
      </c>
    </row>
    <row r="163" spans="1:3">
      <c r="A163" s="2955"/>
      <c r="B163" s="2956" t="s">
        <v>3237</v>
      </c>
      <c r="C163" s="2955">
        <v>47.43</v>
      </c>
    </row>
    <row r="164" spans="1:3">
      <c r="A164" s="2955"/>
      <c r="B164" s="2956" t="s">
        <v>3238</v>
      </c>
      <c r="C164" s="2955">
        <v>47.43</v>
      </c>
    </row>
    <row r="165" spans="1:3">
      <c r="A165" s="2955"/>
      <c r="B165" s="2956" t="s">
        <v>3239</v>
      </c>
      <c r="C165" s="2955">
        <v>47.43</v>
      </c>
    </row>
    <row r="166" spans="1:3">
      <c r="A166" s="2955"/>
      <c r="B166" s="2956" t="s">
        <v>3240</v>
      </c>
      <c r="C166" s="2955">
        <v>53.68</v>
      </c>
    </row>
    <row r="167" spans="1:3">
      <c r="A167" s="2955"/>
      <c r="B167" s="2956" t="s">
        <v>3241</v>
      </c>
      <c r="C167" s="2955">
        <v>53.68</v>
      </c>
    </row>
    <row r="168" spans="1:3">
      <c r="A168" s="2955"/>
      <c r="B168" s="2956" t="s">
        <v>3242</v>
      </c>
      <c r="C168" s="2955">
        <v>53.68</v>
      </c>
    </row>
    <row r="169" spans="1:3">
      <c r="A169" s="2955"/>
      <c r="B169" s="2956" t="s">
        <v>3243</v>
      </c>
      <c r="C169" s="2955">
        <v>47.43</v>
      </c>
    </row>
    <row r="170" spans="1:3">
      <c r="A170" s="2955"/>
      <c r="B170" s="2956" t="s">
        <v>3244</v>
      </c>
      <c r="C170" s="2955">
        <v>47.43</v>
      </c>
    </row>
    <row r="171" spans="1:3">
      <c r="A171" s="2955"/>
      <c r="B171" s="2956" t="s">
        <v>3245</v>
      </c>
      <c r="C171" s="2955">
        <v>47.43</v>
      </c>
    </row>
    <row r="172" spans="1:3">
      <c r="A172" s="2955"/>
      <c r="B172" s="2956" t="s">
        <v>3246</v>
      </c>
      <c r="C172" s="2955">
        <v>48.57</v>
      </c>
    </row>
    <row r="173" spans="1:3">
      <c r="A173" s="2955"/>
      <c r="B173" s="2956" t="s">
        <v>3247</v>
      </c>
      <c r="C173" s="2955">
        <v>48.57</v>
      </c>
    </row>
    <row r="174" spans="1:3">
      <c r="A174" s="2955"/>
      <c r="B174" s="2956" t="s">
        <v>3248</v>
      </c>
      <c r="C174" s="2955">
        <v>48.57</v>
      </c>
    </row>
    <row r="175" spans="1:3">
      <c r="A175" s="2955"/>
      <c r="B175" s="2956" t="s">
        <v>3249</v>
      </c>
      <c r="C175" s="2955">
        <v>48.57</v>
      </c>
    </row>
    <row r="176" spans="1:3">
      <c r="A176" s="2955"/>
      <c r="B176" s="2956" t="s">
        <v>3250</v>
      </c>
      <c r="C176" s="2955">
        <v>48.57</v>
      </c>
    </row>
    <row r="177" spans="1:3">
      <c r="A177" s="2955"/>
      <c r="B177" s="2956" t="s">
        <v>3251</v>
      </c>
      <c r="C177" s="2955">
        <v>48.57</v>
      </c>
    </row>
    <row r="178" spans="1:3">
      <c r="A178" s="2955"/>
      <c r="B178" s="2956" t="s">
        <v>3252</v>
      </c>
      <c r="C178" s="2955">
        <v>48.3</v>
      </c>
    </row>
    <row r="179" spans="1:3">
      <c r="A179" s="2955"/>
      <c r="B179" s="2956" t="s">
        <v>3253</v>
      </c>
      <c r="C179" s="2955">
        <v>48.3</v>
      </c>
    </row>
    <row r="180" spans="1:3">
      <c r="A180" s="2955"/>
      <c r="B180" s="2956" t="s">
        <v>3254</v>
      </c>
      <c r="C180" s="2955">
        <v>48.3</v>
      </c>
    </row>
    <row r="181" spans="1:3">
      <c r="A181" s="2955"/>
      <c r="B181" s="2956" t="s">
        <v>3255</v>
      </c>
      <c r="C181" s="2955">
        <v>48.3</v>
      </c>
    </row>
    <row r="182" spans="1:3">
      <c r="A182" s="2955"/>
      <c r="B182" s="2956" t="s">
        <v>3256</v>
      </c>
      <c r="C182" s="2955">
        <v>48.3</v>
      </c>
    </row>
    <row r="183" spans="1:3">
      <c r="A183" s="2955"/>
      <c r="B183" s="2956" t="s">
        <v>3257</v>
      </c>
      <c r="C183" s="2955">
        <v>48.3</v>
      </c>
    </row>
    <row r="184" spans="1:3">
      <c r="A184" s="2955"/>
      <c r="B184" s="2956" t="s">
        <v>3258</v>
      </c>
      <c r="C184" s="2955">
        <v>48.3</v>
      </c>
    </row>
    <row r="185" spans="1:3">
      <c r="A185" s="2955"/>
      <c r="B185" s="2956" t="s">
        <v>3259</v>
      </c>
      <c r="C185" s="2955">
        <v>48.3</v>
      </c>
    </row>
    <row r="186" spans="1:3">
      <c r="A186" s="2955"/>
      <c r="B186" s="2956" t="s">
        <v>3260</v>
      </c>
      <c r="C186" s="2955">
        <v>48.3</v>
      </c>
    </row>
    <row r="187" spans="1:3">
      <c r="A187" s="2955"/>
      <c r="B187" s="2956" t="s">
        <v>3261</v>
      </c>
      <c r="C187" s="2955">
        <v>48.3</v>
      </c>
    </row>
    <row r="188" spans="1:3">
      <c r="A188" s="2955"/>
      <c r="B188" s="2956" t="s">
        <v>3262</v>
      </c>
      <c r="C188" s="2955">
        <v>48.3</v>
      </c>
    </row>
    <row r="189" spans="1:3">
      <c r="A189" s="2955"/>
      <c r="B189" s="2956" t="s">
        <v>3263</v>
      </c>
      <c r="C189" s="2955">
        <v>48.3</v>
      </c>
    </row>
    <row r="190" spans="1:3">
      <c r="A190" s="2955"/>
      <c r="B190" s="2956" t="s">
        <v>3264</v>
      </c>
      <c r="C190" s="2955">
        <v>48.3</v>
      </c>
    </row>
    <row r="191" spans="1:3">
      <c r="A191" s="2955"/>
      <c r="B191" s="2956" t="s">
        <v>3265</v>
      </c>
      <c r="C191" s="2955">
        <v>48.3</v>
      </c>
    </row>
    <row r="192" spans="1:3">
      <c r="A192" s="2955"/>
      <c r="B192" s="2956" t="s">
        <v>3266</v>
      </c>
      <c r="C192" s="2955">
        <v>48.3</v>
      </c>
    </row>
    <row r="193" spans="1:3">
      <c r="A193" s="2955"/>
      <c r="B193" s="2956" t="s">
        <v>3267</v>
      </c>
      <c r="C193" s="2955">
        <v>48.3</v>
      </c>
    </row>
    <row r="194" spans="1:3">
      <c r="A194" s="2955"/>
      <c r="B194" s="2956" t="s">
        <v>3268</v>
      </c>
      <c r="C194" s="2955">
        <v>48.3</v>
      </c>
    </row>
    <row r="195" spans="1:3">
      <c r="A195" s="2955"/>
      <c r="B195" s="2956" t="s">
        <v>3269</v>
      </c>
      <c r="C195" s="2955">
        <v>48.3</v>
      </c>
    </row>
    <row r="196" spans="1:3">
      <c r="A196" s="2955"/>
      <c r="B196" s="2956" t="s">
        <v>3270</v>
      </c>
      <c r="C196" s="2955">
        <v>48.3</v>
      </c>
    </row>
    <row r="197" spans="1:3">
      <c r="A197" s="2955"/>
      <c r="B197" s="2956" t="s">
        <v>3271</v>
      </c>
      <c r="C197" s="2955">
        <v>48.3</v>
      </c>
    </row>
    <row r="198" spans="1:3">
      <c r="A198" s="2955"/>
      <c r="B198" s="2956" t="s">
        <v>3272</v>
      </c>
      <c r="C198" s="2955">
        <v>48.3</v>
      </c>
    </row>
    <row r="199" spans="1:3">
      <c r="A199" s="2955"/>
      <c r="B199" s="2956" t="s">
        <v>3273</v>
      </c>
      <c r="C199" s="2955">
        <v>48.3</v>
      </c>
    </row>
    <row r="200" spans="1:3">
      <c r="A200" s="2955"/>
      <c r="B200" s="2956" t="s">
        <v>3274</v>
      </c>
      <c r="C200" s="2955">
        <v>48.3</v>
      </c>
    </row>
    <row r="201" spans="1:3">
      <c r="A201" s="2955"/>
      <c r="B201" s="2956" t="s">
        <v>3275</v>
      </c>
      <c r="C201" s="2955">
        <v>48.3</v>
      </c>
    </row>
    <row r="202" spans="1:3">
      <c r="A202" s="2955"/>
      <c r="B202" s="2956" t="s">
        <v>3276</v>
      </c>
      <c r="C202" s="2955">
        <v>48.11</v>
      </c>
    </row>
    <row r="203" spans="1:3">
      <c r="A203" s="2955"/>
      <c r="B203" s="2956" t="s">
        <v>3277</v>
      </c>
      <c r="C203" s="2955">
        <v>48.11</v>
      </c>
    </row>
    <row r="204" spans="1:3">
      <c r="A204" s="2955"/>
      <c r="B204" s="2956" t="s">
        <v>3278</v>
      </c>
      <c r="C204" s="2955">
        <v>48.11</v>
      </c>
    </row>
    <row r="205" spans="1:3">
      <c r="A205" s="2955"/>
      <c r="B205" s="2956" t="s">
        <v>3279</v>
      </c>
      <c r="C205" s="2955">
        <v>48.11</v>
      </c>
    </row>
    <row r="206" spans="1:3">
      <c r="A206" s="2955"/>
      <c r="B206" s="2956" t="s">
        <v>3280</v>
      </c>
      <c r="C206" s="2955">
        <v>48.11</v>
      </c>
    </row>
    <row r="207" spans="1:3">
      <c r="A207" s="2955"/>
      <c r="B207" s="2956" t="s">
        <v>3281</v>
      </c>
      <c r="C207" s="2955">
        <v>48.11</v>
      </c>
    </row>
    <row r="208" spans="1:3">
      <c r="A208" s="2955"/>
      <c r="B208" s="2956" t="s">
        <v>3282</v>
      </c>
      <c r="C208" s="2955">
        <v>47.43</v>
      </c>
    </row>
    <row r="209" spans="1:3">
      <c r="A209" s="2955"/>
      <c r="B209" s="2956" t="s">
        <v>3283</v>
      </c>
      <c r="C209" s="2955">
        <v>47.43</v>
      </c>
    </row>
    <row r="210" spans="1:3">
      <c r="A210" s="2955"/>
      <c r="B210" s="2956" t="s">
        <v>3284</v>
      </c>
      <c r="C210" s="2955">
        <v>47.43</v>
      </c>
    </row>
    <row r="211" spans="1:3">
      <c r="A211" s="2955"/>
      <c r="B211" s="2956" t="s">
        <v>3285</v>
      </c>
      <c r="C211" s="2955">
        <v>53.68</v>
      </c>
    </row>
    <row r="212" spans="1:3">
      <c r="A212" s="2955"/>
      <c r="B212" s="2956" t="s">
        <v>3286</v>
      </c>
      <c r="C212" s="2955">
        <v>53.68</v>
      </c>
    </row>
    <row r="213" spans="1:3">
      <c r="A213" s="2955"/>
      <c r="B213" s="2956" t="s">
        <v>3287</v>
      </c>
      <c r="C213" s="2955">
        <v>53.68</v>
      </c>
    </row>
    <row r="214" spans="1:3">
      <c r="A214" s="2955"/>
      <c r="B214" s="2956" t="s">
        <v>3288</v>
      </c>
      <c r="C214" s="2955">
        <v>47.43</v>
      </c>
    </row>
    <row r="215" spans="1:3">
      <c r="A215" s="2955"/>
      <c r="B215" s="2956" t="s">
        <v>3289</v>
      </c>
      <c r="C215" s="2955">
        <v>47.43</v>
      </c>
    </row>
    <row r="216" spans="1:3">
      <c r="A216" s="2955"/>
      <c r="B216" s="2956" t="s">
        <v>3290</v>
      </c>
      <c r="C216" s="2955">
        <v>47.43</v>
      </c>
    </row>
    <row r="217" spans="1:3">
      <c r="A217" s="2955"/>
      <c r="B217" s="2956" t="s">
        <v>3291</v>
      </c>
      <c r="C217" s="2955">
        <v>47.43</v>
      </c>
    </row>
    <row r="218" spans="1:3">
      <c r="A218" s="2955"/>
      <c r="B218" s="2956" t="s">
        <v>3292</v>
      </c>
      <c r="C218" s="2955">
        <v>47.43</v>
      </c>
    </row>
    <row r="219" spans="1:3">
      <c r="A219" s="2955"/>
      <c r="B219" s="2956" t="s">
        <v>3293</v>
      </c>
      <c r="C219" s="2955">
        <v>48.11</v>
      </c>
    </row>
    <row r="220" spans="1:3">
      <c r="A220" s="2955"/>
      <c r="B220" s="2956" t="s">
        <v>3294</v>
      </c>
      <c r="C220" s="2955">
        <v>48.11</v>
      </c>
    </row>
    <row r="221" spans="1:3">
      <c r="A221" s="2955"/>
      <c r="B221" s="2956" t="s">
        <v>3295</v>
      </c>
      <c r="C221" s="2955">
        <v>47.12</v>
      </c>
    </row>
    <row r="222" spans="1:3">
      <c r="A222" s="2955"/>
      <c r="B222" s="2956" t="s">
        <v>3296</v>
      </c>
      <c r="C222" s="2955">
        <v>47.12</v>
      </c>
    </row>
    <row r="223" spans="1:3">
      <c r="A223" s="2955"/>
      <c r="B223" s="2956" t="s">
        <v>3297</v>
      </c>
      <c r="C223" s="2955">
        <v>47.12</v>
      </c>
    </row>
    <row r="224" spans="1:3">
      <c r="A224" s="2955"/>
      <c r="B224" s="2956" t="s">
        <v>3298</v>
      </c>
      <c r="C224" s="2955">
        <v>47.43</v>
      </c>
    </row>
    <row r="225" spans="1:3">
      <c r="A225" s="2955"/>
      <c r="B225" s="2956" t="s">
        <v>3299</v>
      </c>
      <c r="C225" s="2955">
        <v>47.43</v>
      </c>
    </row>
    <row r="226" spans="1:3">
      <c r="A226" s="2955"/>
      <c r="B226" s="2956" t="s">
        <v>3300</v>
      </c>
      <c r="C226" s="2955">
        <v>47.43</v>
      </c>
    </row>
    <row r="227" spans="1:3">
      <c r="A227" s="2955"/>
      <c r="B227" s="2956" t="s">
        <v>3301</v>
      </c>
      <c r="C227" s="2955">
        <v>47.43</v>
      </c>
    </row>
    <row r="228" spans="1:3">
      <c r="A228" s="2955"/>
      <c r="B228" s="2956" t="s">
        <v>3302</v>
      </c>
      <c r="C228" s="2955">
        <v>47.43</v>
      </c>
    </row>
    <row r="229" spans="1:3">
      <c r="A229" s="2955"/>
      <c r="B229" s="2956" t="s">
        <v>3303</v>
      </c>
      <c r="C229" s="2955">
        <v>47.43</v>
      </c>
    </row>
    <row r="230" spans="1:3">
      <c r="A230" s="2955"/>
      <c r="B230" s="2956" t="s">
        <v>3304</v>
      </c>
      <c r="C230" s="2955">
        <v>47.43</v>
      </c>
    </row>
    <row r="231" spans="1:3">
      <c r="A231" s="2955"/>
      <c r="B231" s="2956" t="s">
        <v>3305</v>
      </c>
      <c r="C231" s="2955">
        <v>47.43</v>
      </c>
    </row>
    <row r="232" spans="1:3">
      <c r="A232" s="2955"/>
      <c r="B232" s="2956" t="s">
        <v>3306</v>
      </c>
      <c r="C232" s="2955">
        <v>46.48</v>
      </c>
    </row>
    <row r="233" spans="1:3">
      <c r="A233" s="2955"/>
      <c r="B233" s="2956" t="s">
        <v>3307</v>
      </c>
      <c r="C233" s="2955">
        <v>46.48</v>
      </c>
    </row>
    <row r="234" spans="1:3">
      <c r="A234" s="2955"/>
      <c r="B234" s="2956" t="s">
        <v>3308</v>
      </c>
      <c r="C234" s="2955">
        <v>46.48</v>
      </c>
    </row>
    <row r="235" spans="1:3">
      <c r="A235" s="2955"/>
      <c r="B235" s="2956" t="s">
        <v>3309</v>
      </c>
      <c r="C235" s="2955">
        <v>46.48</v>
      </c>
    </row>
    <row r="236" spans="1:3">
      <c r="A236" s="2955"/>
      <c r="B236" s="2956" t="s">
        <v>3310</v>
      </c>
      <c r="C236" s="2955">
        <v>46.86</v>
      </c>
    </row>
    <row r="237" spans="1:3">
      <c r="A237" s="2955"/>
      <c r="B237" s="2956" t="s">
        <v>3311</v>
      </c>
      <c r="C237" s="2955">
        <v>46.86</v>
      </c>
    </row>
    <row r="238" spans="1:3">
      <c r="A238" s="2955"/>
      <c r="B238" s="2956" t="s">
        <v>3312</v>
      </c>
      <c r="C238" s="2955">
        <v>46.86</v>
      </c>
    </row>
    <row r="239" spans="1:3">
      <c r="A239" s="2955"/>
      <c r="B239" s="2956" t="s">
        <v>3313</v>
      </c>
      <c r="C239" s="2955">
        <v>46.86</v>
      </c>
    </row>
    <row r="240" spans="1:3">
      <c r="A240" s="2955"/>
      <c r="B240" s="2956" t="s">
        <v>3314</v>
      </c>
      <c r="C240" s="2955">
        <v>46.86</v>
      </c>
    </row>
    <row r="241" spans="1:3">
      <c r="A241" s="2955"/>
      <c r="B241" s="2956" t="s">
        <v>3315</v>
      </c>
      <c r="C241" s="2955">
        <v>46.86</v>
      </c>
    </row>
    <row r="242" spans="1:3">
      <c r="A242" s="2955"/>
      <c r="B242" s="2956" t="s">
        <v>3316</v>
      </c>
      <c r="C242" s="2955">
        <v>46.63</v>
      </c>
    </row>
    <row r="243" spans="1:3">
      <c r="A243" s="2955"/>
      <c r="B243" s="2956" t="s">
        <v>3317</v>
      </c>
      <c r="C243" s="2955">
        <v>46.63</v>
      </c>
    </row>
    <row r="244" spans="1:3">
      <c r="A244" s="2955"/>
      <c r="B244" s="2956" t="s">
        <v>3318</v>
      </c>
      <c r="C244" s="2955">
        <v>46.63</v>
      </c>
    </row>
    <row r="245" spans="1:3">
      <c r="A245" s="2955"/>
      <c r="B245" s="2956" t="s">
        <v>3319</v>
      </c>
      <c r="C245" s="2955">
        <v>48.57</v>
      </c>
    </row>
    <row r="246" spans="1:3">
      <c r="A246" s="2955"/>
      <c r="B246" s="2956" t="s">
        <v>3320</v>
      </c>
      <c r="C246" s="2955">
        <v>48.57</v>
      </c>
    </row>
    <row r="247" spans="1:3">
      <c r="A247" s="2955"/>
      <c r="B247" s="2956" t="s">
        <v>3321</v>
      </c>
      <c r="C247" s="2955">
        <v>46.63</v>
      </c>
    </row>
    <row r="248" spans="1:3">
      <c r="A248" s="2955"/>
      <c r="B248" s="2956" t="s">
        <v>3322</v>
      </c>
      <c r="C248" s="2955">
        <v>48.11</v>
      </c>
    </row>
    <row r="249" spans="1:3">
      <c r="A249" s="2955"/>
      <c r="B249" s="2956" t="s">
        <v>3323</v>
      </c>
      <c r="C249" s="2955">
        <v>48.11</v>
      </c>
    </row>
    <row r="250" spans="1:3">
      <c r="A250" s="2955"/>
      <c r="B250" s="2956" t="s">
        <v>3324</v>
      </c>
      <c r="C250" s="2955">
        <v>48.11</v>
      </c>
    </row>
    <row r="251" spans="1:3">
      <c r="A251" s="2955"/>
      <c r="B251" s="2956" t="s">
        <v>3325</v>
      </c>
      <c r="C251" s="2955">
        <v>48.11</v>
      </c>
    </row>
    <row r="252" spans="1:3">
      <c r="A252" s="2955"/>
      <c r="B252" s="2956" t="s">
        <v>3326</v>
      </c>
      <c r="C252" s="2955">
        <v>48.11</v>
      </c>
    </row>
    <row r="253" spans="1:3">
      <c r="A253" s="2955"/>
      <c r="B253" s="2956" t="s">
        <v>3327</v>
      </c>
      <c r="C253" s="2955">
        <v>48.11</v>
      </c>
    </row>
    <row r="254" spans="1:3">
      <c r="A254" s="2955"/>
      <c r="B254" s="2956" t="s">
        <v>3328</v>
      </c>
      <c r="C254" s="2955">
        <v>46.17</v>
      </c>
    </row>
    <row r="255" spans="1:3">
      <c r="A255" s="2955"/>
      <c r="B255" s="2956" t="s">
        <v>3329</v>
      </c>
      <c r="C255" s="2955">
        <v>46.17</v>
      </c>
    </row>
    <row r="256" spans="1:3">
      <c r="A256" s="2955"/>
      <c r="B256" s="2956" t="s">
        <v>3330</v>
      </c>
      <c r="C256" s="2955">
        <v>46.17</v>
      </c>
    </row>
    <row r="257" spans="1:3">
      <c r="A257" s="2955"/>
      <c r="B257" s="2956" t="s">
        <v>3331</v>
      </c>
      <c r="C257" s="2955">
        <v>46.21</v>
      </c>
    </row>
    <row r="258" spans="1:3">
      <c r="A258" s="2955"/>
      <c r="B258" s="2956" t="s">
        <v>3332</v>
      </c>
      <c r="C258" s="2955">
        <v>48.57</v>
      </c>
    </row>
    <row r="259" spans="1:3">
      <c r="A259" s="2955"/>
      <c r="B259" s="2956" t="s">
        <v>3333</v>
      </c>
      <c r="C259" s="2955">
        <v>48.57</v>
      </c>
    </row>
    <row r="260" spans="1:3">
      <c r="A260" s="2955"/>
      <c r="B260" s="2956" t="s">
        <v>3334</v>
      </c>
      <c r="C260" s="2955">
        <v>48.57</v>
      </c>
    </row>
    <row r="261" spans="1:3">
      <c r="A261" s="2955"/>
      <c r="B261" s="2956" t="s">
        <v>3335</v>
      </c>
      <c r="C261" s="2955">
        <v>46.63</v>
      </c>
    </row>
    <row r="262" spans="1:3">
      <c r="A262" s="2955"/>
      <c r="B262" s="2956" t="s">
        <v>3336</v>
      </c>
      <c r="C262" s="2955">
        <v>46.63</v>
      </c>
    </row>
    <row r="263" spans="1:3">
      <c r="A263" s="2955"/>
      <c r="B263" s="2956" t="s">
        <v>3337</v>
      </c>
      <c r="C263" s="2955">
        <v>46.63</v>
      </c>
    </row>
    <row r="264" spans="1:3">
      <c r="A264" s="2955"/>
      <c r="B264" s="2956" t="s">
        <v>3338</v>
      </c>
      <c r="C264" s="2955">
        <v>47.62</v>
      </c>
    </row>
    <row r="265" spans="1:3">
      <c r="A265" s="2955"/>
      <c r="B265" s="2956" t="s">
        <v>3339</v>
      </c>
      <c r="C265" s="2955">
        <v>47.62</v>
      </c>
    </row>
    <row r="266" spans="1:3">
      <c r="A266" s="2955"/>
      <c r="B266" s="2956" t="s">
        <v>3340</v>
      </c>
      <c r="C266" s="2955">
        <v>47.62</v>
      </c>
    </row>
    <row r="267" spans="1:3">
      <c r="A267" s="2955"/>
      <c r="B267" s="2956" t="s">
        <v>3341</v>
      </c>
      <c r="C267" s="2955">
        <v>47.62</v>
      </c>
    </row>
    <row r="268" spans="1:3">
      <c r="A268" s="2955"/>
      <c r="B268" s="2956" t="s">
        <v>3342</v>
      </c>
      <c r="C268" s="2955">
        <v>46.63</v>
      </c>
    </row>
    <row r="269" spans="1:3">
      <c r="A269" s="2955"/>
      <c r="B269" s="2956" t="s">
        <v>3343</v>
      </c>
      <c r="C269" s="2955">
        <v>46.63</v>
      </c>
    </row>
    <row r="270" spans="1:3">
      <c r="A270" s="2955"/>
      <c r="B270" s="2956" t="s">
        <v>3344</v>
      </c>
      <c r="C270" s="2955">
        <v>46.63</v>
      </c>
    </row>
    <row r="271" spans="1:3">
      <c r="A271" s="2955"/>
      <c r="B271" s="2956" t="s">
        <v>3345</v>
      </c>
      <c r="C271" s="2955">
        <v>48.57</v>
      </c>
    </row>
    <row r="272" spans="1:3">
      <c r="A272" s="2955"/>
      <c r="B272" s="2956" t="s">
        <v>3346</v>
      </c>
      <c r="C272" s="2955">
        <v>48.57</v>
      </c>
    </row>
    <row r="273" spans="1:3">
      <c r="A273" s="2955"/>
      <c r="B273" s="2956" t="s">
        <v>3347</v>
      </c>
      <c r="C273" s="2955">
        <v>48.57</v>
      </c>
    </row>
    <row r="274" spans="1:3">
      <c r="A274" s="2955"/>
      <c r="B274" s="2956" t="s">
        <v>3348</v>
      </c>
      <c r="C274" s="2955">
        <v>46.17</v>
      </c>
    </row>
    <row r="275" spans="1:3">
      <c r="A275" s="2955"/>
      <c r="B275" s="2956" t="s">
        <v>3349</v>
      </c>
      <c r="C275" s="2955">
        <v>46.17</v>
      </c>
    </row>
    <row r="276" spans="1:3">
      <c r="A276" s="2955"/>
      <c r="B276" s="2956" t="s">
        <v>3350</v>
      </c>
      <c r="C276" s="2955">
        <v>46.17</v>
      </c>
    </row>
    <row r="277" spans="1:3">
      <c r="A277" s="2955"/>
      <c r="B277" s="2956" t="s">
        <v>3351</v>
      </c>
      <c r="C277" s="2955">
        <v>48.11</v>
      </c>
    </row>
    <row r="278" spans="1:3">
      <c r="A278" s="2955"/>
      <c r="B278" s="2956" t="s">
        <v>3352</v>
      </c>
      <c r="C278" s="2955">
        <v>48.11</v>
      </c>
    </row>
    <row r="279" spans="1:3">
      <c r="A279" s="2955"/>
      <c r="B279" s="2956" t="s">
        <v>3353</v>
      </c>
      <c r="C279" s="2955">
        <v>48.11</v>
      </c>
    </row>
    <row r="280" spans="1:3">
      <c r="A280" s="2955"/>
      <c r="B280" s="2956" t="s">
        <v>3354</v>
      </c>
      <c r="C280" s="2955">
        <v>48.11</v>
      </c>
    </row>
    <row r="281" spans="1:3">
      <c r="A281" s="2955"/>
      <c r="B281" s="2956" t="s">
        <v>3355</v>
      </c>
      <c r="C281" s="2955">
        <v>48.11</v>
      </c>
    </row>
    <row r="282" spans="1:3">
      <c r="A282" s="2955"/>
      <c r="B282" s="2956" t="s">
        <v>3356</v>
      </c>
      <c r="C282" s="2955">
        <v>48.11</v>
      </c>
    </row>
    <row r="283" spans="1:3">
      <c r="A283" s="2955"/>
      <c r="B283" s="2956" t="s">
        <v>3357</v>
      </c>
      <c r="C283" s="2955">
        <v>50.97</v>
      </c>
    </row>
    <row r="284" spans="1:3">
      <c r="A284" s="2955"/>
      <c r="B284" s="2956" t="s">
        <v>3358</v>
      </c>
      <c r="C284" s="2955">
        <v>50.97</v>
      </c>
    </row>
    <row r="285" spans="1:3">
      <c r="A285" s="2955"/>
      <c r="B285" s="2956" t="s">
        <v>3359</v>
      </c>
      <c r="C285" s="2955">
        <v>50.97</v>
      </c>
    </row>
    <row r="286" spans="1:3">
      <c r="A286" s="2955"/>
      <c r="B286" s="2956" t="s">
        <v>3360</v>
      </c>
      <c r="C286" s="2955">
        <v>52.46</v>
      </c>
    </row>
    <row r="287" spans="1:3">
      <c r="A287" s="2955"/>
      <c r="B287" s="2956" t="s">
        <v>3361</v>
      </c>
      <c r="C287" s="2955">
        <v>45.71</v>
      </c>
    </row>
    <row r="288" spans="1:3">
      <c r="A288" s="2955"/>
      <c r="B288" s="2956" t="s">
        <v>3362</v>
      </c>
      <c r="C288" s="2955">
        <v>48.57</v>
      </c>
    </row>
    <row r="289" spans="1:3">
      <c r="A289" s="2955"/>
      <c r="B289" s="2956" t="s">
        <v>3363</v>
      </c>
      <c r="C289" s="2955">
        <v>48.57</v>
      </c>
    </row>
    <row r="290" spans="1:3">
      <c r="A290" s="2955"/>
      <c r="B290" s="2956" t="s">
        <v>3364</v>
      </c>
      <c r="C290" s="2955">
        <v>48.57</v>
      </c>
    </row>
    <row r="291" spans="1:3">
      <c r="A291" s="2955"/>
      <c r="B291" s="2956" t="s">
        <v>3365</v>
      </c>
      <c r="C291" s="2955">
        <v>48.57</v>
      </c>
    </row>
    <row r="292" spans="1:3">
      <c r="A292" s="2955"/>
      <c r="B292" s="2956" t="s">
        <v>3366</v>
      </c>
      <c r="C292" s="2955">
        <v>48.57</v>
      </c>
    </row>
    <row r="293" spans="1:3">
      <c r="A293" s="2955"/>
      <c r="B293" s="2956" t="s">
        <v>3367</v>
      </c>
      <c r="C293" s="2955">
        <v>49.56</v>
      </c>
    </row>
    <row r="294" spans="1:3">
      <c r="A294" s="2955"/>
      <c r="B294" s="2956" t="s">
        <v>3368</v>
      </c>
      <c r="C294" s="2955">
        <v>49.56</v>
      </c>
    </row>
    <row r="295" spans="1:3">
      <c r="A295" s="2955"/>
      <c r="B295" s="2956" t="s">
        <v>3369</v>
      </c>
      <c r="C295" s="2955">
        <v>46.63</v>
      </c>
    </row>
    <row r="296" spans="1:3">
      <c r="A296" s="2955"/>
      <c r="B296" s="2956" t="s">
        <v>3370</v>
      </c>
      <c r="C296" s="2955">
        <v>48</v>
      </c>
    </row>
    <row r="297" spans="1:3">
      <c r="A297" s="2955"/>
      <c r="B297" s="2956" t="s">
        <v>3371</v>
      </c>
      <c r="C297" s="2955">
        <v>48</v>
      </c>
    </row>
    <row r="298" spans="1:3">
      <c r="A298" s="2955"/>
      <c r="B298" s="2956" t="s">
        <v>3372</v>
      </c>
      <c r="C298" s="2955">
        <v>48</v>
      </c>
    </row>
    <row r="299" spans="1:3">
      <c r="A299" s="2955"/>
      <c r="B299" s="2956" t="s">
        <v>3373</v>
      </c>
      <c r="C299" s="2955">
        <v>46.63</v>
      </c>
    </row>
    <row r="300" spans="1:3">
      <c r="A300" s="2955"/>
      <c r="B300" s="2956" t="s">
        <v>3374</v>
      </c>
      <c r="C300" s="2955">
        <v>46.63</v>
      </c>
    </row>
    <row r="301" spans="1:3">
      <c r="A301" s="2955"/>
      <c r="B301" s="2956" t="s">
        <v>3375</v>
      </c>
      <c r="C301" s="2955">
        <v>46.63</v>
      </c>
    </row>
    <row r="302" spans="1:3">
      <c r="A302" s="2955"/>
      <c r="B302" s="2956" t="s">
        <v>3376</v>
      </c>
      <c r="C302" s="2955">
        <v>48.57</v>
      </c>
    </row>
    <row r="303" spans="1:3">
      <c r="A303" s="2955"/>
      <c r="B303" s="2956" t="s">
        <v>3377</v>
      </c>
      <c r="C303" s="2955">
        <v>48.57</v>
      </c>
    </row>
    <row r="304" spans="1:3">
      <c r="A304" s="2955"/>
      <c r="B304" s="2956" t="s">
        <v>3378</v>
      </c>
      <c r="C304" s="2955">
        <v>48.57</v>
      </c>
    </row>
    <row r="305" spans="1:3">
      <c r="A305" s="2955"/>
      <c r="B305" s="2956" t="s">
        <v>3379</v>
      </c>
      <c r="C305" s="2955">
        <v>48.57</v>
      </c>
    </row>
    <row r="306" spans="1:3">
      <c r="A306" s="2955"/>
      <c r="B306" s="2956" t="s">
        <v>3380</v>
      </c>
      <c r="C306" s="2955">
        <v>48.57</v>
      </c>
    </row>
    <row r="307" spans="1:3">
      <c r="A307" s="2955"/>
      <c r="B307" s="2956" t="s">
        <v>3381</v>
      </c>
      <c r="C307" s="2955">
        <v>48.57</v>
      </c>
    </row>
    <row r="308" spans="1:3">
      <c r="A308" s="2955"/>
      <c r="B308" s="2956" t="s">
        <v>3382</v>
      </c>
      <c r="C308" s="2955">
        <v>48.57</v>
      </c>
    </row>
    <row r="309" spans="1:3">
      <c r="A309" s="2955"/>
      <c r="B309" s="2956" t="s">
        <v>3383</v>
      </c>
      <c r="C309" s="2955">
        <v>48.57</v>
      </c>
    </row>
    <row r="310" spans="1:3">
      <c r="A310" s="2955"/>
      <c r="B310" s="2956" t="s">
        <v>3384</v>
      </c>
      <c r="C310" s="2955">
        <v>48.57</v>
      </c>
    </row>
    <row r="311" spans="1:3">
      <c r="A311" s="2955"/>
      <c r="B311" s="2956" t="s">
        <v>3385</v>
      </c>
      <c r="C311" s="2955">
        <v>48.57</v>
      </c>
    </row>
    <row r="312" spans="1:3">
      <c r="A312" s="2955"/>
      <c r="B312" s="2956" t="s">
        <v>3386</v>
      </c>
      <c r="C312" s="2955">
        <v>48.57</v>
      </c>
    </row>
    <row r="313" spans="1:3">
      <c r="A313" s="2955"/>
      <c r="B313" s="2956" t="s">
        <v>3387</v>
      </c>
      <c r="C313" s="2955">
        <v>48.57</v>
      </c>
    </row>
    <row r="314" spans="1:3">
      <c r="A314" s="2955"/>
      <c r="B314" s="2956" t="s">
        <v>3388</v>
      </c>
      <c r="C314" s="2955">
        <v>48.57</v>
      </c>
    </row>
    <row r="315" spans="1:3">
      <c r="A315" s="2955"/>
      <c r="B315" s="2956" t="s">
        <v>3389</v>
      </c>
      <c r="C315" s="2955">
        <v>48.57</v>
      </c>
    </row>
    <row r="316" spans="1:3">
      <c r="A316" s="2955"/>
      <c r="B316" s="2956" t="s">
        <v>3390</v>
      </c>
      <c r="C316" s="2955">
        <v>48.57</v>
      </c>
    </row>
    <row r="317" spans="1:3">
      <c r="A317" s="2955"/>
      <c r="B317" s="2956" t="s">
        <v>3391</v>
      </c>
      <c r="C317" s="2955">
        <v>96.19</v>
      </c>
    </row>
    <row r="318" spans="1:3">
      <c r="A318" s="2955"/>
      <c r="B318" s="2956" t="s">
        <v>3392</v>
      </c>
      <c r="C318" s="2955">
        <v>96.19</v>
      </c>
    </row>
    <row r="319" spans="1:3">
      <c r="A319" s="2955"/>
      <c r="B319" s="2956" t="s">
        <v>3393</v>
      </c>
      <c r="C319" s="2955">
        <v>96.19</v>
      </c>
    </row>
    <row r="320" spans="1:3">
      <c r="A320" s="2955"/>
      <c r="B320" s="2956" t="s">
        <v>3394</v>
      </c>
      <c r="C320" s="2955">
        <v>54.97</v>
      </c>
    </row>
    <row r="321" spans="1:3">
      <c r="A321" s="2955"/>
      <c r="B321" s="2956" t="s">
        <v>3395</v>
      </c>
      <c r="C321" s="2955">
        <v>54.97</v>
      </c>
    </row>
    <row r="322" spans="1:3">
      <c r="A322" s="2955"/>
      <c r="B322" s="2956" t="s">
        <v>3396</v>
      </c>
      <c r="C322" s="2955">
        <v>54.97</v>
      </c>
    </row>
    <row r="323" spans="1:3">
      <c r="A323" s="2955"/>
      <c r="B323" s="2956" t="s">
        <v>3397</v>
      </c>
      <c r="C323" s="2955">
        <v>48.57</v>
      </c>
    </row>
    <row r="324" spans="1:3">
      <c r="A324" s="2955"/>
      <c r="B324" s="2956" t="s">
        <v>3398</v>
      </c>
      <c r="C324" s="2955">
        <v>48.57</v>
      </c>
    </row>
    <row r="325" spans="1:3">
      <c r="A325" s="2955"/>
      <c r="B325" s="2956" t="s">
        <v>3399</v>
      </c>
      <c r="C325" s="2955">
        <v>48.57</v>
      </c>
    </row>
    <row r="326" spans="1:3">
      <c r="A326" s="2955"/>
      <c r="B326" s="2956" t="s">
        <v>3400</v>
      </c>
      <c r="C326" s="2955">
        <v>48.57</v>
      </c>
    </row>
    <row r="327" spans="1:3">
      <c r="A327" s="2955"/>
      <c r="B327" s="2956" t="s">
        <v>3401</v>
      </c>
      <c r="C327" s="2955">
        <v>48.57</v>
      </c>
    </row>
    <row r="328" spans="1:3">
      <c r="A328" s="2955"/>
      <c r="B328" s="2956" t="s">
        <v>3402</v>
      </c>
      <c r="C328" s="2955">
        <v>48.57</v>
      </c>
    </row>
    <row r="329" spans="1:3">
      <c r="A329" s="2955"/>
      <c r="B329" s="2956" t="s">
        <v>3403</v>
      </c>
      <c r="C329" s="2955">
        <v>48.57</v>
      </c>
    </row>
    <row r="330" spans="1:3">
      <c r="A330" s="2955"/>
      <c r="B330" s="2956" t="s">
        <v>3404</v>
      </c>
      <c r="C330" s="2955">
        <v>48.57</v>
      </c>
    </row>
    <row r="331" spans="1:3">
      <c r="A331" s="2955"/>
      <c r="B331" s="2956" t="s">
        <v>3405</v>
      </c>
      <c r="C331" s="2955">
        <v>48.57</v>
      </c>
    </row>
    <row r="332" spans="1:3">
      <c r="A332" s="2955"/>
      <c r="B332" s="2956" t="s">
        <v>3406</v>
      </c>
      <c r="C332" s="2955">
        <v>48.57</v>
      </c>
    </row>
    <row r="333" spans="1:3">
      <c r="A333" s="2955"/>
      <c r="B333" s="2956" t="s">
        <v>3407</v>
      </c>
      <c r="C333" s="2955">
        <v>48.57</v>
      </c>
    </row>
    <row r="334" spans="1:3">
      <c r="A334" s="2955"/>
      <c r="B334" s="2956" t="s">
        <v>3408</v>
      </c>
      <c r="C334" s="2955">
        <v>48.57</v>
      </c>
    </row>
    <row r="335" spans="1:3">
      <c r="A335" s="2955"/>
      <c r="B335" s="2956" t="s">
        <v>3409</v>
      </c>
      <c r="C335" s="2955">
        <v>48.57</v>
      </c>
    </row>
    <row r="336" spans="1:3">
      <c r="A336" s="2955"/>
      <c r="B336" s="2956" t="s">
        <v>3410</v>
      </c>
      <c r="C336" s="2955">
        <v>44.3</v>
      </c>
    </row>
    <row r="337" spans="1:3">
      <c r="A337" s="2955"/>
      <c r="B337" s="2956" t="s">
        <v>3411</v>
      </c>
      <c r="C337" s="2955">
        <v>44.3</v>
      </c>
    </row>
    <row r="338" spans="1:3">
      <c r="A338" s="3026" t="s">
        <v>3413</v>
      </c>
      <c r="B338" s="3027"/>
      <c r="C338" s="3027">
        <f>SUM(C38:C337)</f>
        <v>14687.639999999994</v>
      </c>
    </row>
    <row r="339" spans="1:3">
      <c r="A339" s="2956" t="s">
        <v>3412</v>
      </c>
      <c r="B339" s="2956" t="s">
        <v>3414</v>
      </c>
      <c r="C339" s="2955">
        <v>103688.47</v>
      </c>
    </row>
  </sheetData>
  <phoneticPr fontId="14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E3" sqref="E3"/>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126" t="s">
        <v>1936</v>
      </c>
      <c r="B2" s="3126"/>
      <c r="C2" s="3126"/>
      <c r="D2" s="970" t="s">
        <v>1912</v>
      </c>
      <c r="E2" s="2231" t="s">
        <v>1913</v>
      </c>
      <c r="F2" s="1395"/>
      <c r="G2" s="2232"/>
      <c r="H2" s="2233"/>
      <c r="I2" s="2234" t="s">
        <v>1937</v>
      </c>
      <c r="J2" s="1395"/>
      <c r="K2" s="1395"/>
      <c r="L2" s="1395"/>
      <c r="M2" s="1395"/>
      <c r="N2" s="1430"/>
      <c r="O2" s="1395"/>
      <c r="P2" s="1395"/>
    </row>
    <row r="3" spans="1:16" ht="15.75" thickBot="1">
      <c r="A3" s="3127" t="s">
        <v>1910</v>
      </c>
      <c r="B3" s="3127"/>
      <c r="C3" s="3127"/>
      <c r="D3" s="46">
        <f>'数据-基础表'!AY6</f>
        <v>24498.84</v>
      </c>
      <c r="E3" s="46">
        <f>'数据-基础表'!AZ5</f>
        <v>119963.53</v>
      </c>
      <c r="F3" s="1395"/>
      <c r="G3" s="1402"/>
      <c r="H3" s="1250" t="s">
        <v>1911</v>
      </c>
      <c r="I3" s="55">
        <f>ROUND('数据-基础表'!B3/'数据-基础表'!A3,2)</f>
        <v>4.9000000000000004</v>
      </c>
      <c r="J3" s="1395"/>
      <c r="K3" s="1395"/>
      <c r="L3" s="1395"/>
      <c r="M3" s="1395"/>
      <c r="N3" s="1430"/>
      <c r="O3" s="1395"/>
      <c r="P3" s="1395"/>
    </row>
    <row r="4" spans="1:16" ht="15">
      <c r="A4" s="3128"/>
      <c r="B4" s="3129"/>
      <c r="C4" s="3130"/>
      <c r="D4" s="2235" t="s">
        <v>1912</v>
      </c>
      <c r="E4" s="2236" t="s">
        <v>1913</v>
      </c>
      <c r="F4" s="1395"/>
      <c r="G4" s="2237" t="s">
        <v>1938</v>
      </c>
      <c r="H4" s="1250" t="s">
        <v>1918</v>
      </c>
      <c r="I4" s="55">
        <f>ROUND(SUMIF('数据-基础表'!I9:AS9,"地上",'数据-基础表'!I5:AS5)/'数据-基础表'!A3,2)</f>
        <v>3.49</v>
      </c>
      <c r="J4" s="1395"/>
      <c r="K4" s="1395"/>
      <c r="L4" s="1395"/>
      <c r="M4" s="1395"/>
      <c r="N4" s="1430"/>
      <c r="O4" s="1395"/>
      <c r="P4" s="1395"/>
    </row>
    <row r="5" spans="1:16">
      <c r="A5" s="47" t="s">
        <v>1914</v>
      </c>
      <c r="B5" s="3131" t="s">
        <v>1915</v>
      </c>
      <c r="C5" s="3131"/>
      <c r="D5" s="48">
        <f>ROUND($D$3*E5/$E$3,2)</f>
        <v>0</v>
      </c>
      <c r="E5" s="49">
        <f>SUMIF('数据-基础表'!$11:$11,"住宅",'数据-基础表'!$5:$5)</f>
        <v>0</v>
      </c>
      <c r="F5" s="1395"/>
      <c r="G5" s="1402"/>
      <c r="H5" s="1250" t="s">
        <v>1911</v>
      </c>
      <c r="I5" s="55">
        <f>ROUND(E31/D31,2)</f>
        <v>4.9000000000000004</v>
      </c>
      <c r="J5" s="1395"/>
      <c r="K5" s="1395"/>
      <c r="L5" s="1395"/>
      <c r="M5" s="1395"/>
      <c r="N5" s="1395"/>
      <c r="O5" s="1395"/>
      <c r="P5" s="1395"/>
    </row>
    <row r="6" spans="1:16" ht="15" thickBot="1">
      <c r="A6" s="2238"/>
      <c r="B6" s="3131" t="s">
        <v>1916</v>
      </c>
      <c r="C6" s="3131"/>
      <c r="D6" s="48">
        <f>ROUND($D$3*E6/$E$3,2)</f>
        <v>24498.84</v>
      </c>
      <c r="E6" s="49">
        <f>E3-E5</f>
        <v>119963.53</v>
      </c>
      <c r="F6" s="1395"/>
      <c r="G6" s="2239" t="s">
        <v>1917</v>
      </c>
      <c r="H6" s="1402" t="s">
        <v>1918</v>
      </c>
      <c r="I6" s="942">
        <f>ROUND(F31/D31,2)</f>
        <v>3.49</v>
      </c>
      <c r="J6" s="1395"/>
      <c r="K6" s="1395"/>
      <c r="L6" s="1395"/>
      <c r="M6" s="1395"/>
      <c r="N6" s="1395"/>
      <c r="O6" s="1395"/>
      <c r="P6" s="1395"/>
    </row>
    <row r="7" spans="1:16" ht="15">
      <c r="A7" s="3123"/>
      <c r="B7" s="3124"/>
      <c r="C7" s="3125"/>
      <c r="D7" s="2235" t="s">
        <v>1912</v>
      </c>
      <c r="E7" s="2240" t="s">
        <v>1919</v>
      </c>
      <c r="F7" s="1395"/>
      <c r="G7" s="2232" t="s">
        <v>1920</v>
      </c>
      <c r="H7" s="64"/>
      <c r="I7" s="420"/>
      <c r="J7" s="1395"/>
      <c r="K7" s="1395"/>
      <c r="L7" s="1395"/>
      <c r="M7" s="1395"/>
      <c r="N7" s="1395"/>
      <c r="O7" s="1395"/>
      <c r="P7" s="1395"/>
    </row>
    <row r="8" spans="1:16">
      <c r="A8" s="47" t="s">
        <v>1921</v>
      </c>
      <c r="B8" s="50" t="s">
        <v>1922</v>
      </c>
      <c r="C8" s="48" t="s">
        <v>1923</v>
      </c>
      <c r="D8" s="48">
        <f t="shared" ref="D8:D15" si="0">ROUND($D$3*E8/$E$3,2)</f>
        <v>17471.34</v>
      </c>
      <c r="E8" s="51">
        <f>SUMIF('数据-基础表'!BB10:BK10,"地上",'数据-基础表'!BB5:BK5)</f>
        <v>85551.93</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3703.83</v>
      </c>
      <c r="E10" s="51">
        <f>SUMPRODUCT(('数据-基础表'!BB10:BK10="地下")*('数据-基础表'!BB11:BK11="商业")*('数据-基础表'!BB5:BK5))</f>
        <v>18136.540000000008</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3323.68</v>
      </c>
      <c r="E14" s="51">
        <f>SUMPRODUCT(('数据-基础表'!BB10:BK10="地下")*('数据-基础表'!BB11:BK11="车库—商业")*('数据-基础表'!BB5:BK5))</f>
        <v>16275.06</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24498.85</v>
      </c>
      <c r="E16" s="53">
        <f>SUM(E8:E15)</f>
        <v>119963.53</v>
      </c>
      <c r="F16" s="1395"/>
      <c r="G16" s="2241"/>
      <c r="H16" s="2244" t="s">
        <v>1940</v>
      </c>
      <c r="I16" s="2245"/>
      <c r="J16" s="1395"/>
      <c r="K16" s="3120" t="s">
        <v>1940</v>
      </c>
      <c r="L16" s="3121"/>
      <c r="M16" s="3121"/>
      <c r="N16" s="3121"/>
      <c r="O16" s="3121"/>
      <c r="P16" s="3122"/>
    </row>
    <row r="17" spans="1:19" ht="15">
      <c r="A17" s="2246" t="s">
        <v>1941</v>
      </c>
      <c r="B17" s="2247" t="s">
        <v>1942</v>
      </c>
      <c r="C17" s="2248" t="s">
        <v>1943</v>
      </c>
      <c r="D17" s="2249" t="s">
        <v>1931</v>
      </c>
      <c r="E17" s="2250" t="s">
        <v>1932</v>
      </c>
      <c r="F17" s="2251"/>
      <c r="G17" s="2252"/>
      <c r="H17" s="2253" t="s">
        <v>1944</v>
      </c>
      <c r="I17" s="2254" t="s">
        <v>1929</v>
      </c>
      <c r="J17" s="1395"/>
      <c r="K17" s="3117" t="s">
        <v>1945</v>
      </c>
      <c r="L17" s="3118"/>
      <c r="M17" s="3119"/>
      <c r="N17" s="3117" t="s">
        <v>1946</v>
      </c>
      <c r="O17" s="3118"/>
      <c r="P17" s="3119"/>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59" t="s">
        <v>3442</v>
      </c>
      <c r="D19" s="48">
        <f>ROUND($D$3*E19/$E$3,2)</f>
        <v>24498.84</v>
      </c>
      <c r="E19" s="56">
        <f t="shared" ref="E19:E26" si="1">SUM(F19:G19)</f>
        <v>119963.53</v>
      </c>
      <c r="F19" s="57">
        <f>'数据-基础表'!I13</f>
        <v>85551.93</v>
      </c>
      <c r="G19" s="58">
        <f>'数据-基础表'!K13+'数据-基础表'!M13</f>
        <v>34411.600000000006</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24498.84</v>
      </c>
      <c r="S19" s="1251">
        <f t="shared" si="5"/>
        <v>119963.53</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24498.84</v>
      </c>
      <c r="E27" s="1397">
        <f>IF(SUM(E19:E26)='数据-基础表'!BA5,SUM(E19:E26),IF(F27="地上面积有误","面积有误","地下面积有误"))</f>
        <v>119963.53</v>
      </c>
      <c r="F27" s="1396">
        <f>IF(SUM(F19:F26)=E8,SUM(F19:F26),"地上面积有误")</f>
        <v>85551.93</v>
      </c>
      <c r="G27" s="1398">
        <f>SUM(G19:G26)</f>
        <v>34411.600000000006</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24498.84</v>
      </c>
      <c r="S27" s="1250">
        <f>IF(SUM(S19:S26)=$E$3,SUM(S19:S26),SUM(S19:S26)&amp;"误差"&amp;ROUND(SUM(S19:S26)-E3,2))</f>
        <v>119963.53</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24498.84</v>
      </c>
      <c r="E31" s="729">
        <f>E27+E30</f>
        <v>119963.53</v>
      </c>
      <c r="F31" s="730">
        <f>F27+F30</f>
        <v>85551.93</v>
      </c>
      <c r="G31" s="731">
        <f>G27+G30</f>
        <v>34411.600000000006</v>
      </c>
      <c r="H31" s="1395"/>
      <c r="I31" s="1395"/>
      <c r="J31" s="1395"/>
      <c r="K31" s="1395"/>
      <c r="L31" s="1395"/>
      <c r="M31" s="1395"/>
      <c r="N31" s="1395"/>
      <c r="O31" s="1395"/>
      <c r="P31" s="1395"/>
    </row>
    <row r="32" spans="1:19">
      <c r="A32" s="2237"/>
      <c r="B32" s="2237" t="s">
        <v>1964</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L15" sqref="L15"/>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43235</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3447</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商业</v>
      </c>
      <c r="B6" s="2311" t="str">
        <f>IF(A6=0,"","经营性")</f>
        <v>经营性</v>
      </c>
      <c r="C6" s="2312" t="s">
        <v>1377</v>
      </c>
      <c r="D6" s="1054">
        <f>SUMIF(项目基本情况!D$12:I$12,C6,项目基本情况!D$14:I$14)</f>
        <v>40</v>
      </c>
      <c r="E6" s="1051">
        <f>IF(B6="","",SUMIF(项目基本情况!D$12:I$12,C6,项目基本情况!D$13:I$13))</f>
        <v>55485</v>
      </c>
      <c r="F6" s="72">
        <f>SUMIF(项目基本情况!D$12:I$12,C6,项目基本情况!D$15:I$15)</f>
        <v>33.56</v>
      </c>
      <c r="G6" s="73">
        <f>IF(ISERROR(ROUND(POWER(1+H6,D6-F6)*(POWER(1+H6,F6)-1)/(POWER(1+H6,D6)-1),3)),0,ROUND(POWER(1+H6,D6-F6)*(POWER(1+H6,F6)-1)/(POWER(1+H6,D6)-1),3))</f>
        <v>0.93200000000000005</v>
      </c>
      <c r="H6" s="802">
        <v>4.4999999999999998E-2</v>
      </c>
      <c r="I6" s="802">
        <f>H6+0.005</f>
        <v>4.9999999999999996E-2</v>
      </c>
      <c r="J6" s="74">
        <v>0.08</v>
      </c>
      <c r="K6" s="1254">
        <f>SUMIF('数据-汇总表'!C$19:C$33,A6,'数据-汇总表'!E$19:E$33)</f>
        <v>119963.53</v>
      </c>
      <c r="L6" s="803">
        <v>3200</v>
      </c>
      <c r="M6" s="75">
        <f t="shared" ref="M6:M14" si="0">ROUND(K6*L6/10000,0)</f>
        <v>38388</v>
      </c>
      <c r="N6" s="801">
        <f>ROUND(1-(2018-2016)/60,2)</f>
        <v>0.97</v>
      </c>
      <c r="O6" s="75" t="str">
        <f>IF($N$5="成新度","——",ROUND(M6*N6,0))</f>
        <v>——</v>
      </c>
      <c r="P6" s="76" t="str">
        <f>IF($N$5="成新度","——",M6-O6)</f>
        <v>——</v>
      </c>
      <c r="Q6" s="804">
        <v>0.2</v>
      </c>
      <c r="R6" s="77">
        <f ca="1">SUMIF('数据-汇总表'!C$19:C$33,A6,'数据-汇总表'!R$19:R$27)</f>
        <v>24498.84</v>
      </c>
      <c r="S6" s="54">
        <f>IF('数据-汇总表'!$I$17="按面积比例",SUMIF('数据-汇总表'!C$19:C$33,A6,'数据-汇总表'!K$19:K$33),SUMIF('数据-汇总表'!C$19:C$33,A6,'数据-汇总表'!N$19:N$33))</f>
        <v>0</v>
      </c>
      <c r="T6" s="1446">
        <f>ROUND($L$14*S6/10000,0)</f>
        <v>0</v>
      </c>
      <c r="U6" s="78">
        <f>租金!M186</f>
        <v>4.4000000000000004</v>
      </c>
      <c r="V6" s="79">
        <v>0</v>
      </c>
      <c r="W6" s="79">
        <v>0.1</v>
      </c>
      <c r="X6" s="1264"/>
      <c r="Y6" s="80">
        <f>N6</f>
        <v>0.97</v>
      </c>
      <c r="Z6" s="81"/>
      <c r="AA6" s="74"/>
      <c r="AB6" s="74"/>
      <c r="AC6" s="1264"/>
      <c r="AD6" s="82"/>
      <c r="AE6" s="1265">
        <f ca="1">IF(AN6="",0,SUMIF(INDIRECT("'"&amp;AN6&amp;"'"&amp;"!E:E"),$AE$5,INDIRECT("'"&amp;AN6&amp;"'"&amp;"!F:F")))</f>
        <v>33.56</v>
      </c>
      <c r="AF6" s="1807"/>
      <c r="AG6" s="147">
        <f>IF(AF6="",0,AE6-AF6)</f>
        <v>0</v>
      </c>
      <c r="AH6" s="83">
        <f>'数据-基础表'!I13+'数据-基础表'!K13</f>
        <v>103688.47</v>
      </c>
      <c r="AI6" s="85">
        <v>365</v>
      </c>
      <c r="AJ6" s="86"/>
      <c r="AK6" s="87">
        <v>1.4999999999999999E-2</v>
      </c>
      <c r="AL6" s="88">
        <v>1.5E-3</v>
      </c>
      <c r="AM6" s="89">
        <v>1.4999999999999999E-2</v>
      </c>
      <c r="AN6" s="2313" t="s">
        <v>3448</v>
      </c>
      <c r="AO6" s="55">
        <f ca="1">SUMIF(INDIRECT("'"&amp;AN6&amp;"'"&amp;"!A:A"),"总价",INDIRECT("'"&amp;AN6&amp;"'"&amp;"!B:B"))</f>
        <v>182527</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0.93200000000000005</v>
      </c>
      <c r="H16" s="99">
        <f>ROUND(SUMPRODUCT(H6:H13,K6:K13)/SUMPRODUCT((H6:H13&gt;0)*(K6:K13)),3)</f>
        <v>4.4999999999999998E-2</v>
      </c>
      <c r="I16" s="100"/>
      <c r="J16" s="100"/>
      <c r="K16" s="101">
        <f>SUM(K6:K15)</f>
        <v>119963.53</v>
      </c>
      <c r="L16" s="102">
        <f>ROUND(M16*10000/SUM(K6:K14),0)</f>
        <v>3200</v>
      </c>
      <c r="M16" s="102">
        <f>SUM(M6:M14)</f>
        <v>38388</v>
      </c>
      <c r="N16" s="103">
        <f>ROUND(SUMPRODUCT(M6:M14,N6:N14)/M16,3)</f>
        <v>0.97</v>
      </c>
      <c r="O16" s="102">
        <f>SUM(O6:O14)</f>
        <v>0</v>
      </c>
      <c r="P16" s="102">
        <f>SUM(P6:P14)</f>
        <v>0</v>
      </c>
      <c r="Q16" s="104">
        <f>ROUND(SUMPRODUCT(Q6:Q13,K6:K13)/SUMPRODUCT((Q6:Q13&gt;0)*(K6:K13)),2)</f>
        <v>0.2</v>
      </c>
      <c r="R16" s="1258">
        <f ca="1">SUM(R6:R13)</f>
        <v>24498.84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2</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0.05</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1.5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t="s">
        <v>56</v>
      </c>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132" t="s">
        <v>2081</v>
      </c>
      <c r="B1" s="3133"/>
      <c r="C1" s="3133"/>
      <c r="D1" s="3133"/>
      <c r="E1" s="3133"/>
      <c r="F1" s="3133"/>
      <c r="G1" s="3133"/>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119963.53</v>
      </c>
      <c r="C1" s="1745"/>
      <c r="D1" s="1745"/>
      <c r="E1" s="1745"/>
      <c r="F1" s="1745"/>
      <c r="G1" s="1743"/>
    </row>
    <row r="2" spans="1:10" ht="16.5">
      <c r="A2" s="1746" t="s">
        <v>1353</v>
      </c>
      <c r="B2" s="1746">
        <f>SUM(C14:C23)</f>
        <v>24498.84</v>
      </c>
      <c r="C2" s="1745"/>
      <c r="D2" s="1745"/>
      <c r="E2" s="1745"/>
      <c r="F2" s="1745"/>
      <c r="G2" s="1743"/>
    </row>
    <row r="3" spans="1:10" ht="16.5">
      <c r="A3" s="1746" t="s">
        <v>1362</v>
      </c>
      <c r="B3" s="1747">
        <f>项目基本情况!D3</f>
        <v>43235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252494</v>
      </c>
      <c r="C5" s="1746">
        <f ca="1">ROUND(B5*10000/$B$1,0)</f>
        <v>21048</v>
      </c>
      <c r="D5" s="1746">
        <f ca="1">ROUND(B5*10000/$B$2,0)</f>
        <v>103064</v>
      </c>
      <c r="E5" s="1745"/>
      <c r="F5" s="1743"/>
      <c r="G5" s="1743"/>
    </row>
    <row r="6" spans="1:10" ht="16.5">
      <c r="A6" s="1746" t="s">
        <v>1356</v>
      </c>
      <c r="B6" s="1746">
        <f ca="1">SUM(G14:G23)</f>
        <v>187494</v>
      </c>
      <c r="C6" s="1746">
        <f ca="1">ROUND(B6*10000/$B$1,0)</f>
        <v>15629</v>
      </c>
      <c r="D6" s="1746">
        <f ca="1">ROUND(B6*10000/$B$2,0)</f>
        <v>76532</v>
      </c>
      <c r="E6" s="1745"/>
      <c r="F6" s="1743"/>
      <c r="G6" s="1743"/>
    </row>
    <row r="7" spans="1:10" ht="16.5">
      <c r="A7" s="1746" t="s">
        <v>1364</v>
      </c>
      <c r="B7" s="1746">
        <f ca="1">SUM(H14:H23)</f>
        <v>252494</v>
      </c>
      <c r="C7" s="1746">
        <f ca="1">ROUND(B7*10000/$B$1,0)</f>
        <v>21048</v>
      </c>
      <c r="D7" s="1746">
        <f ca="1">ROUND(B7*10000/$B$2,0)</f>
        <v>103064</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119963.53</v>
      </c>
      <c r="C14" s="1744">
        <f>结果表!C118</f>
        <v>24498.84</v>
      </c>
      <c r="D14" s="1744">
        <f ca="1">结果表!H118</f>
        <v>252494</v>
      </c>
      <c r="E14" s="1744">
        <f ca="1">ROUND(D14*10000/B14,0)</f>
        <v>21048</v>
      </c>
      <c r="F14" s="1744">
        <f ca="1">ROUND(D14*10000/C14,0)</f>
        <v>103064</v>
      </c>
      <c r="G14" s="1744">
        <f ca="1">结果表!D122</f>
        <v>187494</v>
      </c>
      <c r="H14" s="1744">
        <f ca="1">结果表!D124</f>
        <v>252494</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E91" zoomScaleSheetLayoutView="100" zoomScalePageLayoutView="80" workbookViewId="0">
      <selection activeCell="I105" sqref="I105"/>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c r="D1" s="2423"/>
      <c r="E1" s="2423"/>
      <c r="F1" s="2425" t="s">
        <v>2119</v>
      </c>
      <c r="G1" s="2074" t="s">
        <v>3065</v>
      </c>
      <c r="H1" s="2426" t="str">
        <f>IF(G1="现房","——","估价对象范围")</f>
        <v>——</v>
      </c>
      <c r="I1" s="2427" t="s">
        <v>3456</v>
      </c>
    </row>
    <row r="2" spans="1:12" ht="21.75" customHeight="1" thickBot="1">
      <c r="A2" s="3206" t="str">
        <f>项目基本情况!S2</f>
        <v>北京市房山区政通南路2号院1号楼商业用房房地产</v>
      </c>
      <c r="B2" s="3207"/>
      <c r="C2" s="3207"/>
      <c r="D2" s="3207"/>
      <c r="E2" s="3207"/>
      <c r="F2" s="3207"/>
      <c r="G2" s="3207"/>
      <c r="H2" s="3207"/>
      <c r="I2" s="3208"/>
    </row>
    <row r="3" spans="1:12" ht="12.75">
      <c r="A3" s="3209" t="s">
        <v>2120</v>
      </c>
      <c r="B3" s="3210"/>
      <c r="C3" s="3210"/>
      <c r="D3" s="3210"/>
      <c r="E3" s="3210"/>
      <c r="F3" s="3210"/>
      <c r="G3" s="3210"/>
      <c r="H3" s="3210"/>
      <c r="I3" s="3210"/>
    </row>
    <row r="4" spans="1:12" ht="14.25">
      <c r="A4" s="2430" t="s">
        <v>2121</v>
      </c>
      <c r="B4" s="2431" t="s">
        <v>2122</v>
      </c>
      <c r="C4" s="2432" t="s">
        <v>3455</v>
      </c>
      <c r="D4" s="2432" t="s">
        <v>3448</v>
      </c>
      <c r="E4" s="3190" t="s">
        <v>2123</v>
      </c>
      <c r="F4" s="3203"/>
      <c r="G4" s="3203"/>
      <c r="H4" s="3203"/>
      <c r="I4" s="3191"/>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81" t="s">
        <v>2124</v>
      </c>
      <c r="B5" s="3107">
        <v>25</v>
      </c>
      <c r="C5" s="3211"/>
      <c r="D5" s="3199"/>
      <c r="E5" s="140" t="s">
        <v>2125</v>
      </c>
      <c r="F5" s="2434"/>
      <c r="G5" s="2434"/>
      <c r="H5" s="2434"/>
      <c r="I5" s="1834"/>
    </row>
    <row r="6" spans="1:12" ht="12.75">
      <c r="A6" s="3181"/>
      <c r="B6" s="3107"/>
      <c r="C6" s="3213"/>
      <c r="D6" s="3199"/>
      <c r="E6" s="140" t="s">
        <v>2126</v>
      </c>
      <c r="F6" s="2434"/>
      <c r="G6" s="2434"/>
      <c r="H6" s="2434"/>
      <c r="I6" s="1834"/>
    </row>
    <row r="7" spans="1:12" ht="12.75">
      <c r="A7" s="3181"/>
      <c r="B7" s="3107"/>
      <c r="C7" s="3212"/>
      <c r="D7" s="3199"/>
      <c r="E7" s="140" t="s">
        <v>2127</v>
      </c>
      <c r="F7" s="2434"/>
      <c r="G7" s="2434"/>
      <c r="H7" s="2434"/>
      <c r="I7" s="1834"/>
    </row>
    <row r="8" spans="1:12" ht="12.75">
      <c r="A8" s="3181" t="s">
        <v>2128</v>
      </c>
      <c r="B8" s="3107">
        <v>15</v>
      </c>
      <c r="C8" s="3211"/>
      <c r="D8" s="3199"/>
      <c r="E8" s="140" t="s">
        <v>2129</v>
      </c>
      <c r="F8" s="2434"/>
      <c r="G8" s="2434"/>
      <c r="H8" s="2434"/>
      <c r="I8" s="1834"/>
    </row>
    <row r="9" spans="1:12" ht="12.75">
      <c r="A9" s="3181"/>
      <c r="B9" s="3107"/>
      <c r="C9" s="3212"/>
      <c r="D9" s="3199"/>
      <c r="E9" s="140" t="s">
        <v>2130</v>
      </c>
      <c r="F9" s="2434"/>
      <c r="G9" s="2434"/>
      <c r="H9" s="2434"/>
      <c r="I9" s="1834"/>
    </row>
    <row r="10" spans="1:12" ht="12.75">
      <c r="A10" s="3181" t="s">
        <v>2131</v>
      </c>
      <c r="B10" s="3107">
        <v>15</v>
      </c>
      <c r="C10" s="3211"/>
      <c r="D10" s="3199"/>
      <c r="E10" s="140" t="s">
        <v>2132</v>
      </c>
      <c r="F10" s="2434"/>
      <c r="G10" s="2434"/>
      <c r="H10" s="2434"/>
      <c r="I10" s="1834"/>
    </row>
    <row r="11" spans="1:12" ht="12.75">
      <c r="A11" s="3181"/>
      <c r="B11" s="3107"/>
      <c r="C11" s="3212"/>
      <c r="D11" s="3199"/>
      <c r="E11" s="140" t="s">
        <v>2133</v>
      </c>
      <c r="F11" s="2434"/>
      <c r="G11" s="2434"/>
      <c r="H11" s="2434"/>
      <c r="I11" s="1834"/>
    </row>
    <row r="12" spans="1:12" ht="12.75">
      <c r="A12" s="3181" t="s">
        <v>2134</v>
      </c>
      <c r="B12" s="3107">
        <v>15</v>
      </c>
      <c r="C12" s="3211"/>
      <c r="D12" s="3199"/>
      <c r="E12" s="140" t="s">
        <v>2135</v>
      </c>
      <c r="F12" s="2434"/>
      <c r="G12" s="2434"/>
      <c r="H12" s="2434"/>
      <c r="I12" s="1834"/>
    </row>
    <row r="13" spans="1:12" ht="12.75">
      <c r="A13" s="3181"/>
      <c r="B13" s="3107"/>
      <c r="C13" s="3212"/>
      <c r="D13" s="3199"/>
      <c r="E13" s="140" t="s">
        <v>2136</v>
      </c>
      <c r="F13" s="2434"/>
      <c r="G13" s="2434"/>
      <c r="H13" s="2434"/>
      <c r="I13" s="1834"/>
    </row>
    <row r="14" spans="1:12" ht="12.75">
      <c r="A14" s="3181" t="s">
        <v>2137</v>
      </c>
      <c r="B14" s="3107">
        <v>30</v>
      </c>
      <c r="C14" s="3211">
        <v>4</v>
      </c>
      <c r="D14" s="3199">
        <v>6</v>
      </c>
      <c r="E14" s="140" t="s">
        <v>2138</v>
      </c>
      <c r="F14" s="2434"/>
      <c r="G14" s="2434"/>
      <c r="H14" s="2434"/>
      <c r="I14" s="1834"/>
    </row>
    <row r="15" spans="1:12" ht="12.75">
      <c r="A15" s="3181"/>
      <c r="B15" s="3107"/>
      <c r="C15" s="3213"/>
      <c r="D15" s="3199"/>
      <c r="E15" s="140" t="s">
        <v>2139</v>
      </c>
      <c r="F15" s="2434"/>
      <c r="G15" s="2434"/>
      <c r="H15" s="2434"/>
      <c r="I15" s="1834"/>
    </row>
    <row r="16" spans="1:12" ht="12.75">
      <c r="A16" s="3181"/>
      <c r="B16" s="3107"/>
      <c r="C16" s="3212"/>
      <c r="D16" s="3199"/>
      <c r="E16" s="140" t="s">
        <v>2140</v>
      </c>
      <c r="F16" s="2434"/>
      <c r="G16" s="2434"/>
      <c r="H16" s="2434"/>
      <c r="I16" s="1834"/>
    </row>
    <row r="17" spans="1:35" ht="15">
      <c r="A17" s="2435" t="s">
        <v>2141</v>
      </c>
      <c r="B17" s="64"/>
      <c r="C17" s="141">
        <f>SUM(C5:C16)</f>
        <v>4</v>
      </c>
      <c r="D17" s="141">
        <f>SUM(D5:D16)</f>
        <v>6</v>
      </c>
      <c r="E17" s="138"/>
      <c r="F17" s="138"/>
      <c r="G17" s="138"/>
      <c r="H17" s="138"/>
      <c r="I17" s="138"/>
      <c r="K17" s="2433"/>
      <c r="L17" s="2436" t="s">
        <v>2142</v>
      </c>
      <c r="M17" s="2436" t="s">
        <v>2143</v>
      </c>
    </row>
    <row r="18" spans="1:35" ht="15.75" thickBot="1">
      <c r="A18" s="2437" t="s">
        <v>2144</v>
      </c>
      <c r="B18" s="2438"/>
      <c r="C18" s="142">
        <f>ROUND(C17/SUM(C17:D17),2)</f>
        <v>0.4</v>
      </c>
      <c r="D18" s="142">
        <f>1-C18</f>
        <v>0.6</v>
      </c>
      <c r="E18" s="138"/>
      <c r="F18" s="138"/>
      <c r="G18" s="138"/>
      <c r="H18" s="138"/>
      <c r="I18" s="138"/>
      <c r="K18" s="2433" t="s">
        <v>2145</v>
      </c>
      <c r="L18" s="2433">
        <f>IF(C1="",'数据-汇总表'!E3,SUMIF(项目类型,C1,'数据-汇总表'!E17:E26)+SUMIF(项目类型,C1,'数据-汇总表'!I17:I26))</f>
        <v>119963.53</v>
      </c>
      <c r="M18" s="2433">
        <f>IF(C1="",'数据-汇总表'!E3,SUMIF(项目类型,C1,'数据-汇总表'!E17:E26))</f>
        <v>119963.53</v>
      </c>
    </row>
    <row r="19" spans="1:35" ht="15">
      <c r="A19" s="2439" t="s">
        <v>2146</v>
      </c>
      <c r="B19" s="2440" t="s">
        <v>2147</v>
      </c>
      <c r="C19" s="143">
        <f ca="1">SUMIF(INDIRECT("'"&amp;C4&amp;"'"&amp;"!A:A"),结果表!B19,INDIRECT("'"&amp;C4&amp;"'"&amp;"!B:B"))</f>
        <v>357444</v>
      </c>
      <c r="D19" s="144">
        <f ca="1">SUMIF(INDIRECT("'"&amp;D4&amp;"'"&amp;"!A:A"),结果表!B19,INDIRECT("'"&amp;D4&amp;"'"&amp;"!B:B"))</f>
        <v>182527</v>
      </c>
      <c r="E19" s="2439" t="s">
        <v>2148</v>
      </c>
      <c r="F19" s="2440" t="s">
        <v>2147</v>
      </c>
      <c r="G19" s="145">
        <f ca="1">ROUND(C19*$C$18+D19*$D$18,0)</f>
        <v>252494</v>
      </c>
      <c r="H19" s="2441" t="s">
        <v>2149</v>
      </c>
      <c r="I19" s="138"/>
      <c r="K19" s="2433" t="s">
        <v>2150</v>
      </c>
      <c r="L19" s="2433">
        <f>IF(C1="",'数据-汇总表'!D3,SUMIF(项目类型,C1,'数据-汇总表'!D17:D26)+SUMIF(项目类型,C1,'数据-汇总表'!H17:H27))</f>
        <v>24498.84</v>
      </c>
      <c r="M19" s="2433">
        <f>IF(C1="",'数据-汇总表'!D3,SUMIF(项目类型,C1,'数据-汇总表'!D17:D26))</f>
        <v>24498.84</v>
      </c>
    </row>
    <row r="20" spans="1:35" ht="15">
      <c r="A20" s="2442"/>
      <c r="B20" s="1250" t="s">
        <v>2151</v>
      </c>
      <c r="C20" s="146">
        <f ca="1">SUMIF(INDIRECT("'"&amp;C4&amp;"'"&amp;"!A:A"),结果表!B20,INDIRECT("'"&amp;C4&amp;"'"&amp;"!B:B"))</f>
        <v>29796</v>
      </c>
      <c r="D20" s="147">
        <f ca="1">SUMIF(INDIRECT("'"&amp;D4&amp;"'"&amp;"!A:A"),结果表!B20,INDIRECT("'"&amp;D4&amp;"'"&amp;"!B:B"))</f>
        <v>15215</v>
      </c>
      <c r="E20" s="2442"/>
      <c r="F20" s="1250" t="s">
        <v>2151</v>
      </c>
      <c r="G20" s="148">
        <f ca="1">ROUND(C20*$C$18+D20*$D$18,0)</f>
        <v>21047</v>
      </c>
      <c r="H20" s="983" t="s">
        <v>2152</v>
      </c>
      <c r="I20" s="138"/>
    </row>
    <row r="21" spans="1:35" ht="15" customHeight="1" thickBot="1">
      <c r="A21" s="1003"/>
      <c r="B21" s="2443" t="s">
        <v>2153</v>
      </c>
      <c r="C21" s="789">
        <f ca="1">ROUND(C19*10000/L19,0)</f>
        <v>145902</v>
      </c>
      <c r="D21" s="790">
        <f ca="1">ROUND(D19*10000/L19,0)</f>
        <v>74504</v>
      </c>
      <c r="E21" s="1003"/>
      <c r="F21" s="2443" t="s">
        <v>2153</v>
      </c>
      <c r="G21" s="149">
        <f ca="1">ROUND(G19*10000/L19,0)</f>
        <v>103064</v>
      </c>
      <c r="H21" s="2444" t="s">
        <v>2152</v>
      </c>
      <c r="I21" s="138"/>
    </row>
    <row r="22" spans="1:35" ht="15" thickBot="1">
      <c r="A22" s="2285" t="s">
        <v>2154</v>
      </c>
      <c r="B22" s="2445"/>
      <c r="C22" s="2446"/>
      <c r="D22" s="791">
        <f ca="1">IF(C19&lt;D19,D19/C19-1,C19/D19-1)</f>
        <v>0.95830753806286184</v>
      </c>
      <c r="E22" s="138"/>
      <c r="F22" s="138"/>
      <c r="G22" s="138"/>
      <c r="H22" s="138"/>
      <c r="I22" s="138"/>
    </row>
    <row r="23" spans="1:35" ht="13.5" thickBot="1">
      <c r="A23" s="2423"/>
      <c r="B23" s="2423"/>
      <c r="C23" s="2423"/>
      <c r="D23" s="2423"/>
      <c r="E23" s="138"/>
      <c r="F23" s="138"/>
      <c r="G23" s="138"/>
      <c r="H23" s="138"/>
      <c r="I23" s="138"/>
    </row>
    <row r="24" spans="1:35" ht="14.25">
      <c r="A24" s="3220" t="s">
        <v>2155</v>
      </c>
      <c r="B24" s="2440" t="s">
        <v>2147</v>
      </c>
      <c r="C24" s="145">
        <f>IF(B30=0,0,D30)</f>
        <v>0</v>
      </c>
      <c r="D24" s="2447"/>
      <c r="E24" s="138"/>
      <c r="F24" s="138"/>
      <c r="G24" s="138"/>
      <c r="H24" s="138"/>
      <c r="I24" s="138"/>
    </row>
    <row r="25" spans="1:35" ht="14.25">
      <c r="A25" s="3221"/>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32" t="s">
        <v>3037</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252494</v>
      </c>
      <c r="D32" s="2454" t="s">
        <v>2162</v>
      </c>
      <c r="E32" s="138"/>
      <c r="F32" s="138"/>
      <c r="G32" s="138"/>
      <c r="H32" s="138"/>
      <c r="I32" s="138"/>
    </row>
    <row r="33" spans="1:15" ht="15">
      <c r="A33" s="960" t="s">
        <v>2163</v>
      </c>
      <c r="B33" s="2455"/>
      <c r="C33" s="2456" t="s">
        <v>3571</v>
      </c>
      <c r="D33" s="2457" t="s">
        <v>3448</v>
      </c>
      <c r="E33" s="2458" t="s">
        <v>2164</v>
      </c>
      <c r="F33" s="2459" t="str">
        <f>IF(D32="楼面单价","取值（单价）","取值（总价）")</f>
        <v>取值（总价）</v>
      </c>
      <c r="G33" s="138"/>
      <c r="H33" s="138"/>
      <c r="I33" s="138"/>
    </row>
    <row r="34" spans="1:15" ht="15">
      <c r="A34" s="2460"/>
      <c r="B34" s="2461" t="s">
        <v>2165</v>
      </c>
      <c r="C34" s="157">
        <f ca="1">IF(C33="自定义",F34,C32-C35)</f>
        <v>150234</v>
      </c>
      <c r="D34" s="1058">
        <f ca="1">IF(C33="自定义",ROUND(C34/C32,3),IF(C33="收益比率",SUMIF(INDIRECT("'"&amp;D33&amp;"'"&amp;"!b:b"),"土地收益比率",INDIRECT("'"&amp;D33&amp;"'"&amp;"!c:c")),SUMIF(INDIRECT("'"&amp;D33&amp;"'"&amp;"!b:b"),"土地成本比率",INDIRECT("'"&amp;D33&amp;"'"&amp;"!c:c"))))</f>
        <v>0.59499999999999997</v>
      </c>
      <c r="E34" s="2462" t="s">
        <v>2166</v>
      </c>
      <c r="F34" s="1739"/>
      <c r="G34" s="138"/>
      <c r="H34" s="138"/>
      <c r="I34" s="138"/>
    </row>
    <row r="35" spans="1:15" ht="15.75" thickBot="1">
      <c r="A35" s="2463"/>
      <c r="B35" s="2464" t="s">
        <v>2167</v>
      </c>
      <c r="C35" s="1444">
        <f ca="1">IF(C33="自定义",F35,ROUND(C32*D35,0))</f>
        <v>102260</v>
      </c>
      <c r="D35" s="1445">
        <f ca="1">IF(C33="自定义",ROUND(C35/C32,3),IF(C33="收益比率",SUMIF(INDIRECT("'"&amp;D33&amp;"'"&amp;"!b:b"),"建筑物收益比率",INDIRECT("'"&amp;D33&amp;"'"&amp;"!c:c")),SUMIF(INDIRECT("'"&amp;D33&amp;"'"&amp;"!b:b"),"建筑物成本比率",INDIRECT("'"&amp;D33&amp;"'"&amp;"!c:c"))))</f>
        <v>0.40500000000000003</v>
      </c>
      <c r="E35" s="2465" t="s">
        <v>2168</v>
      </c>
      <c r="F35" s="163"/>
      <c r="G35" s="138"/>
      <c r="H35" s="138"/>
      <c r="I35" s="138"/>
    </row>
    <row r="36" spans="1:15" ht="15.75" thickBot="1">
      <c r="A36" s="3200" t="s">
        <v>2169</v>
      </c>
      <c r="B36" s="2466" t="s">
        <v>2170</v>
      </c>
      <c r="C36" s="154">
        <v>65000</v>
      </c>
      <c r="D36" s="2467" t="s">
        <v>3576</v>
      </c>
      <c r="E36" s="2468"/>
      <c r="F36" s="2469"/>
      <c r="G36" s="138"/>
      <c r="H36" s="138"/>
      <c r="I36" s="138"/>
    </row>
    <row r="37" spans="1:15" ht="15.75" thickBot="1">
      <c r="A37" s="3201"/>
      <c r="B37" s="2271" t="s">
        <v>2171</v>
      </c>
      <c r="C37" s="156"/>
      <c r="D37" s="1395"/>
      <c r="E37" s="1395"/>
      <c r="F37" s="2469"/>
      <c r="G37" s="138"/>
      <c r="H37" s="138"/>
      <c r="I37" s="138"/>
    </row>
    <row r="38" spans="1:15" ht="15.75" thickBot="1">
      <c r="A38" s="3202"/>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217" t="s">
        <v>2183</v>
      </c>
      <c r="B45" s="3218"/>
      <c r="C45" s="3219"/>
      <c r="D45" s="164">
        <f ca="1">ROUND(H101*F45,0)</f>
        <v>252494</v>
      </c>
      <c r="E45" s="165" t="s">
        <v>2184</v>
      </c>
      <c r="F45" s="166">
        <v>1</v>
      </c>
      <c r="G45" s="167" t="s">
        <v>2185</v>
      </c>
      <c r="H45" s="138"/>
      <c r="I45" s="138"/>
      <c r="J45" s="3136" t="s">
        <v>2186</v>
      </c>
      <c r="K45" s="3136"/>
      <c r="L45" s="3136"/>
      <c r="M45" s="3136"/>
      <c r="N45" s="3136"/>
      <c r="O45" s="3136"/>
    </row>
    <row r="46" spans="1:15" ht="14.25" customHeight="1">
      <c r="A46" s="3214" t="s">
        <v>2187</v>
      </c>
      <c r="B46" s="3215"/>
      <c r="C46" s="3215"/>
      <c r="D46" s="3215"/>
      <c r="E46" s="3215"/>
      <c r="F46" s="3215"/>
      <c r="G46" s="3216"/>
      <c r="H46" s="2485"/>
      <c r="I46" s="168"/>
      <c r="J46" s="1812">
        <v>1</v>
      </c>
      <c r="K46" s="3136" t="s">
        <v>2188</v>
      </c>
      <c r="L46" s="3136"/>
      <c r="M46" s="3137"/>
      <c r="N46" s="3137"/>
      <c r="O46" s="3137"/>
    </row>
    <row r="47" spans="1:15" ht="12" customHeight="1">
      <c r="A47" s="169" t="s">
        <v>2189</v>
      </c>
      <c r="B47" s="170"/>
      <c r="C47" s="171"/>
      <c r="D47" s="172" t="s">
        <v>2190</v>
      </c>
      <c r="E47" s="24" t="s">
        <v>2191</v>
      </c>
      <c r="F47" s="173" t="s">
        <v>2192</v>
      </c>
      <c r="G47" s="174" t="s">
        <v>2193</v>
      </c>
      <c r="H47" s="2485"/>
      <c r="I47" s="168"/>
      <c r="J47" s="1812">
        <v>2</v>
      </c>
      <c r="K47" s="3136" t="s">
        <v>2194</v>
      </c>
      <c r="L47" s="3136"/>
      <c r="M47" s="3138">
        <f>'数据-取费表'!B2</f>
        <v>43235</v>
      </c>
      <c r="N47" s="3138"/>
      <c r="O47" s="3138"/>
    </row>
    <row r="48" spans="1:15" ht="25.5">
      <c r="A48" s="3204" t="s">
        <v>2195</v>
      </c>
      <c r="B48" s="3205"/>
      <c r="C48" s="3205"/>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36" t="s">
        <v>2198</v>
      </c>
      <c r="L48" s="3136"/>
      <c r="M48" s="3139">
        <f ca="1">H101</f>
        <v>252494</v>
      </c>
      <c r="N48" s="3139"/>
      <c r="O48" s="3139"/>
    </row>
    <row r="49" spans="1:35" ht="25.5" customHeight="1">
      <c r="A49" s="176" t="s">
        <v>2199</v>
      </c>
      <c r="B49" s="3184" t="s">
        <v>2200</v>
      </c>
      <c r="C49" s="3184"/>
      <c r="D49" s="177">
        <v>0</v>
      </c>
      <c r="E49" s="23" t="s">
        <v>2201</v>
      </c>
      <c r="F49" s="28" t="s">
        <v>34</v>
      </c>
      <c r="G49" s="3165"/>
      <c r="H49" s="138"/>
      <c r="I49" s="2488"/>
      <c r="J49" s="1812">
        <v>4</v>
      </c>
      <c r="K49" s="3136" t="str">
        <f>IF(项目基本情况!E8="房地产抵押价值","房地产抵押价值","抵押担保权已注销时的房地产抵押价值")</f>
        <v>抵押担保权已注销时的房地产抵押价值</v>
      </c>
      <c r="L49" s="3136"/>
      <c r="M49" s="3139">
        <f ca="1">IF(项目基本情况!E8="房地产抵押价值",H107,H109)</f>
        <v>252494</v>
      </c>
      <c r="N49" s="3139"/>
      <c r="O49" s="3139"/>
    </row>
    <row r="50" spans="1:35" ht="25.5" customHeight="1">
      <c r="A50" s="178"/>
      <c r="B50" s="3184" t="s">
        <v>2202</v>
      </c>
      <c r="C50" s="3184"/>
      <c r="D50" s="179"/>
      <c r="E50" s="31"/>
      <c r="F50" s="180"/>
      <c r="G50" s="3166"/>
      <c r="H50" s="138"/>
      <c r="I50" s="2488"/>
      <c r="J50" s="3136" t="s">
        <v>2203</v>
      </c>
      <c r="K50" s="3136"/>
      <c r="L50" s="3136"/>
      <c r="M50" s="3136"/>
      <c r="N50" s="3136"/>
      <c r="O50" s="3136"/>
    </row>
    <row r="51" spans="1:35" ht="12" customHeight="1">
      <c r="A51" s="181"/>
      <c r="B51" s="3184" t="s">
        <v>2204</v>
      </c>
      <c r="C51" s="3184"/>
      <c r="D51" s="182"/>
      <c r="E51" s="30"/>
      <c r="F51" s="180"/>
      <c r="G51" s="3167"/>
      <c r="H51" s="138"/>
      <c r="I51" s="2488"/>
      <c r="J51" s="2489" t="s">
        <v>2205</v>
      </c>
      <c r="K51" s="3136" t="s">
        <v>2206</v>
      </c>
      <c r="L51" s="3136"/>
      <c r="M51" s="2489" t="s">
        <v>2207</v>
      </c>
      <c r="N51" s="2489" t="s">
        <v>2208</v>
      </c>
      <c r="O51" s="2489" t="s">
        <v>2209</v>
      </c>
    </row>
    <row r="52" spans="1:35" ht="24" customHeight="1">
      <c r="A52" s="183" t="s">
        <v>2210</v>
      </c>
      <c r="B52" s="3184" t="s">
        <v>2211</v>
      </c>
      <c r="C52" s="3184"/>
      <c r="D52" s="182">
        <f ca="1">ROUND(D45*'数据-取费表'!B41/(1+'数据-取费表'!C42),0)</f>
        <v>13226</v>
      </c>
      <c r="E52" s="11" t="s">
        <v>2212</v>
      </c>
      <c r="F52" s="184">
        <f>'数据-取费表'!B41</f>
        <v>5.5000000000000007E-2</v>
      </c>
      <c r="G52" s="2490"/>
      <c r="H52" s="138"/>
      <c r="I52" s="2488"/>
      <c r="J52" s="1812">
        <v>1</v>
      </c>
      <c r="K52" s="3159" t="s">
        <v>2213</v>
      </c>
      <c r="L52" s="3159"/>
      <c r="M52" s="1754">
        <f>D48</f>
        <v>0</v>
      </c>
      <c r="N52" s="1812" t="str">
        <f>E48</f>
        <v>销售额×税（费）率</v>
      </c>
      <c r="O52" s="1755" t="str">
        <f>F48</f>
        <v>免征</v>
      </c>
    </row>
    <row r="53" spans="1:35" ht="12" customHeight="1">
      <c r="A53" s="183" t="s">
        <v>2214</v>
      </c>
      <c r="B53" s="3185" t="s">
        <v>2215</v>
      </c>
      <c r="C53" s="3186"/>
      <c r="D53" s="182">
        <f ca="1">ROUND(D45*'数据-取费表'!B41/(1+'数据-取费表'!C42),0)</f>
        <v>13226</v>
      </c>
      <c r="E53" s="11" t="s">
        <v>2212</v>
      </c>
      <c r="F53" s="184">
        <f>'数据-取费表'!B41</f>
        <v>5.5000000000000007E-2</v>
      </c>
      <c r="G53" s="2490"/>
      <c r="H53" s="138"/>
      <c r="I53" s="2488"/>
      <c r="J53" s="1812">
        <v>2</v>
      </c>
      <c r="K53" s="3159" t="s">
        <v>2216</v>
      </c>
      <c r="L53" s="3159"/>
      <c r="M53" s="1754">
        <f t="shared" ref="M53:O54" ca="1" si="0">D55</f>
        <v>126</v>
      </c>
      <c r="N53" s="1812" t="str">
        <f t="shared" si="0"/>
        <v>销售额×税（费）率</v>
      </c>
      <c r="O53" s="1755">
        <f t="shared" si="0"/>
        <v>5.0000000000000001E-4</v>
      </c>
    </row>
    <row r="54" spans="1:35" ht="12" customHeight="1">
      <c r="A54" s="183" t="s">
        <v>2217</v>
      </c>
      <c r="B54" s="3185" t="s">
        <v>2218</v>
      </c>
      <c r="C54" s="3186"/>
      <c r="D54" s="182">
        <f ca="1">C68</f>
        <v>13226</v>
      </c>
      <c r="E54" s="30" t="s">
        <v>2219</v>
      </c>
      <c r="F54" s="184">
        <f>'数据-取费表'!B41</f>
        <v>5.5000000000000007E-2</v>
      </c>
      <c r="G54" s="2490"/>
      <c r="H54" s="2491"/>
      <c r="I54" s="2488"/>
      <c r="J54" s="1812">
        <v>3</v>
      </c>
      <c r="K54" s="3159" t="s">
        <v>2220</v>
      </c>
      <c r="L54" s="3159"/>
      <c r="M54" s="1754">
        <f t="shared" ca="1" si="0"/>
        <v>143140</v>
      </c>
      <c r="N54" s="1812" t="str">
        <f t="shared" si="0"/>
        <v>增值额×税（费）率</v>
      </c>
      <c r="O54" s="1756" t="str">
        <f t="shared" si="0"/>
        <v>——</v>
      </c>
    </row>
    <row r="55" spans="1:35" ht="24" customHeight="1">
      <c r="A55" s="3223" t="s">
        <v>2221</v>
      </c>
      <c r="B55" s="3205"/>
      <c r="C55" s="3205"/>
      <c r="D55" s="185">
        <f ca="1">IF(H55="个人住宅",0,ROUND(D45*I55,0))</f>
        <v>126</v>
      </c>
      <c r="E55" s="11" t="s">
        <v>2222</v>
      </c>
      <c r="F55" s="184">
        <f>IF(H55="正常",I55,"免征")</f>
        <v>5.0000000000000001E-4</v>
      </c>
      <c r="G55" s="2490"/>
      <c r="H55" s="2487" t="s">
        <v>2223</v>
      </c>
      <c r="I55" s="186">
        <f>'数据-取费表'!B49</f>
        <v>5.0000000000000001E-4</v>
      </c>
      <c r="J55" s="1812" t="str">
        <f>IF(H59="非个人房产","",4)</f>
        <v/>
      </c>
      <c r="K55" s="3159" t="str">
        <f>IF(H59="非个人房产","——","个人所得税")</f>
        <v>——</v>
      </c>
      <c r="L55" s="3159"/>
      <c r="M55" s="1757" t="str">
        <f>D59</f>
        <v>——</v>
      </c>
      <c r="N55" s="1810" t="str">
        <f>E59</f>
        <v>——</v>
      </c>
      <c r="O55" s="1758" t="str">
        <f>F59</f>
        <v>——</v>
      </c>
    </row>
    <row r="56" spans="1:35" ht="24.75">
      <c r="A56" s="3223" t="s">
        <v>2224</v>
      </c>
      <c r="B56" s="3205"/>
      <c r="C56" s="3205"/>
      <c r="D56" s="185">
        <f ca="1">IF(H56="个人住宅",D57,D58)</f>
        <v>143140</v>
      </c>
      <c r="E56" s="11" t="s">
        <v>2225</v>
      </c>
      <c r="F56" s="184" t="str">
        <f>IF(H56="正常",F58,"免征")</f>
        <v>——</v>
      </c>
      <c r="G56" s="2492" t="s">
        <v>2226</v>
      </c>
      <c r="H56" s="2493" t="s">
        <v>2223</v>
      </c>
      <c r="I56" s="2494"/>
      <c r="J56" s="1812" t="str">
        <f>IF(项目基本情况!K6="上海银行",IF(J55="",4,J55+1),"")</f>
        <v/>
      </c>
      <c r="K56" s="3142" t="str">
        <f>IF(项目基本情况!K6="上海银行","其他处置费用","")</f>
        <v/>
      </c>
      <c r="L56" s="3143"/>
      <c r="M56" s="1754" t="str">
        <f>IF(项目基本情况!K6="上海银行",M69,"")</f>
        <v/>
      </c>
      <c r="N56" s="3145" t="str">
        <f>IF(项目基本情况!K6="上海银行","包含处置中涉及的律师、诉讼、拍卖、评估等费用","")</f>
        <v/>
      </c>
      <c r="O56" s="3146"/>
    </row>
    <row r="57" spans="1:35" ht="12.75">
      <c r="A57" s="183" t="s">
        <v>2199</v>
      </c>
      <c r="B57" s="3190" t="s">
        <v>2227</v>
      </c>
      <c r="C57" s="3191"/>
      <c r="D57" s="187">
        <v>0</v>
      </c>
      <c r="E57" s="23" t="s">
        <v>2201</v>
      </c>
      <c r="F57" s="155"/>
      <c r="G57" s="2490"/>
      <c r="H57" s="2494"/>
      <c r="I57" s="2494"/>
      <c r="J57" s="3159">
        <f>IF(AND(J55="",J56=""),4,IF(项目基本情况!K6="上海银行",结果表!J56+1,结果表!J55+1))</f>
        <v>4</v>
      </c>
      <c r="K57" s="3159" t="s">
        <v>2228</v>
      </c>
      <c r="L57" s="2495" t="s">
        <v>2229</v>
      </c>
      <c r="M57" s="1759"/>
      <c r="N57" s="1760">
        <f ca="1">SUMIF(M52:M56,"&lt;9e307")</f>
        <v>143266</v>
      </c>
      <c r="O57" s="2496"/>
      <c r="P57" s="1753">
        <f ca="1">N57/M49</f>
        <v>0.5674035818672919</v>
      </c>
    </row>
    <row r="58" spans="1:35" ht="24.75">
      <c r="A58" s="183" t="s">
        <v>2210</v>
      </c>
      <c r="B58" s="3190" t="s">
        <v>2230</v>
      </c>
      <c r="C58" s="3203"/>
      <c r="D58" s="185">
        <f ca="1">IF(H58="转让取得",C81,C97)</f>
        <v>143140</v>
      </c>
      <c r="E58" s="11" t="s">
        <v>2225</v>
      </c>
      <c r="F58" s="24" t="s">
        <v>34</v>
      </c>
      <c r="G58" s="2490"/>
      <c r="H58" s="2493" t="s">
        <v>2231</v>
      </c>
      <c r="I58" s="2494"/>
      <c r="J58" s="3159"/>
      <c r="K58" s="3159"/>
      <c r="L58" s="2495" t="s">
        <v>2232</v>
      </c>
      <c r="M58" s="1761"/>
      <c r="N58" s="2497" t="str">
        <f ca="1">NUMBERSTRING(INT(N57*10000),2)&amp;"元整"</f>
        <v>壹拾肆亿叁仟贰佰陆拾陆万元整</v>
      </c>
      <c r="O58" s="2498"/>
    </row>
    <row r="59" spans="1:35" ht="24.75" thickBot="1">
      <c r="A59" s="3163" t="s">
        <v>2233</v>
      </c>
      <c r="B59" s="3164"/>
      <c r="C59" s="3164"/>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161">
        <f>J57+1</f>
        <v>5</v>
      </c>
      <c r="K59" s="3159" t="s">
        <v>2235</v>
      </c>
      <c r="L59" s="1812" t="s">
        <v>2229</v>
      </c>
      <c r="M59" s="1762"/>
      <c r="N59" s="1763">
        <f ca="1">M49-N57</f>
        <v>109228</v>
      </c>
      <c r="O59" s="2500"/>
    </row>
    <row r="60" spans="1:35" ht="12" customHeight="1">
      <c r="A60" s="2501"/>
      <c r="B60" s="2423"/>
      <c r="C60" s="2423"/>
      <c r="D60" s="2423"/>
      <c r="E60" s="2170"/>
      <c r="F60" s="2494"/>
      <c r="G60" s="2494"/>
      <c r="H60" s="2502"/>
      <c r="I60" s="138"/>
      <c r="J60" s="3162"/>
      <c r="K60" s="3159"/>
      <c r="L60" s="2495" t="s">
        <v>2232</v>
      </c>
      <c r="M60" s="1761"/>
      <c r="N60" s="2497" t="str">
        <f ca="1">NUMBERSTRING(INT(N59*10000),2)&amp;"元整"</f>
        <v>壹拾亿玖仟贰佰贰拾捌万元整</v>
      </c>
      <c r="O60" s="2498"/>
    </row>
    <row r="61" spans="1:35" ht="13.5" thickBot="1">
      <c r="A61" s="3222" t="s">
        <v>2236</v>
      </c>
      <c r="B61" s="3222"/>
      <c r="C61" s="3222"/>
      <c r="D61" s="3222"/>
      <c r="E61" s="3222"/>
      <c r="F61" s="2494"/>
      <c r="G61" s="2494"/>
      <c r="H61" s="2502"/>
      <c r="I61" s="138"/>
      <c r="J61" s="1812">
        <f>J59+1</f>
        <v>6</v>
      </c>
      <c r="K61" s="3159" t="s">
        <v>2237</v>
      </c>
      <c r="L61" s="3159"/>
      <c r="M61" s="1764"/>
      <c r="N61" s="1765">
        <f ca="1">ROUND(N59*10000/'数据-汇总表'!E3,0)</f>
        <v>9105</v>
      </c>
      <c r="O61" s="2503"/>
    </row>
    <row r="62" spans="1:35" ht="12.75">
      <c r="A62" s="3179" t="s">
        <v>2238</v>
      </c>
      <c r="B62" s="3180"/>
      <c r="C62" s="1804"/>
      <c r="D62" s="1804" t="s">
        <v>2239</v>
      </c>
      <c r="E62" s="192" t="s">
        <v>2240</v>
      </c>
      <c r="F62" s="2494"/>
      <c r="G62" s="2494"/>
      <c r="H62" s="2502"/>
      <c r="I62" s="138"/>
    </row>
    <row r="63" spans="1:35" ht="12.75">
      <c r="A63" s="203" t="s">
        <v>775</v>
      </c>
      <c r="B63" s="193" t="s">
        <v>2241</v>
      </c>
      <c r="C63" s="194">
        <f ca="1">ROUND((C64+C65)/(1+'数据-取费表'!C42),0)</f>
        <v>240470</v>
      </c>
      <c r="D63" s="195"/>
      <c r="E63" s="196"/>
      <c r="F63" s="2494"/>
      <c r="G63" s="2494"/>
      <c r="H63" s="2502"/>
      <c r="I63" s="138"/>
      <c r="J63" s="3144" t="s">
        <v>2242</v>
      </c>
      <c r="K63" s="2504" t="s">
        <v>2243</v>
      </c>
      <c r="L63" s="1752">
        <f ca="1">IF(M49&gt;10000,M49*0.5%,IF(AND(M49&gt;1000,M49&lt;=10000),M49*1%,IF(AND(M49&gt;100,M49&lt;=1000),M49*3%,IF(AND(M49&gt;10,M49&lt;=100),M49*5%,M49*8%))))</f>
        <v>1262.47</v>
      </c>
      <c r="M63" s="24">
        <f ca="1">ROUND(L63,1)</f>
        <v>1262.5</v>
      </c>
      <c r="Z63" s="2428"/>
      <c r="AI63" s="2429"/>
    </row>
    <row r="64" spans="1:35" ht="14.25" customHeight="1">
      <c r="A64" s="197" t="s">
        <v>770</v>
      </c>
      <c r="B64" s="198" t="s">
        <v>2244</v>
      </c>
      <c r="C64" s="199">
        <f ca="1">D45</f>
        <v>252494</v>
      </c>
      <c r="D64" s="200" t="s">
        <v>32</v>
      </c>
      <c r="E64" s="201"/>
      <c r="F64" s="2494"/>
      <c r="G64" s="2494"/>
      <c r="H64" s="2502"/>
      <c r="I64" s="138"/>
      <c r="J64" s="3144"/>
      <c r="K64" s="2504" t="s">
        <v>2245</v>
      </c>
      <c r="L64" s="1752">
        <f ca="1">IF(M49&gt;2000,M49*0.5%,IF(AND(M49&gt;1000,M49&lt;=2000),M49*0.6%,IF(AND(M49&gt;500,M49&lt;=1000),M49*0.7%,IF(AND(M49&gt;200,M49&lt;=500),M49*0.8%,IF(AND(M49&gt;100,M49&lt;=200),M49*0.9%,IF(AND(M49&gt;50,M49&lt;=100),M49*1%,IF(AND(M49&gt;20,M49&lt;=50),M49*1.5%,IF(AND(M49&gt;10,M49&lt;=20),M49*2%,IF(AND(M49&gt;1,M49&lt;=10),M49*2.5%)))))))))</f>
        <v>1262.47</v>
      </c>
      <c r="M64" s="24">
        <f t="shared" ref="M64:M65" ca="1" si="1">ROUND(L64,1)</f>
        <v>1262.5</v>
      </c>
      <c r="N64" s="138" t="s">
        <v>2246</v>
      </c>
      <c r="Z64" s="2428"/>
      <c r="AI64" s="2429"/>
    </row>
    <row r="65" spans="1:35" ht="14.25" customHeight="1">
      <c r="A65" s="197" t="s">
        <v>771</v>
      </c>
      <c r="B65" s="198" t="s">
        <v>2247</v>
      </c>
      <c r="C65" s="202"/>
      <c r="D65" s="200"/>
      <c r="E65" s="201"/>
      <c r="F65" s="2494"/>
      <c r="G65" s="2494"/>
      <c r="H65" s="2502"/>
      <c r="I65" s="138"/>
      <c r="J65" s="3144"/>
      <c r="K65" s="2504" t="s">
        <v>2248</v>
      </c>
      <c r="L65" s="1752">
        <f ca="1">IF(M49&gt;1000,M49*0.1%,IF(AND(M49&gt;500,M49&lt;=1000),M49*0.5%,IF(AND(M49&gt;50,M49&lt;=500),M49*1%,IF(AND(M49&gt;1,M49&lt;=50),M49*1.5%))))</f>
        <v>252.494</v>
      </c>
      <c r="M65" s="24">
        <f t="shared" ca="1" si="1"/>
        <v>252.5</v>
      </c>
      <c r="N65" s="138" t="s">
        <v>2246</v>
      </c>
      <c r="Z65" s="2428"/>
      <c r="AI65" s="2429"/>
    </row>
    <row r="66" spans="1:35" ht="14.25" customHeight="1">
      <c r="A66" s="203" t="s">
        <v>772</v>
      </c>
      <c r="B66" s="204" t="s">
        <v>2249</v>
      </c>
      <c r="C66" s="205"/>
      <c r="D66" s="206" t="s">
        <v>32</v>
      </c>
      <c r="E66" s="1776" t="s">
        <v>1371</v>
      </c>
      <c r="F66" s="2494"/>
      <c r="G66" s="2494"/>
      <c r="H66" s="2502"/>
      <c r="I66" s="138"/>
      <c r="J66" s="3144"/>
      <c r="K66" s="2504" t="s">
        <v>2250</v>
      </c>
      <c r="L66" s="1752">
        <f ca="1">M49*0.5%</f>
        <v>1262.47</v>
      </c>
      <c r="M66" s="24">
        <f ca="1">IF(L66&gt;0.5,0.5,ROUND(L66,0))</f>
        <v>0.5</v>
      </c>
      <c r="N66" s="138" t="s">
        <v>2251</v>
      </c>
      <c r="Z66" s="2428"/>
      <c r="AI66" s="2429"/>
    </row>
    <row r="67" spans="1:35" ht="14.25" customHeight="1">
      <c r="A67" s="203" t="s">
        <v>773</v>
      </c>
      <c r="B67" s="204" t="s">
        <v>2252</v>
      </c>
      <c r="C67" s="207">
        <f ca="1">C63-C66</f>
        <v>240470</v>
      </c>
      <c r="D67" s="200" t="s">
        <v>32</v>
      </c>
      <c r="E67" s="201"/>
      <c r="F67" s="2494"/>
      <c r="G67" s="2494"/>
      <c r="H67" s="2502"/>
      <c r="I67" s="138"/>
      <c r="J67" s="3144"/>
      <c r="K67" s="2504" t="s">
        <v>2253</v>
      </c>
      <c r="L67" s="1752">
        <f ca="1">IF(M49&gt;=10000,(8.25+(M49-10000)*0.01%),IF(AND(M49&gt;=8000,M49&lt;10000),(7.85+(M49-8000)*0.02%),IF(AND(M49&gt;=5000,M49&lt;8000),(6.65+(M49-5000)*0.04%),IF(AND(M49&gt;=2000,M49&lt;5000),(4.25+(PM49-2000)*0.08%),IF(AND(M49&gt;=1000,M49&lt;2000),(2.75+(M49-1000)*0.15%),IF(AND(M49&gt;=100,M49&lt;1000),(0.5+(M49-100)*0.25%),IF(AND(M49&gt;0,M49&lt;100),M49*0.5%)))))))</f>
        <v>32.499400000000001</v>
      </c>
      <c r="M67" s="24">
        <f ca="1">ROUND(L67*0.9,1)</f>
        <v>29.2</v>
      </c>
      <c r="Z67" s="2428"/>
      <c r="AI67" s="2429"/>
    </row>
    <row r="68" spans="1:35" ht="14.25" customHeight="1" thickBot="1">
      <c r="A68" s="208" t="s">
        <v>774</v>
      </c>
      <c r="B68" s="209" t="s">
        <v>2254</v>
      </c>
      <c r="C68" s="210">
        <f ca="1">IF(C67&lt;=0,0,ROUND(C67*D68,0))</f>
        <v>13226</v>
      </c>
      <c r="D68" s="211">
        <f>'数据-取费表'!B41</f>
        <v>5.5000000000000007E-2</v>
      </c>
      <c r="E68" s="212"/>
      <c r="F68" s="2494"/>
      <c r="G68" s="2494"/>
      <c r="H68" s="2502"/>
      <c r="I68" s="138"/>
      <c r="J68" s="3144"/>
      <c r="K68" s="2504" t="s">
        <v>2255</v>
      </c>
      <c r="L68" s="1752">
        <f ca="1">IF(M49&gt;10000,M49*0.5%,IF(AND(M49&gt;5000,M49&lt;=10000),M49*1%,IF(AND(M49&gt;1000,M49&lt;=5000),M49*2%,IF(AND(M49&gt;200,M49&lt;=1000),M49*3%,M49*5%))))</f>
        <v>1262.47</v>
      </c>
      <c r="M68" s="24">
        <f ca="1">ROUND(L68,1)</f>
        <v>1262.5</v>
      </c>
      <c r="Z68" s="2428"/>
      <c r="AI68" s="2429"/>
    </row>
    <row r="69" spans="1:35" s="2451" customFormat="1" ht="16.5" customHeight="1">
      <c r="A69" s="2505"/>
      <c r="B69" s="2506"/>
      <c r="C69" s="2507"/>
      <c r="D69" s="2508"/>
      <c r="E69" s="2509"/>
      <c r="F69" s="2170"/>
      <c r="G69" s="2170"/>
      <c r="H69" s="2169"/>
      <c r="I69" s="2423"/>
      <c r="J69" s="3144"/>
      <c r="K69" s="2504" t="s">
        <v>2256</v>
      </c>
      <c r="L69" s="2510"/>
      <c r="M69" s="24">
        <f ca="1">ROUND(SUM(M63:M68),0)</f>
        <v>4070</v>
      </c>
      <c r="N69" s="1753">
        <f ca="1">M69/M49</f>
        <v>1.6119194911562256E-2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88" t="s">
        <v>2257</v>
      </c>
      <c r="B70" s="3189"/>
      <c r="C70" s="3189"/>
      <c r="D70" s="3189"/>
      <c r="E70" s="3189"/>
      <c r="F70" s="3189"/>
      <c r="G70" s="3189"/>
      <c r="H70" s="3189"/>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79" t="s">
        <v>2238</v>
      </c>
      <c r="B71" s="3180"/>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240470</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1202</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185" t="s">
        <v>2266</v>
      </c>
      <c r="F76" s="3184"/>
      <c r="G76" s="3184"/>
      <c r="H76" s="3187"/>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1202</v>
      </c>
      <c r="D78" s="226">
        <f>'数据-取费表'!B43</f>
        <v>5.000000000000001E-3</v>
      </c>
      <c r="E78" s="3176" t="s">
        <v>2271</v>
      </c>
      <c r="F78" s="3177"/>
      <c r="G78" s="3177"/>
      <c r="H78" s="3178"/>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239268</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199.05823627287853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143140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88" t="s">
        <v>2275</v>
      </c>
      <c r="B83" s="3189"/>
      <c r="C83" s="3189"/>
      <c r="D83" s="3189"/>
      <c r="E83" s="3189"/>
      <c r="F83" s="3189"/>
      <c r="G83" s="3189"/>
      <c r="H83" s="3189"/>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79" t="s">
        <v>2238</v>
      </c>
      <c r="B84" s="3180"/>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240470</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1202</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176" t="s">
        <v>2284</v>
      </c>
      <c r="F91" s="3177"/>
      <c r="G91" s="3177"/>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176" t="s">
        <v>2288</v>
      </c>
      <c r="F92" s="3177"/>
      <c r="G92" s="3177"/>
      <c r="H92" s="3178"/>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1202</v>
      </c>
      <c r="D93" s="226">
        <f>'数据-取费表'!B43</f>
        <v>5.000000000000001E-3</v>
      </c>
      <c r="E93" s="3176" t="s">
        <v>2271</v>
      </c>
      <c r="F93" s="3177"/>
      <c r="G93" s="3177"/>
      <c r="H93" s="3178"/>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224" t="s">
        <v>2292</v>
      </c>
      <c r="F94" s="3225"/>
      <c r="G94" s="3225"/>
      <c r="H94" s="3226"/>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239268</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199.05823627287853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143140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128" t="s">
        <v>2294</v>
      </c>
      <c r="B100" s="3129"/>
      <c r="C100" s="3129"/>
      <c r="D100" s="3160"/>
      <c r="E100" s="3129" t="s">
        <v>2295</v>
      </c>
      <c r="F100" s="3129"/>
      <c r="G100" s="3129"/>
      <c r="H100" s="3160"/>
      <c r="I100" s="138"/>
    </row>
    <row r="101" spans="1:35" ht="18.75" customHeight="1">
      <c r="A101" s="3168" t="s">
        <v>2296</v>
      </c>
      <c r="B101" s="3169"/>
      <c r="C101" s="736" t="str">
        <f>C4</f>
        <v>成本法</v>
      </c>
      <c r="D101" s="737" t="str">
        <f>D4</f>
        <v>收益法</v>
      </c>
      <c r="E101" s="3140" t="s">
        <v>2297</v>
      </c>
      <c r="F101" s="3141"/>
      <c r="G101" s="2525" t="s">
        <v>2298</v>
      </c>
      <c r="H101" s="1048">
        <f ca="1">H118</f>
        <v>252494</v>
      </c>
      <c r="I101" s="138"/>
    </row>
    <row r="102" spans="1:35" ht="18.75" customHeight="1">
      <c r="A102" s="3170" t="s">
        <v>2299</v>
      </c>
      <c r="B102" s="2525" t="s">
        <v>2298</v>
      </c>
      <c r="C102" s="736">
        <f ca="1">C19</f>
        <v>357444</v>
      </c>
      <c r="D102" s="737">
        <f ca="1">D19</f>
        <v>182527</v>
      </c>
      <c r="E102" s="3140"/>
      <c r="F102" s="3141"/>
      <c r="G102" s="2525" t="s">
        <v>2300</v>
      </c>
      <c r="H102" s="371">
        <f ca="1">I118</f>
        <v>21048</v>
      </c>
      <c r="I102" s="138"/>
    </row>
    <row r="103" spans="1:35" ht="42.75" customHeight="1">
      <c r="A103" s="3170"/>
      <c r="B103" s="2525" t="s">
        <v>2300</v>
      </c>
      <c r="C103" s="738">
        <f ca="1">C20</f>
        <v>29796</v>
      </c>
      <c r="D103" s="739">
        <f ca="1">D20</f>
        <v>15215</v>
      </c>
      <c r="E103" s="3134" t="s">
        <v>2301</v>
      </c>
      <c r="F103" s="3135"/>
      <c r="G103" s="2526" t="s">
        <v>2302</v>
      </c>
      <c r="H103" s="1048">
        <f>IF(D36="正常操作",H104+H105+H106,H105+H106)</f>
        <v>65000</v>
      </c>
      <c r="I103" s="138"/>
    </row>
    <row r="104" spans="1:35" ht="18.75" customHeight="1">
      <c r="A104" s="3170" t="s">
        <v>2303</v>
      </c>
      <c r="B104" s="2527" t="s">
        <v>2298</v>
      </c>
      <c r="C104" s="740">
        <f ca="1">H118</f>
        <v>252494</v>
      </c>
      <c r="D104" s="741"/>
      <c r="E104" s="2271" t="s">
        <v>2304</v>
      </c>
      <c r="F104" s="2262"/>
      <c r="G104" s="2526" t="s">
        <v>2302</v>
      </c>
      <c r="H104" s="1049">
        <f>IF(D36="同一抵押权人同一抵押物续贷",C36&amp;"（未扣减，详见特别提示）",C36)</f>
        <v>65000</v>
      </c>
      <c r="I104" s="138"/>
    </row>
    <row r="105" spans="1:35" ht="18.75" customHeight="1" thickBot="1">
      <c r="A105" s="3182"/>
      <c r="B105" s="2528" t="s">
        <v>2300</v>
      </c>
      <c r="C105" s="742">
        <f ca="1">I118</f>
        <v>21048</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171" t="str">
        <f>IF(项目基本情况!E8="已注销","——","3.房地产抵押价值")</f>
        <v>3.房地产抵押价值</v>
      </c>
      <c r="F107" s="3141"/>
      <c r="G107" s="2525" t="s">
        <v>2298</v>
      </c>
      <c r="H107" s="1048">
        <f ca="1">IF(E107="——","——",H101-H103)</f>
        <v>187494</v>
      </c>
      <c r="I107" s="138"/>
    </row>
    <row r="108" spans="1:35" ht="18.75" customHeight="1">
      <c r="A108" s="138"/>
      <c r="B108" s="138"/>
      <c r="C108" s="138"/>
      <c r="D108" s="138"/>
      <c r="E108" s="3171"/>
      <c r="F108" s="3141"/>
      <c r="G108" s="2525" t="s">
        <v>2300</v>
      </c>
      <c r="H108" s="371">
        <f ca="1">ROUND(H107*10000/'数据-汇总表'!E3,0)</f>
        <v>15629</v>
      </c>
      <c r="I108" s="138"/>
    </row>
    <row r="109" spans="1:35" ht="18.75" customHeight="1">
      <c r="A109" s="138"/>
      <c r="B109" s="138"/>
      <c r="C109" s="138"/>
      <c r="D109" s="138"/>
      <c r="E109" s="3171" t="str">
        <f>IF(项目基本情况!E8="已注销及未注销","4.抵押担保权已注销时的房地产抵押价值",IF(项目基本情况!E8="已注销","3.抵押担保权已注销时的房地产抵押价值","——"))</f>
        <v>4.抵押担保权已注销时的房地产抵押价值</v>
      </c>
      <c r="F109" s="3141"/>
      <c r="G109" s="2525" t="s">
        <v>2298</v>
      </c>
      <c r="H109" s="348">
        <f ca="1">IF(E109="——","——",H101-H105-H106)</f>
        <v>252494</v>
      </c>
      <c r="I109" s="138"/>
    </row>
    <row r="110" spans="1:35" ht="18.75" customHeight="1">
      <c r="A110" s="138"/>
      <c r="B110" s="138"/>
      <c r="C110" s="138"/>
      <c r="D110" s="138"/>
      <c r="E110" s="3171"/>
      <c r="F110" s="3141"/>
      <c r="G110" s="2525" t="s">
        <v>2300</v>
      </c>
      <c r="H110" s="371">
        <f ca="1">IF(H109="——","——",ROUND(H109*10000/'数据-汇总表'!E3,0))</f>
        <v>21048</v>
      </c>
      <c r="I110" s="138"/>
    </row>
    <row r="111" spans="1:35" ht="18.75" customHeight="1">
      <c r="A111" s="138"/>
      <c r="B111" s="138"/>
      <c r="C111" s="138"/>
      <c r="D111" s="138"/>
      <c r="E111" s="3172" t="str">
        <f>IF(项目基本情况!E9="抵押净值",IF(OR(项目基本情况!E8="已注销",项目基本情况!E8="房地产抵押价值"),"4.抵押净值","5.抵押净值"),"——")</f>
        <v>——</v>
      </c>
      <c r="F111" s="3173"/>
      <c r="G111" s="2525" t="s">
        <v>2298</v>
      </c>
      <c r="H111" s="1048" t="str">
        <f>IF(E111="——","——",N59)</f>
        <v>——</v>
      </c>
      <c r="I111" s="138"/>
    </row>
    <row r="112" spans="1:35" ht="18.75" customHeight="1" thickBot="1">
      <c r="A112" s="138"/>
      <c r="B112" s="138"/>
      <c r="C112" s="138"/>
      <c r="D112" s="138"/>
      <c r="E112" s="3174"/>
      <c r="F112" s="3175"/>
      <c r="G112" s="2530" t="s">
        <v>2300</v>
      </c>
      <c r="H112" s="790" t="str">
        <f>IF(E111="——","——",N61)</f>
        <v>——</v>
      </c>
      <c r="I112" s="138"/>
    </row>
    <row r="113" spans="1:11" ht="18.75" customHeight="1">
      <c r="A113" s="138"/>
      <c r="B113" s="138"/>
      <c r="C113" s="138"/>
      <c r="D113" s="138"/>
      <c r="E113" s="3183" t="s">
        <v>2306</v>
      </c>
      <c r="F113" s="3183"/>
      <c r="G113" s="3183"/>
      <c r="H113" s="3183"/>
      <c r="I113" s="138"/>
    </row>
    <row r="114" spans="1:11" ht="3.75" customHeight="1">
      <c r="A114" s="2423"/>
      <c r="B114" s="2423"/>
      <c r="C114" s="2423"/>
      <c r="D114" s="2423"/>
      <c r="E114" s="2501"/>
      <c r="F114" s="2501"/>
      <c r="G114" s="2501"/>
      <c r="H114" s="2501"/>
      <c r="I114" s="2423"/>
    </row>
    <row r="115" spans="1:11" ht="18.75" customHeight="1">
      <c r="A115" s="3196" t="s">
        <v>2308</v>
      </c>
      <c r="B115" s="3197"/>
      <c r="C115" s="3197"/>
      <c r="D115" s="3197"/>
      <c r="E115" s="3197"/>
      <c r="F115" s="3197"/>
      <c r="G115" s="3197"/>
      <c r="H115" s="3197"/>
      <c r="I115" s="3198"/>
    </row>
    <row r="116" spans="1:11" ht="27" customHeight="1">
      <c r="A116" s="3107" t="s">
        <v>2309</v>
      </c>
      <c r="B116" s="3150" t="s">
        <v>2310</v>
      </c>
      <c r="C116" s="3150" t="s">
        <v>2311</v>
      </c>
      <c r="D116" s="3156" t="s">
        <v>2312</v>
      </c>
      <c r="E116" s="3157"/>
      <c r="F116" s="3192" t="s">
        <v>2313</v>
      </c>
      <c r="G116" s="3192"/>
      <c r="H116" s="3107" t="s">
        <v>2314</v>
      </c>
      <c r="I116" s="3107"/>
    </row>
    <row r="117" spans="1:11" ht="18.75" customHeight="1">
      <c r="A117" s="3107"/>
      <c r="B117" s="3151"/>
      <c r="C117" s="3151"/>
      <c r="D117" s="1798" t="s">
        <v>2315</v>
      </c>
      <c r="E117" s="1798" t="s">
        <v>2316</v>
      </c>
      <c r="F117" s="1798" t="s">
        <v>2315</v>
      </c>
      <c r="G117" s="1798" t="s">
        <v>2317</v>
      </c>
      <c r="H117" s="1798" t="s">
        <v>2315</v>
      </c>
      <c r="I117" s="1798" t="s">
        <v>2317</v>
      </c>
    </row>
    <row r="118" spans="1:11" ht="24.75" customHeight="1">
      <c r="A118" s="2531" t="str">
        <f>项目基本情况!S2</f>
        <v>北京市房山区政通南路2号院1号楼商业用房房地产</v>
      </c>
      <c r="B118" s="1798">
        <f>M18</f>
        <v>119963.53</v>
      </c>
      <c r="C118" s="1798">
        <f>M19</f>
        <v>24498.84</v>
      </c>
      <c r="D118" s="1798">
        <f ca="1">ROUND(IF(D32="总价",C34,E118*B118/10000),0)</f>
        <v>150234</v>
      </c>
      <c r="E118" s="1798">
        <f ca="1">ROUND(IF(C33="自定义",IF(D32="楼面单价",C34,D118*10000/B118),I118-G118),0)</f>
        <v>12524</v>
      </c>
      <c r="F118" s="1798">
        <f ca="1">ROUND(IF(D32="总价",C35,G118*B118/10000),0)</f>
        <v>102260</v>
      </c>
      <c r="G118" s="1798">
        <f ca="1">ROUND(IF(D32="楼面单价",C35,F118*10000/B118),0)</f>
        <v>8524</v>
      </c>
      <c r="H118" s="1798">
        <f ca="1">ROUND(IF(D32="总价",C32,I118*B118/10000),0)</f>
        <v>252494</v>
      </c>
      <c r="I118" s="1798">
        <f ca="1">ROUND(IF(D32="楼面单价",C32,H118*10000/B118),0)</f>
        <v>21048</v>
      </c>
    </row>
    <row r="119" spans="1:11" ht="18.75" customHeight="1">
      <c r="A119" s="3107" t="s">
        <v>2318</v>
      </c>
      <c r="B119" s="3107"/>
      <c r="C119" s="3107"/>
      <c r="D119" s="3152" t="str">
        <f ca="1">NUMBERSTRING(INT(D118*10000),2)&amp;"元整"</f>
        <v>壹拾伍亿零贰佰叁拾肆万元整</v>
      </c>
      <c r="E119" s="3153"/>
      <c r="F119" s="3152" t="str">
        <f ca="1">NUMBERSTRING(INT(F118*10000),2)&amp;"元整"</f>
        <v>壹拾亿贰仟贰佰陆拾万元整</v>
      </c>
      <c r="G119" s="3153"/>
      <c r="H119" s="3152" t="str">
        <f ca="1">NUMBERSTRING(INT(H118*10000),2)&amp;"元整"</f>
        <v>贰拾伍亿贰仟肆佰玖拾肆万元整</v>
      </c>
      <c r="I119" s="3153"/>
    </row>
    <row r="120" spans="1:11" ht="18.75" customHeight="1">
      <c r="A120" s="3147" t="str">
        <f>IF(项目基本情况!B9="房地产市场价值","",MID(E103,3,LEN(E103)-2))</f>
        <v>估价师知悉的法定优先受偿款</v>
      </c>
      <c r="B120" s="3148"/>
      <c r="C120" s="3149"/>
      <c r="D120" s="3147">
        <f>H103</f>
        <v>65000</v>
      </c>
      <c r="E120" s="3148"/>
      <c r="F120" s="3148"/>
      <c r="G120" s="3148"/>
      <c r="H120" s="3148"/>
      <c r="I120" s="3149"/>
      <c r="K120" s="2428" t="str">
        <f>IF(D120=0,"故，本次评估不存在"&amp;A120,"故，本次评估"&amp;A120&amp;"为人民币"&amp;D120&amp;"万元整。")</f>
        <v>故，本次评估估价师知悉的法定优先受偿款为人民币65000万元整。</v>
      </c>
    </row>
    <row r="121" spans="1:11" ht="18.75" customHeight="1">
      <c r="A121" s="3193" t="s">
        <v>2318</v>
      </c>
      <c r="B121" s="3194"/>
      <c r="C121" s="3195"/>
      <c r="D121" s="3152" t="str">
        <f>IF(D120=0,"零元整",NUMBERSTRING(INT(D120*10000),2)&amp;"元整")</f>
        <v>陆亿伍仟万元整</v>
      </c>
      <c r="E121" s="3154"/>
      <c r="F121" s="3154"/>
      <c r="G121" s="3154"/>
      <c r="H121" s="3154"/>
      <c r="I121" s="3153"/>
    </row>
    <row r="122" spans="1:11" ht="18.75" customHeight="1">
      <c r="A122" s="3158" t="str">
        <f>IF(项目基本情况!B9="房地产市场价值","",MID(E107,3,LEN(E107)-2))</f>
        <v>房地产抵押价值</v>
      </c>
      <c r="B122" s="3158"/>
      <c r="C122" s="3158"/>
      <c r="D122" s="3147">
        <f ca="1">H107</f>
        <v>187494</v>
      </c>
      <c r="E122" s="3148"/>
      <c r="F122" s="3148"/>
      <c r="G122" s="3148"/>
      <c r="H122" s="3148"/>
      <c r="I122" s="3149"/>
    </row>
    <row r="123" spans="1:11" ht="18.75" customHeight="1">
      <c r="A123" s="3107" t="s">
        <v>2318</v>
      </c>
      <c r="B123" s="3107"/>
      <c r="C123" s="3107"/>
      <c r="D123" s="3152" t="str">
        <f ca="1">NUMBERSTRING(INT(D122*10000),2)&amp;"元整"</f>
        <v>壹拾捌亿柒仟肆佰玖拾肆万元整</v>
      </c>
      <c r="E123" s="3154"/>
      <c r="F123" s="3154"/>
      <c r="G123" s="3154"/>
      <c r="H123" s="3154"/>
      <c r="I123" s="3153"/>
    </row>
    <row r="124" spans="1:11" ht="18.75" customHeight="1">
      <c r="A124" s="3158" t="str">
        <f>IF(项目基本情况!B9="房地产市场价值","",MID(E109,3,LEN(E109)-2))</f>
        <v>抵押担保权已注销时的房地产抵押价值</v>
      </c>
      <c r="B124" s="3158"/>
      <c r="C124" s="3158"/>
      <c r="D124" s="3147">
        <f ca="1">H109</f>
        <v>252494</v>
      </c>
      <c r="E124" s="3148"/>
      <c r="F124" s="3148"/>
      <c r="G124" s="3148"/>
      <c r="H124" s="3148"/>
      <c r="I124" s="3149"/>
    </row>
    <row r="125" spans="1:11" ht="18.75" customHeight="1">
      <c r="A125" s="3107" t="s">
        <v>2318</v>
      </c>
      <c r="B125" s="3107"/>
      <c r="C125" s="3107"/>
      <c r="D125" s="3152" t="str">
        <f ca="1">NUMBERSTRING(INT(D124*10000),2)&amp;"元整"</f>
        <v>贰拾伍亿贰仟肆佰玖拾肆万元整</v>
      </c>
      <c r="E125" s="3154"/>
      <c r="F125" s="3154"/>
      <c r="G125" s="3154"/>
      <c r="H125" s="3154"/>
      <c r="I125" s="3153"/>
    </row>
    <row r="126" spans="1:11" ht="18.75" customHeight="1">
      <c r="A126" s="3158" t="str">
        <f>IF(项目基本情况!B9="房地产市场价值","",MID(E111,3,LEN(E111)-2))</f>
        <v/>
      </c>
      <c r="B126" s="3158"/>
      <c r="C126" s="3158"/>
      <c r="D126" s="3147" t="str">
        <f>H111</f>
        <v>——</v>
      </c>
      <c r="E126" s="3148"/>
      <c r="F126" s="3148"/>
      <c r="G126" s="3148"/>
      <c r="H126" s="3148"/>
      <c r="I126" s="3149"/>
    </row>
    <row r="127" spans="1:11" ht="18.75" customHeight="1">
      <c r="A127" s="3107" t="s">
        <v>2318</v>
      </c>
      <c r="B127" s="3107"/>
      <c r="C127" s="3107"/>
      <c r="D127" s="3152" t="e">
        <f>NUMBERSTRING(INT(D126*10000),2)&amp;"元整"</f>
        <v>#VALUE!</v>
      </c>
      <c r="E127" s="3154"/>
      <c r="F127" s="3154"/>
      <c r="G127" s="3154"/>
      <c r="H127" s="3154"/>
      <c r="I127" s="3153"/>
    </row>
    <row r="128" spans="1:11" ht="21.75" customHeight="1">
      <c r="A128" s="3155" t="s">
        <v>2319</v>
      </c>
      <c r="B128" s="3155"/>
      <c r="C128" s="3155"/>
      <c r="D128" s="3155"/>
      <c r="E128" s="3155"/>
      <c r="F128" s="3155"/>
      <c r="G128" s="3155"/>
      <c r="H128" s="3155"/>
      <c r="I128" s="3155"/>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10"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41" t="str">
        <f>项目基本情况!B1</f>
        <v>北京市房山区政通南路2号院1号楼商业用房房地产抵押价值预评估</v>
      </c>
      <c r="C37" s="3041"/>
      <c r="D37" s="3041"/>
      <c r="E37" s="3041"/>
      <c r="F37" s="3041"/>
      <c r="G37" s="3041"/>
      <c r="H37" s="3041"/>
      <c r="I37" s="3041"/>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吴薇（注册号：1419970001)、刘梅（注册号：1120140022)</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topLeftCell="B10" workbookViewId="0">
      <selection activeCell="E30" sqref="E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t="s">
        <v>1377</v>
      </c>
      <c r="C1" s="242"/>
      <c r="D1" s="242"/>
      <c r="E1" s="242"/>
      <c r="F1" s="242"/>
      <c r="G1" s="1382">
        <f>MATCH(B1,'数据-取费表'!A6:A16,0)+5</f>
        <v>6</v>
      </c>
    </row>
    <row r="2" spans="1:9" s="244" customFormat="1" ht="18" customHeight="1">
      <c r="A2" s="245" t="s">
        <v>2328</v>
      </c>
      <c r="B2" s="246">
        <f ca="1">IF(D2="——",C52,C52-E2)</f>
        <v>357444</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29796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209728</v>
      </c>
      <c r="D5" s="255" t="s">
        <v>2335</v>
      </c>
      <c r="E5" s="256" t="s">
        <v>2336</v>
      </c>
      <c r="F5" s="256" t="s">
        <v>2337</v>
      </c>
      <c r="G5" s="257"/>
    </row>
    <row r="6" spans="1:9" s="258" customFormat="1" ht="13.5" customHeight="1">
      <c r="A6" s="952" t="s">
        <v>2338</v>
      </c>
      <c r="B6" s="259" t="s">
        <v>2339</v>
      </c>
      <c r="C6" s="260">
        <f>'土地比较法-住宅、综合'!B2</f>
        <v>201193</v>
      </c>
      <c r="D6" s="261"/>
      <c r="E6" s="262"/>
      <c r="F6" s="262"/>
      <c r="G6" s="263"/>
    </row>
    <row r="7" spans="1:9" s="258" customFormat="1" ht="13.5" customHeight="1">
      <c r="A7" s="952" t="s">
        <v>2340</v>
      </c>
      <c r="B7" s="259" t="s">
        <v>2341</v>
      </c>
      <c r="C7" s="264">
        <f>ROUND(C6*F7,0)</f>
        <v>6136</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2399</v>
      </c>
      <c r="D8" s="266"/>
      <c r="E8" s="264"/>
      <c r="F8" s="265"/>
      <c r="G8" s="2557" t="s">
        <v>3457</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8" t="s">
        <v>3530</v>
      </c>
      <c r="H9" s="1393"/>
      <c r="I9" s="2559" t="s">
        <v>2345</v>
      </c>
    </row>
    <row r="10" spans="1:9" s="258" customFormat="1" ht="13.5" customHeight="1">
      <c r="A10" s="953" t="s">
        <v>801</v>
      </c>
      <c r="B10" s="268" t="s">
        <v>2346</v>
      </c>
      <c r="C10" s="269">
        <f ca="1">ROUND(D10*E10/10000,0)</f>
        <v>2399</v>
      </c>
      <c r="D10" s="1035">
        <f ca="1">IF(B1="",'数据-汇总表'!E6,IF(INDIRECT("'数据-取费表'!c"&amp;$G$1)="住宅",INDIRECT("'数据-取费表'!s"&amp;$G$1),INDIRECT("'数据-取费表'!k"&amp;$G$1)+INDIRECT("'数据-取费表'!s"&amp;$G$1)))</f>
        <v>119963.53</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119963.53</v>
      </c>
      <c r="E19" s="255">
        <f>'数据-取费表'!B31</f>
        <v>200</v>
      </c>
      <c r="F19" s="275"/>
      <c r="G19" s="2557" t="s">
        <v>3458</v>
      </c>
    </row>
    <row r="20" spans="1:7" s="258" customFormat="1" ht="13.5" customHeight="1">
      <c r="A20" s="299" t="s">
        <v>2359</v>
      </c>
      <c r="B20" s="254" t="s">
        <v>2360</v>
      </c>
      <c r="C20" s="276">
        <f ca="1">ROUND((C5+C19)*F20,0)</f>
        <v>4195</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20596</v>
      </c>
      <c r="D22" s="279">
        <f ca="1">C26</f>
        <v>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20397</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199</v>
      </c>
      <c r="D25" s="282"/>
      <c r="E25" s="285"/>
      <c r="F25" s="283"/>
      <c r="G25" s="286" t="s">
        <v>2376</v>
      </c>
    </row>
    <row r="26" spans="1:7" s="258" customFormat="1">
      <c r="A26" s="954"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42785</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42785</v>
      </c>
      <c r="D28" s="279"/>
      <c r="E28" s="280"/>
      <c r="F28" s="290"/>
      <c r="G28" s="291"/>
    </row>
    <row r="29" spans="1:7" s="258" customFormat="1" ht="13.5" customHeight="1">
      <c r="A29" s="954"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300568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42515</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38388</v>
      </c>
      <c r="D34" s="261"/>
      <c r="E34" s="264"/>
      <c r="F34" s="301">
        <f ca="1">IF('数据-取费表'!B24=0,1,IF(B1="",'数据-取费表'!N16,INDIRECT("'数据-取费表'!n"&amp;$G$1)))</f>
        <v>1</v>
      </c>
      <c r="G34" s="263" t="s">
        <v>2392</v>
      </c>
    </row>
    <row r="35" spans="1:7" ht="13.5" customHeight="1">
      <c r="A35" s="954" t="s">
        <v>796</v>
      </c>
      <c r="B35" s="259" t="s">
        <v>2393</v>
      </c>
      <c r="C35" s="264">
        <f ca="1">ROUND(C34*F35,0)</f>
        <v>1152</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4" t="s">
        <v>798</v>
      </c>
      <c r="B37" s="259" t="s">
        <v>2397</v>
      </c>
      <c r="C37" s="293">
        <f ca="1">ROUND(E37*D37*F34/10000,0)</f>
        <v>2399</v>
      </c>
      <c r="D37" s="261">
        <f ca="1">D19</f>
        <v>119963.53</v>
      </c>
      <c r="E37" s="293">
        <f>'数据-取费表'!B35</f>
        <v>200</v>
      </c>
      <c r="F37" s="303"/>
      <c r="G37" s="305" t="s">
        <v>2398</v>
      </c>
    </row>
    <row r="38" spans="1:7" ht="13.5" customHeight="1">
      <c r="A38" s="954" t="s">
        <v>799</v>
      </c>
      <c r="B38" s="259" t="s">
        <v>2399</v>
      </c>
      <c r="C38" s="264">
        <f ca="1">ROUND(C34*F38,0)</f>
        <v>576</v>
      </c>
      <c r="D38" s="264"/>
      <c r="E38" s="264"/>
      <c r="F38" s="303">
        <f>'数据-取费表'!B36</f>
        <v>1.4999999999999999E-2</v>
      </c>
      <c r="G38" s="263" t="s">
        <v>2394</v>
      </c>
    </row>
    <row r="39" spans="1:7" s="258" customFormat="1" ht="13.5" customHeight="1">
      <c r="A39" s="299" t="s">
        <v>2400</v>
      </c>
      <c r="B39" s="254" t="s">
        <v>2401</v>
      </c>
      <c r="C39" s="276">
        <f ca="1">ROUND(C33*F20,0)</f>
        <v>850</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2059</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2019</v>
      </c>
      <c r="D42" s="282"/>
      <c r="E42" s="282"/>
      <c r="F42" s="283"/>
      <c r="G42" s="3227" t="s">
        <v>2410</v>
      </c>
    </row>
    <row r="43" spans="1:7" ht="13.5" customHeight="1">
      <c r="A43" s="954" t="s">
        <v>792</v>
      </c>
      <c r="B43" s="259" t="s">
        <v>2411</v>
      </c>
      <c r="C43" s="282">
        <f ca="1">ROUND(IF('数据-取费表'!B22&lt;=1,C39*F22*'数据-取费表'!B21/2,C39*(POWER((1+F22),'数据-取费表'!B21/2)-1)),0)</f>
        <v>40</v>
      </c>
      <c r="D43" s="282"/>
      <c r="E43" s="282"/>
      <c r="F43" s="283"/>
      <c r="G43" s="3228"/>
    </row>
    <row r="44" spans="1:7" ht="13.5" customHeight="1">
      <c r="A44" s="954" t="s">
        <v>793</v>
      </c>
      <c r="B44" s="259" t="s">
        <v>2412</v>
      </c>
      <c r="C44" s="282">
        <f ca="1">ROUND(IF('数据-取费表'!B22&lt;=1,C40*F22*'数据-取费表'!B21/2,C40*(POWER((1+F22),'数据-取费表'!B21/2)-1)),4)</f>
        <v>1E-3</v>
      </c>
      <c r="D44" s="282"/>
      <c r="E44" s="282"/>
      <c r="F44" s="283"/>
      <c r="G44" s="3229"/>
    </row>
    <row r="45" spans="1:7" s="258" customFormat="1" ht="13.5" customHeight="1">
      <c r="A45" s="299" t="s">
        <v>2413</v>
      </c>
      <c r="B45" s="288" t="s">
        <v>2379</v>
      </c>
      <c r="C45" s="289">
        <f ca="1">C46</f>
        <v>8673</v>
      </c>
      <c r="D45" s="279">
        <f ca="1">C47</f>
        <v>4.0000000000000001E-3</v>
      </c>
      <c r="E45" s="280" t="s">
        <v>2405</v>
      </c>
      <c r="F45" s="290"/>
      <c r="G45" s="291" t="s">
        <v>2414</v>
      </c>
    </row>
    <row r="46" spans="1:7" s="258" customFormat="1" ht="13.5" customHeight="1">
      <c r="A46" s="954" t="s">
        <v>791</v>
      </c>
      <c r="B46" s="292" t="s">
        <v>2415</v>
      </c>
      <c r="C46" s="293">
        <f ca="1">ROUND((C33+C39)*F27,0)</f>
        <v>8673</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58635</v>
      </c>
      <c r="D49" s="276"/>
      <c r="E49" s="276"/>
      <c r="F49" s="308"/>
      <c r="G49" s="278" t="s">
        <v>2420</v>
      </c>
    </row>
    <row r="50" spans="1:7" s="302" customFormat="1" ht="24">
      <c r="A50" s="299" t="s">
        <v>2421</v>
      </c>
      <c r="B50" s="254" t="s">
        <v>2422</v>
      </c>
      <c r="C50" s="276"/>
      <c r="D50" s="276"/>
      <c r="E50" s="276"/>
      <c r="F50" s="308">
        <f>IF('数据-取费表'!B24=0,'数据-取费表'!N16,1)</f>
        <v>0.97</v>
      </c>
      <c r="G50" s="291" t="s">
        <v>2423</v>
      </c>
    </row>
    <row r="51" spans="1:7" ht="16.5" customHeight="1">
      <c r="A51" s="299" t="s">
        <v>2424</v>
      </c>
      <c r="B51" s="254" t="s">
        <v>2425</v>
      </c>
      <c r="C51" s="276">
        <f ca="1">ROUND(C49*F50,0)</f>
        <v>56876</v>
      </c>
      <c r="D51" s="276"/>
      <c r="E51" s="276"/>
      <c r="F51" s="308"/>
      <c r="G51" s="278" t="s">
        <v>2426</v>
      </c>
    </row>
    <row r="52" spans="1:7" s="252" customFormat="1" ht="16.5" thickBot="1">
      <c r="A52" s="309" t="s">
        <v>2427</v>
      </c>
      <c r="B52" s="310"/>
      <c r="C52" s="311">
        <f ca="1">C31+C51</f>
        <v>357444</v>
      </c>
      <c r="D52" s="310"/>
      <c r="E52" s="310"/>
      <c r="F52" s="310"/>
      <c r="G52" s="312"/>
    </row>
    <row r="55" spans="1:7" ht="15">
      <c r="B55" s="314" t="s">
        <v>2428</v>
      </c>
      <c r="C55" s="315"/>
    </row>
    <row r="56" spans="1:7">
      <c r="B56" s="317" t="s">
        <v>1513</v>
      </c>
      <c r="C56" s="319">
        <f ca="1">1-C57</f>
        <v>0.84099999999999997</v>
      </c>
    </row>
    <row r="57" spans="1:7">
      <c r="B57" s="317" t="s">
        <v>1514</v>
      </c>
      <c r="C57" s="318">
        <f ca="1">ROUND(C51/C52,3)</f>
        <v>0.159</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60"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63755</v>
      </c>
      <c r="C2" s="243" t="s">
        <v>2329</v>
      </c>
      <c r="D2" s="2554" t="s">
        <v>70</v>
      </c>
      <c r="E2" s="1443" t="e">
        <f ca="1">SUMIF(INDIRECT("'"&amp;G2&amp;"'"&amp;"!A:A"),"承租人权益价值",INDIRECT("'"&amp;G2&amp;"'"&amp;"!c:c"))</f>
        <v>#REF!</v>
      </c>
      <c r="F2" s="2555" t="s">
        <v>2329</v>
      </c>
      <c r="G2" s="2556"/>
    </row>
    <row r="3" spans="1:8" s="244" customFormat="1" ht="18" customHeight="1" thickBot="1">
      <c r="A3" s="247" t="s">
        <v>2330</v>
      </c>
      <c r="B3" s="248">
        <f ca="1">ROUND(B2*10000/(IF(B1="",'数据-汇总表'!E3,INDIRECT("'数据-取费表'!k"&amp;$G$1))),0)</f>
        <v>5315</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23992706</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23992706</v>
      </c>
      <c r="D8" s="266"/>
      <c r="E8" s="264"/>
      <c r="F8" s="265"/>
      <c r="G8" s="2557"/>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23992706</v>
      </c>
      <c r="D10" s="1035">
        <f ca="1">IF(B1="",'数据-汇总表'!E6,IF(INDIRECT("'数据-取费表'!c"&amp;$G$1)="住宅",INDIRECT("'数据-取费表'!s"&amp;$G$1),INDIRECT("'数据-取费表'!k"&amp;$G$1)+INDIRECT("'数据-取费表'!s"&amp;$G$1)))</f>
        <v>119963.53</v>
      </c>
      <c r="E10" s="269">
        <f>'数据-取费表'!B28</f>
        <v>200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23992706</v>
      </c>
      <c r="D19" s="1039">
        <f ca="1">D9+D10</f>
        <v>119963.53</v>
      </c>
      <c r="E19" s="255">
        <f>'数据-取费表'!B31</f>
        <v>200</v>
      </c>
      <c r="F19" s="275"/>
      <c r="G19" s="2557"/>
    </row>
    <row r="20" spans="1:7" s="258" customFormat="1" ht="13.5" customHeight="1">
      <c r="A20" s="299" t="s">
        <v>2440</v>
      </c>
      <c r="B20" s="254" t="s">
        <v>2441</v>
      </c>
      <c r="C20" s="276">
        <f ca="1">ROUND((C5+C19)*F20,0)</f>
        <v>959708</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4712468</v>
      </c>
      <c r="D22" s="279">
        <f ca="1">C26</f>
        <v>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2333441</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2333441</v>
      </c>
      <c r="D24" s="282"/>
      <c r="E24" s="282"/>
      <c r="F24" s="283"/>
      <c r="G24" s="284" t="s">
        <v>2452</v>
      </c>
    </row>
    <row r="25" spans="1:7" s="258" customFormat="1" ht="24">
      <c r="A25" s="954" t="s">
        <v>2342</v>
      </c>
      <c r="B25" s="259" t="s">
        <v>2453</v>
      </c>
      <c r="C25" s="1384">
        <f ca="1">ROUND(IF('数据-取费表'!B22&lt;=1,C20*F22*'数据-取费表'!B22/2,C20*(POWER((1+F22),'数据-取费表'!B22/2)-1)),0)</f>
        <v>45586</v>
      </c>
      <c r="D25" s="282"/>
      <c r="E25" s="285"/>
      <c r="F25" s="283"/>
      <c r="G25" s="286" t="s">
        <v>2454</v>
      </c>
    </row>
    <row r="26" spans="1:7" s="258" customFormat="1">
      <c r="A26" s="954"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9789024</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ROUND((C5+C19+C20)*F27,0)</f>
        <v>9789024</v>
      </c>
      <c r="D28" s="279"/>
      <c r="E28" s="280"/>
      <c r="F28" s="290"/>
      <c r="G28" s="291"/>
    </row>
    <row r="29" spans="1:7" s="258" customFormat="1" ht="13.5" customHeight="1">
      <c r="A29" s="954"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68769361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425150750</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383883296</v>
      </c>
      <c r="D34" s="261"/>
      <c r="E34" s="264"/>
      <c r="F34" s="301"/>
      <c r="G34" s="263"/>
    </row>
    <row r="35" spans="1:7" ht="13.5" customHeight="1">
      <c r="A35" s="954" t="s">
        <v>796</v>
      </c>
      <c r="B35" s="259" t="s">
        <v>2393</v>
      </c>
      <c r="C35" s="264">
        <f ca="1">ROUND(C34*F35,0)</f>
        <v>11516499</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4" t="s">
        <v>798</v>
      </c>
      <c r="B37" s="259" t="s">
        <v>2397</v>
      </c>
      <c r="C37" s="293">
        <f ca="1">ROUND(E37*D37,0)</f>
        <v>23992706</v>
      </c>
      <c r="D37" s="261">
        <f ca="1">D19</f>
        <v>119963.53</v>
      </c>
      <c r="E37" s="293">
        <f>'数据-取费表'!B35</f>
        <v>200</v>
      </c>
      <c r="F37" s="303"/>
      <c r="G37" s="305"/>
    </row>
    <row r="38" spans="1:7" ht="13.5" customHeight="1">
      <c r="A38" s="954" t="s">
        <v>799</v>
      </c>
      <c r="B38" s="259" t="s">
        <v>2399</v>
      </c>
      <c r="C38" s="264">
        <f ca="1">ROUND(C34*F38,0)</f>
        <v>5758249</v>
      </c>
      <c r="D38" s="264"/>
      <c r="E38" s="264"/>
      <c r="F38" s="303">
        <f>'数据-取费表'!B36</f>
        <v>1.4999999999999999E-2</v>
      </c>
      <c r="G38" s="263" t="s">
        <v>2394</v>
      </c>
    </row>
    <row r="39" spans="1:7" s="258" customFormat="1" ht="13.5" customHeight="1">
      <c r="A39" s="299" t="s">
        <v>2400</v>
      </c>
      <c r="B39" s="254" t="s">
        <v>2401</v>
      </c>
      <c r="C39" s="276">
        <f ca="1">ROUND(C33*F20,0)</f>
        <v>8503015</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20598554</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20194661</v>
      </c>
      <c r="D42" s="282"/>
      <c r="E42" s="282"/>
      <c r="F42" s="283"/>
      <c r="G42" s="3227" t="s">
        <v>2457</v>
      </c>
    </row>
    <row r="43" spans="1:7" ht="13.5" customHeight="1">
      <c r="A43" s="954" t="s">
        <v>792</v>
      </c>
      <c r="B43" s="259" t="s">
        <v>2411</v>
      </c>
      <c r="C43" s="282">
        <f ca="1">ROUND(IF('数据-取费表'!B22&lt;=1,C39*F22*'数据-取费表'!B20/2,C39*(POWER((1+F22),'数据-取费表'!B20/2)-1)),0)</f>
        <v>403893</v>
      </c>
      <c r="D43" s="282"/>
      <c r="E43" s="282"/>
      <c r="F43" s="283"/>
      <c r="G43" s="3228"/>
    </row>
    <row r="44" spans="1:7" ht="13.5" customHeight="1">
      <c r="A44" s="954" t="s">
        <v>793</v>
      </c>
      <c r="B44" s="259" t="s">
        <v>2412</v>
      </c>
      <c r="C44" s="282">
        <f ca="1">ROUND(IF('数据-取费表'!B22&lt;=1,C40*F22*'数据-取费表'!B20/2,C40*(POWER((1+F22),'数据-取费表'!B20/2)-1)),4)</f>
        <v>1E-3</v>
      </c>
      <c r="D44" s="282"/>
      <c r="E44" s="282"/>
      <c r="F44" s="283"/>
      <c r="G44" s="3229"/>
    </row>
    <row r="45" spans="1:7" s="258" customFormat="1" ht="13.5" customHeight="1">
      <c r="A45" s="299" t="s">
        <v>2413</v>
      </c>
      <c r="B45" s="288" t="s">
        <v>2379</v>
      </c>
      <c r="C45" s="289">
        <f ca="1">C46</f>
        <v>86730753</v>
      </c>
      <c r="D45" s="279">
        <f ca="1">C47</f>
        <v>4.0000000000000001E-3</v>
      </c>
      <c r="E45" s="280" t="s">
        <v>2405</v>
      </c>
      <c r="F45" s="290"/>
      <c r="G45" s="291" t="s">
        <v>2414</v>
      </c>
    </row>
    <row r="46" spans="1:7" s="258" customFormat="1" ht="13.5" customHeight="1">
      <c r="A46" s="954" t="s">
        <v>791</v>
      </c>
      <c r="B46" s="292" t="s">
        <v>2415</v>
      </c>
      <c r="C46" s="293">
        <f ca="1">ROUND((C33+C39)*F27,0)</f>
        <v>86730753</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586367951</v>
      </c>
      <c r="D49" s="276"/>
      <c r="E49" s="276"/>
      <c r="F49" s="308"/>
      <c r="G49" s="278" t="s">
        <v>2420</v>
      </c>
    </row>
    <row r="50" spans="1:7" s="302" customFormat="1">
      <c r="A50" s="299" t="s">
        <v>2421</v>
      </c>
      <c r="B50" s="254" t="s">
        <v>2422</v>
      </c>
      <c r="C50" s="276"/>
      <c r="D50" s="276"/>
      <c r="E50" s="276"/>
      <c r="F50" s="308">
        <f>IF('数据-取费表'!B24=0,'数据-取费表'!N16,1)</f>
        <v>0.97</v>
      </c>
      <c r="G50" s="291"/>
    </row>
    <row r="51" spans="1:7" ht="16.5" customHeight="1">
      <c r="A51" s="299" t="s">
        <v>2424</v>
      </c>
      <c r="B51" s="254" t="s">
        <v>2459</v>
      </c>
      <c r="C51" s="276">
        <f ca="1">ROUND(C49*F50,0)</f>
        <v>568776912</v>
      </c>
      <c r="D51" s="276"/>
      <c r="E51" s="276"/>
      <c r="F51" s="308"/>
      <c r="G51" s="278" t="s">
        <v>2426</v>
      </c>
    </row>
    <row r="52" spans="1:7" s="252" customFormat="1" ht="16.5" thickBot="1">
      <c r="A52" s="309" t="s">
        <v>2427</v>
      </c>
      <c r="B52" s="310"/>
      <c r="C52" s="311">
        <f ca="1">C31+C51</f>
        <v>637546273</v>
      </c>
      <c r="D52" s="310"/>
      <c r="E52" s="310"/>
      <c r="F52" s="310"/>
      <c r="G52" s="312"/>
    </row>
    <row r="55" spans="1:7" ht="15">
      <c r="B55" s="314" t="s">
        <v>2428</v>
      </c>
      <c r="C55" s="315"/>
    </row>
    <row r="56" spans="1:7">
      <c r="B56" s="317" t="s">
        <v>1513</v>
      </c>
      <c r="C56" s="319">
        <f ca="1">1-C57</f>
        <v>0.10799999999999998</v>
      </c>
    </row>
    <row r="57" spans="1:7">
      <c r="B57" s="317" t="s">
        <v>1514</v>
      </c>
      <c r="C57" s="318">
        <f ca="1">ROUND(C51/C52,3)</f>
        <v>0.89200000000000002</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-2853</v>
      </c>
      <c r="C2" s="320" t="s">
        <v>2461</v>
      </c>
      <c r="D2" s="320"/>
      <c r="E2" s="320"/>
      <c r="F2" s="320"/>
      <c r="G2" s="320"/>
      <c r="H2" s="320"/>
      <c r="I2" s="320"/>
      <c r="J2" s="320"/>
      <c r="K2" s="320"/>
    </row>
    <row r="3" spans="1:33" ht="18" customHeight="1" thickBot="1">
      <c r="A3" s="247" t="s">
        <v>2330</v>
      </c>
      <c r="B3" s="248">
        <f ca="1">ROUND(B2*10000/IF(C1="",'数据-汇总表'!E3,INDIRECT("'数据-取费表'!K"&amp;$K$1)),0)</f>
        <v>-238</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0.03</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119963.53</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119963.53</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2399</v>
      </c>
      <c r="D18" s="1036"/>
      <c r="E18" s="24"/>
      <c r="F18" s="979"/>
      <c r="G18" s="2563"/>
      <c r="H18" s="1580"/>
      <c r="I18" s="2564"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2399</v>
      </c>
      <c r="D20" s="1036">
        <f ca="1">IF(C1="",'数据-汇总表'!E6,IF(INDIRECT("'数据-取费表'!c"&amp;$K$1)="住宅",INDIRECT("'数据-取费表'!s"&amp;$K$1),INDIRECT("'数据-取费表'!k"&amp;$K$1)+INDIRECT("'数据-取费表'!s"&amp;$K$1)))</f>
        <v>119963.53</v>
      </c>
      <c r="E20" s="24">
        <f>'数据-取费表'!B28</f>
        <v>200</v>
      </c>
      <c r="F20" s="979"/>
      <c r="G20" s="15"/>
      <c r="H20" s="984"/>
      <c r="I20" s="984"/>
      <c r="J20" s="984"/>
      <c r="K20" s="985"/>
    </row>
    <row r="21" spans="1:33" s="978" customFormat="1" ht="13.5" customHeight="1">
      <c r="A21" s="964" t="s">
        <v>802</v>
      </c>
      <c r="B21" s="988" t="s">
        <v>2497</v>
      </c>
      <c r="C21" s="989">
        <f ca="1">C16+C17+C18</f>
        <v>2399</v>
      </c>
      <c r="D21" s="990"/>
      <c r="E21" s="325"/>
      <c r="F21" s="325"/>
      <c r="G21" s="140" t="s">
        <v>2498</v>
      </c>
      <c r="H21" s="982"/>
      <c r="I21" s="982"/>
      <c r="J21" s="982"/>
      <c r="K21" s="983"/>
    </row>
    <row r="22" spans="1:33" s="978" customFormat="1" ht="13.5" customHeight="1">
      <c r="A22" s="964" t="s">
        <v>2470</v>
      </c>
      <c r="B22" s="988" t="s">
        <v>2499</v>
      </c>
      <c r="C22" s="989">
        <f ca="1">ROUND(C21*F22,0)</f>
        <v>48</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489</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489</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-2853</v>
      </c>
      <c r="D32" s="1004"/>
      <c r="E32" s="1004"/>
      <c r="F32" s="1004"/>
      <c r="G32" s="1006" t="s">
        <v>2519</v>
      </c>
      <c r="H32" s="1004"/>
      <c r="I32" s="1004"/>
      <c r="J32" s="1004"/>
      <c r="K32" s="1007"/>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A21" sqref="A2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201193</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16771</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48" t="s">
        <v>2647</v>
      </c>
      <c r="D4" s="3249"/>
      <c r="E4" s="3250" t="s">
        <v>2648</v>
      </c>
      <c r="F4" s="3251"/>
      <c r="G4" s="3248" t="s">
        <v>2649</v>
      </c>
      <c r="H4" s="3249"/>
      <c r="I4" s="3248" t="s">
        <v>2650</v>
      </c>
      <c r="J4" s="3249"/>
      <c r="K4" s="610" t="s">
        <v>2651</v>
      </c>
      <c r="L4" s="1133"/>
      <c r="M4" s="1134"/>
      <c r="N4" s="1134"/>
      <c r="O4" s="1134"/>
      <c r="P4" s="3252" t="s">
        <v>2652</v>
      </c>
      <c r="Q4" s="3253"/>
      <c r="R4" s="3235" t="s">
        <v>2648</v>
      </c>
      <c r="S4" s="3236"/>
      <c r="T4" s="3235" t="s">
        <v>2649</v>
      </c>
      <c r="U4" s="3236"/>
      <c r="V4" s="3260" t="s">
        <v>2650</v>
      </c>
      <c r="W4" s="3260"/>
      <c r="X4" s="1816"/>
      <c r="Y4" s="3235" t="s">
        <v>2652</v>
      </c>
      <c r="Z4" s="3236"/>
      <c r="AA4" s="3230" t="s">
        <v>2648</v>
      </c>
      <c r="AB4" s="3231" t="s">
        <v>2649</v>
      </c>
      <c r="AC4" s="3230" t="s">
        <v>2650</v>
      </c>
    </row>
    <row r="5" spans="1:30" ht="15">
      <c r="A5" s="404"/>
      <c r="B5" s="405"/>
      <c r="C5" s="3241" t="s">
        <v>2543</v>
      </c>
      <c r="D5" s="3242"/>
      <c r="E5" s="3239" t="str">
        <f>土地案例!A3</f>
        <v>房山区长阳镇FS00-LX10-0042等地块</v>
      </c>
      <c r="F5" s="3240"/>
      <c r="G5" s="3241" t="str">
        <f>土地案例!A4</f>
        <v>房山区拱辰街道FS00-LX11-0007地块</v>
      </c>
      <c r="H5" s="3242"/>
      <c r="I5" s="3241" t="str">
        <f>土地案例!A5</f>
        <v>房山区拱辰街道FS00-LX07-0097地块</v>
      </c>
      <c r="J5" s="3242"/>
      <c r="K5" s="610"/>
      <c r="L5" s="1133"/>
      <c r="M5" s="1134"/>
      <c r="N5" s="1134"/>
      <c r="O5" s="1134"/>
      <c r="P5" s="3254"/>
      <c r="Q5" s="3255"/>
      <c r="R5" s="3237"/>
      <c r="S5" s="3238"/>
      <c r="T5" s="3237"/>
      <c r="U5" s="3238"/>
      <c r="V5" s="3260"/>
      <c r="W5" s="3260"/>
      <c r="X5" s="1816"/>
      <c r="Y5" s="3237"/>
      <c r="Z5" s="3238"/>
      <c r="AA5" s="3231"/>
      <c r="AB5" s="3231"/>
      <c r="AC5" s="3231"/>
    </row>
    <row r="6" spans="1:30" ht="15.75" thickBot="1">
      <c r="A6" s="406"/>
      <c r="B6" s="407"/>
      <c r="C6" s="3243" t="s">
        <v>2547</v>
      </c>
      <c r="D6" s="3244"/>
      <c r="E6" s="3245" t="s">
        <v>2547</v>
      </c>
      <c r="F6" s="3246"/>
      <c r="G6" s="3243" t="s">
        <v>2547</v>
      </c>
      <c r="H6" s="3244"/>
      <c r="I6" s="3243" t="s">
        <v>2547</v>
      </c>
      <c r="J6" s="3244"/>
      <c r="K6" s="610" t="s">
        <v>2548</v>
      </c>
      <c r="L6" s="1133"/>
      <c r="M6" s="1134"/>
      <c r="N6" s="1134"/>
      <c r="O6" s="1134"/>
      <c r="P6" s="3256"/>
      <c r="Q6" s="3257"/>
      <c r="R6" s="3237"/>
      <c r="S6" s="3238"/>
      <c r="T6" s="3258"/>
      <c r="U6" s="3259"/>
      <c r="V6" s="3260"/>
      <c r="W6" s="3260"/>
      <c r="X6" s="1816"/>
      <c r="Y6" s="3258"/>
      <c r="Z6" s="3259"/>
      <c r="AA6" s="3232"/>
      <c r="AB6" s="3232"/>
      <c r="AC6" s="3232"/>
    </row>
    <row r="7" spans="1:30" s="117" customFormat="1" ht="15.75" thickBot="1">
      <c r="A7" s="408" t="s">
        <v>2549</v>
      </c>
      <c r="B7" s="409"/>
      <c r="C7" s="410">
        <f>'数据-取费表'!B2</f>
        <v>43235</v>
      </c>
      <c r="D7" s="411">
        <v>100</v>
      </c>
      <c r="E7" s="412" t="str">
        <f>土地案例!H3</f>
        <v>2016-11-28</v>
      </c>
      <c r="F7" s="413">
        <f>SUMIF(70:70,YEAR(E7)&amp;"-"&amp;INT((MONTH(E7)+2)/3),71:71)</f>
        <v>91</v>
      </c>
      <c r="G7" s="2703" t="str">
        <f>土地案例!H4</f>
        <v>2016-11-28</v>
      </c>
      <c r="H7" s="411">
        <f>SUMIF(70:70,YEAR(G7)&amp;"-"&amp;INT((MONTH(G7)+2)/3),71:71)</f>
        <v>91</v>
      </c>
      <c r="I7" s="2703" t="str">
        <f>土地案例!H5</f>
        <v>2016-09-01</v>
      </c>
      <c r="J7" s="411">
        <f>SUMIF(70:70,YEAR(I7)&amp;"-"&amp;INT((MONTH(I7)+2)/3),71:71)</f>
        <v>89.5</v>
      </c>
      <c r="K7" s="611"/>
      <c r="L7" s="1135"/>
      <c r="M7" s="1136"/>
      <c r="N7" s="1136"/>
      <c r="O7" s="1136"/>
      <c r="P7" s="3233" t="s">
        <v>2550</v>
      </c>
      <c r="Q7" s="3261"/>
      <c r="R7" s="770" t="s">
        <v>17</v>
      </c>
      <c r="S7" s="771">
        <f t="shared" ref="S7:S15" si="0">F7</f>
        <v>91</v>
      </c>
      <c r="T7" s="770" t="s">
        <v>17</v>
      </c>
      <c r="U7" s="771">
        <f t="shared" ref="U7:U15" si="1">H7</f>
        <v>91</v>
      </c>
      <c r="V7" s="770" t="s">
        <v>17</v>
      </c>
      <c r="W7" s="771">
        <f t="shared" ref="W7:W15" si="2">J7</f>
        <v>89.5</v>
      </c>
      <c r="X7" s="772"/>
      <c r="Y7" s="3233" t="s">
        <v>2550</v>
      </c>
      <c r="Z7" s="3234"/>
      <c r="AA7" s="773">
        <f>D7/F7</f>
        <v>1.098901098901099</v>
      </c>
      <c r="AB7" s="773">
        <f>D7/H7</f>
        <v>1.098901098901099</v>
      </c>
      <c r="AC7" s="773">
        <f>D7/J7</f>
        <v>1.1173184357541899</v>
      </c>
    </row>
    <row r="8" spans="1:30" s="117" customFormat="1" ht="15.75" thickBot="1">
      <c r="A8" s="408" t="s">
        <v>2551</v>
      </c>
      <c r="B8" s="409"/>
      <c r="C8" s="414" t="s">
        <v>2552</v>
      </c>
      <c r="D8" s="411">
        <v>100</v>
      </c>
      <c r="E8" s="2960" t="s">
        <v>3449</v>
      </c>
      <c r="F8" s="413">
        <f>SUMIF(73:73,E8,74:74)-SUMIF(73:73,C8,74:74)+100</f>
        <v>100</v>
      </c>
      <c r="G8" s="2960" t="s">
        <v>3449</v>
      </c>
      <c r="H8" s="411">
        <f>SUMIF(73:73,G8,74:74)-SUMIF(73:73,C8,74:74)+100</f>
        <v>100</v>
      </c>
      <c r="I8" s="2960" t="s">
        <v>3449</v>
      </c>
      <c r="J8" s="411">
        <f>SUMIF(73:73,I8,74:74)-SUMIF(73:73,C8,74:74)+100</f>
        <v>100</v>
      </c>
      <c r="K8" s="611"/>
      <c r="L8" s="1135"/>
      <c r="M8" s="1136"/>
      <c r="N8" s="1136"/>
      <c r="O8" s="1136"/>
      <c r="P8" s="3233" t="s">
        <v>2553</v>
      </c>
      <c r="Q8" s="3234"/>
      <c r="R8" s="770" t="s">
        <v>17</v>
      </c>
      <c r="S8" s="771">
        <f t="shared" si="0"/>
        <v>100</v>
      </c>
      <c r="T8" s="770" t="s">
        <v>17</v>
      </c>
      <c r="U8" s="771">
        <f t="shared" si="1"/>
        <v>100</v>
      </c>
      <c r="V8" s="770" t="s">
        <v>17</v>
      </c>
      <c r="W8" s="771">
        <f t="shared" si="2"/>
        <v>100</v>
      </c>
      <c r="X8" s="772"/>
      <c r="Y8" s="3233" t="s">
        <v>2553</v>
      </c>
      <c r="Z8" s="3234"/>
      <c r="AA8" s="773">
        <f t="shared" ref="AA8:AA45" si="3">D8/F8</f>
        <v>1</v>
      </c>
      <c r="AB8" s="773">
        <f t="shared" ref="AB8:AB45" si="4">D8/H8</f>
        <v>1</v>
      </c>
      <c r="AC8" s="773">
        <f t="shared" ref="AC8:AC45" si="5">D8/J8</f>
        <v>1</v>
      </c>
    </row>
    <row r="9" spans="1:30" s="117" customFormat="1">
      <c r="A9" s="415" t="s">
        <v>2554</v>
      </c>
      <c r="B9" s="71" t="s">
        <v>2555</v>
      </c>
      <c r="C9" s="2961" t="s">
        <v>3450</v>
      </c>
      <c r="D9" s="135">
        <v>100</v>
      </c>
      <c r="E9" s="2961" t="s">
        <v>3450</v>
      </c>
      <c r="F9" s="135">
        <f>SUMIF(75:75,E9,76:76)-SUMIF(75:75,C9,76:76)+100</f>
        <v>100</v>
      </c>
      <c r="G9" s="2961" t="s">
        <v>3450</v>
      </c>
      <c r="H9" s="135">
        <f>SUMIF(75:75,G9,76:76)-SUMIF(75:75,C9,76:76)+100</f>
        <v>100</v>
      </c>
      <c r="I9" s="2961" t="s">
        <v>3450</v>
      </c>
      <c r="J9" s="135">
        <f>SUMIF(75:75,I9,76:76)-SUMIF(75:75,C9,76:76)+100</f>
        <v>100</v>
      </c>
      <c r="K9" s="611"/>
      <c r="L9" s="1135"/>
      <c r="M9" s="1136"/>
      <c r="N9" s="1136"/>
      <c r="O9" s="1137"/>
      <c r="P9" s="3247" t="s">
        <v>2556</v>
      </c>
      <c r="Q9" s="1798" t="str">
        <f t="shared" ref="Q9:Q15" si="6">B9</f>
        <v>用途</v>
      </c>
      <c r="R9" s="770" t="s">
        <v>17</v>
      </c>
      <c r="S9" s="771">
        <f t="shared" si="0"/>
        <v>100</v>
      </c>
      <c r="T9" s="770" t="s">
        <v>17</v>
      </c>
      <c r="U9" s="771">
        <f t="shared" si="1"/>
        <v>100</v>
      </c>
      <c r="V9" s="770" t="s">
        <v>17</v>
      </c>
      <c r="W9" s="771">
        <f t="shared" si="2"/>
        <v>100</v>
      </c>
      <c r="X9" s="772"/>
      <c r="Y9" s="3107" t="s">
        <v>2557</v>
      </c>
      <c r="Z9" s="55" t="str">
        <f t="shared" ref="Z9:Z15" si="7">Q9</f>
        <v>用途</v>
      </c>
      <c r="AA9" s="773">
        <f t="shared" si="3"/>
        <v>1</v>
      </c>
      <c r="AB9" s="773">
        <f t="shared" si="4"/>
        <v>1</v>
      </c>
      <c r="AC9" s="773">
        <f t="shared" si="5"/>
        <v>1</v>
      </c>
    </row>
    <row r="10" spans="1:30" s="427" customFormat="1" ht="27">
      <c r="A10" s="421"/>
      <c r="B10" s="422" t="s">
        <v>2558</v>
      </c>
      <c r="C10" s="432" t="s">
        <v>3451</v>
      </c>
      <c r="D10" s="136">
        <v>100</v>
      </c>
      <c r="E10" s="465" t="s">
        <v>3451</v>
      </c>
      <c r="F10" s="136">
        <f>ROUND(100/'数据-取费表'!G16,0)</f>
        <v>107</v>
      </c>
      <c r="G10" s="463" t="s">
        <v>3451</v>
      </c>
      <c r="H10" s="136">
        <f>ROUND(100/'数据-取费表'!G16,0)</f>
        <v>107</v>
      </c>
      <c r="I10" s="463" t="s">
        <v>3451</v>
      </c>
      <c r="J10" s="136">
        <f>ROUND(100/'数据-取费表'!G16,0)</f>
        <v>107</v>
      </c>
      <c r="K10" s="672"/>
      <c r="L10" s="1138"/>
      <c r="M10" s="1139"/>
      <c r="N10" s="1139"/>
      <c r="O10" s="1140"/>
      <c r="P10" s="3247"/>
      <c r="Q10" s="1798" t="str">
        <f t="shared" si="6"/>
        <v>土地使用年限（年）</v>
      </c>
      <c r="R10" s="770" t="s">
        <v>17</v>
      </c>
      <c r="S10" s="771">
        <f t="shared" si="0"/>
        <v>107</v>
      </c>
      <c r="T10" s="770" t="s">
        <v>17</v>
      </c>
      <c r="U10" s="771">
        <f t="shared" si="1"/>
        <v>107</v>
      </c>
      <c r="V10" s="770" t="s">
        <v>17</v>
      </c>
      <c r="W10" s="771">
        <f t="shared" si="2"/>
        <v>107</v>
      </c>
      <c r="X10" s="772"/>
      <c r="Y10" s="3107"/>
      <c r="Z10" s="55" t="str">
        <f t="shared" si="7"/>
        <v>土地使用年限（年）</v>
      </c>
      <c r="AA10" s="773">
        <f t="shared" si="3"/>
        <v>0.93457943925233644</v>
      </c>
      <c r="AB10" s="773">
        <f t="shared" si="4"/>
        <v>0.93457943925233644</v>
      </c>
      <c r="AC10" s="773">
        <f t="shared" si="5"/>
        <v>0.93457943925233644</v>
      </c>
    </row>
    <row r="11" spans="1:30" ht="15">
      <c r="A11" s="428"/>
      <c r="B11" s="422" t="s">
        <v>2559</v>
      </c>
      <c r="C11" s="429">
        <f>'数据-汇总表'!I6</f>
        <v>3.49</v>
      </c>
      <c r="D11" s="136">
        <v>100</v>
      </c>
      <c r="E11" s="429">
        <f>土地案例!F3</f>
        <v>2.09</v>
      </c>
      <c r="F11" s="136">
        <f>LOOKUP(E11,80:80,81:81)-LOOKUP(C11,80:80,81:81)+100</f>
        <v>102</v>
      </c>
      <c r="G11" s="430">
        <f>土地案例!F4</f>
        <v>2.5</v>
      </c>
      <c r="H11" s="136">
        <f>LOOKUP(G11,80:80,81:81)-LOOKUP(C11,80:80,81:81)+100</f>
        <v>102</v>
      </c>
      <c r="I11" s="429">
        <f>土地案例!F5</f>
        <v>2.5</v>
      </c>
      <c r="J11" s="136">
        <f>LOOKUP(I11,80:80,81:81)-LOOKUP(C11,80:80,81:81)+100</f>
        <v>102</v>
      </c>
      <c r="K11" s="673">
        <v>2</v>
      </c>
      <c r="L11" s="1141"/>
      <c r="M11" s="1134"/>
      <c r="N11" s="1134"/>
      <c r="O11" s="1142"/>
      <c r="P11" s="3247"/>
      <c r="Q11" s="1798" t="str">
        <f t="shared" si="6"/>
        <v>容积率</v>
      </c>
      <c r="R11" s="770" t="s">
        <v>17</v>
      </c>
      <c r="S11" s="771">
        <f t="shared" si="0"/>
        <v>102</v>
      </c>
      <c r="T11" s="770" t="s">
        <v>17</v>
      </c>
      <c r="U11" s="771">
        <f t="shared" si="1"/>
        <v>102</v>
      </c>
      <c r="V11" s="770" t="s">
        <v>17</v>
      </c>
      <c r="W11" s="771">
        <f t="shared" si="2"/>
        <v>102</v>
      </c>
      <c r="X11" s="772"/>
      <c r="Y11" s="3107"/>
      <c r="Z11" s="55" t="str">
        <f t="shared" si="7"/>
        <v>容积率</v>
      </c>
      <c r="AA11" s="773">
        <f t="shared" si="3"/>
        <v>0.98039215686274506</v>
      </c>
      <c r="AB11" s="773">
        <f t="shared" si="4"/>
        <v>0.98039215686274506</v>
      </c>
      <c r="AC11" s="773">
        <f t="shared" si="5"/>
        <v>0.98039215686274506</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7"/>
      <c r="Q12" s="1798" t="str">
        <f t="shared" si="6"/>
        <v>配建</v>
      </c>
      <c r="R12" s="770" t="s">
        <v>17</v>
      </c>
      <c r="S12" s="771">
        <f t="shared" si="0"/>
        <v>100</v>
      </c>
      <c r="T12" s="770" t="s">
        <v>17</v>
      </c>
      <c r="U12" s="771">
        <f t="shared" si="1"/>
        <v>100</v>
      </c>
      <c r="V12" s="770" t="s">
        <v>17</v>
      </c>
      <c r="W12" s="771">
        <f t="shared" si="2"/>
        <v>100</v>
      </c>
      <c r="X12" s="772"/>
      <c r="Y12" s="3107"/>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7"/>
      <c r="Q13" s="1798">
        <f t="shared" si="6"/>
        <v>111</v>
      </c>
      <c r="R13" s="770" t="s">
        <v>17</v>
      </c>
      <c r="S13" s="771">
        <f t="shared" si="0"/>
        <v>100</v>
      </c>
      <c r="T13" s="770" t="s">
        <v>17</v>
      </c>
      <c r="U13" s="771">
        <f t="shared" si="1"/>
        <v>100</v>
      </c>
      <c r="V13" s="770" t="s">
        <v>17</v>
      </c>
      <c r="W13" s="771">
        <f t="shared" si="2"/>
        <v>100</v>
      </c>
      <c r="X13" s="772"/>
      <c r="Y13" s="3107"/>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7"/>
      <c r="Q14" s="1798">
        <f t="shared" si="6"/>
        <v>111</v>
      </c>
      <c r="R14" s="770" t="s">
        <v>17</v>
      </c>
      <c r="S14" s="771">
        <f t="shared" si="0"/>
        <v>100</v>
      </c>
      <c r="T14" s="770" t="s">
        <v>17</v>
      </c>
      <c r="U14" s="771">
        <f t="shared" si="1"/>
        <v>100</v>
      </c>
      <c r="V14" s="770" t="s">
        <v>17</v>
      </c>
      <c r="W14" s="771">
        <f t="shared" si="2"/>
        <v>100</v>
      </c>
      <c r="X14" s="772"/>
      <c r="Y14" s="3107"/>
      <c r="Z14" s="55">
        <f t="shared" si="7"/>
        <v>111</v>
      </c>
      <c r="AA14" s="773">
        <f>D14/F14</f>
        <v>1</v>
      </c>
      <c r="AB14" s="773">
        <f>D14/H14</f>
        <v>1</v>
      </c>
      <c r="AC14" s="773">
        <f>D14/J14</f>
        <v>1</v>
      </c>
    </row>
    <row r="15" spans="1:30" ht="99.75" hidden="1">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62" t="s">
        <v>2561</v>
      </c>
      <c r="Q15" s="1813" t="str">
        <f t="shared" si="6"/>
        <v>居住社区成熟度</v>
      </c>
      <c r="R15" s="774" t="s">
        <v>17</v>
      </c>
      <c r="S15" s="775">
        <f t="shared" si="0"/>
        <v>100</v>
      </c>
      <c r="T15" s="774" t="s">
        <v>17</v>
      </c>
      <c r="U15" s="775">
        <f t="shared" si="1"/>
        <v>100</v>
      </c>
      <c r="V15" s="774" t="s">
        <v>17</v>
      </c>
      <c r="W15" s="775">
        <f t="shared" si="2"/>
        <v>100</v>
      </c>
      <c r="X15" s="1816"/>
      <c r="Y15" s="3262" t="s">
        <v>2561</v>
      </c>
      <c r="Z15" s="1817" t="str">
        <f t="shared" si="7"/>
        <v>居住社区成熟度</v>
      </c>
      <c r="AA15" s="1814">
        <f t="shared" si="3"/>
        <v>1</v>
      </c>
      <c r="AB15" s="1814">
        <f t="shared" si="4"/>
        <v>1</v>
      </c>
      <c r="AC15" s="1814">
        <f t="shared" si="5"/>
        <v>1</v>
      </c>
    </row>
    <row r="16" spans="1:30" ht="15" hidden="1">
      <c r="A16" s="428"/>
      <c r="B16" s="446"/>
      <c r="C16" s="447"/>
      <c r="D16" s="448"/>
      <c r="E16" s="2612"/>
      <c r="F16" s="448"/>
      <c r="G16" s="2612"/>
      <c r="H16" s="450"/>
      <c r="I16" s="2611"/>
      <c r="J16" s="448"/>
      <c r="K16" s="672"/>
      <c r="L16" s="1143"/>
      <c r="M16" s="1134"/>
      <c r="N16" s="1134"/>
      <c r="O16" s="1142"/>
      <c r="P16" s="3263"/>
      <c r="Q16" s="1813"/>
      <c r="R16" s="774"/>
      <c r="S16" s="775"/>
      <c r="T16" s="774"/>
      <c r="U16" s="775"/>
      <c r="V16" s="774"/>
      <c r="W16" s="775"/>
      <c r="X16" s="1816"/>
      <c r="Y16" s="3263"/>
      <c r="Z16" s="1817"/>
      <c r="AA16" s="1814">
        <v>1</v>
      </c>
      <c r="AB16" s="1814">
        <v>1</v>
      </c>
      <c r="AC16" s="1814">
        <v>1</v>
      </c>
    </row>
    <row r="17" spans="1:29" ht="71.25">
      <c r="A17" s="428"/>
      <c r="B17" s="451" t="s">
        <v>2654</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63"/>
      <c r="Q17" s="1813" t="str">
        <f>B17</f>
        <v>商业繁华度</v>
      </c>
      <c r="R17" s="774" t="s">
        <v>17</v>
      </c>
      <c r="S17" s="775">
        <f>F17</f>
        <v>100</v>
      </c>
      <c r="T17" s="774" t="s">
        <v>17</v>
      </c>
      <c r="U17" s="775">
        <f>H17</f>
        <v>100</v>
      </c>
      <c r="V17" s="774" t="s">
        <v>17</v>
      </c>
      <c r="W17" s="775">
        <f>J17</f>
        <v>100</v>
      </c>
      <c r="X17" s="1816"/>
      <c r="Y17" s="3263"/>
      <c r="Z17" s="1817" t="str">
        <f>Q17</f>
        <v>商业繁华度</v>
      </c>
      <c r="AA17" s="1814">
        <f t="shared" si="3"/>
        <v>1</v>
      </c>
      <c r="AB17" s="1814">
        <f t="shared" si="4"/>
        <v>1</v>
      </c>
      <c r="AC17" s="1814">
        <f t="shared" si="5"/>
        <v>1</v>
      </c>
    </row>
    <row r="18" spans="1:29" ht="15">
      <c r="A18" s="428"/>
      <c r="B18" s="456"/>
      <c r="C18" s="2615" t="s">
        <v>3510</v>
      </c>
      <c r="D18" s="450"/>
      <c r="E18" s="2963" t="s">
        <v>3511</v>
      </c>
      <c r="F18" s="450"/>
      <c r="G18" s="2963" t="s">
        <v>3512</v>
      </c>
      <c r="H18" s="448"/>
      <c r="I18" s="2964" t="s">
        <v>3511</v>
      </c>
      <c r="J18" s="448"/>
      <c r="K18" s="672"/>
      <c r="L18" s="1143"/>
      <c r="M18" s="1134"/>
      <c r="N18" s="1134"/>
      <c r="O18" s="1142"/>
      <c r="P18" s="3263"/>
      <c r="Q18" s="1813"/>
      <c r="R18" s="774"/>
      <c r="S18" s="775"/>
      <c r="T18" s="774"/>
      <c r="U18" s="775"/>
      <c r="V18" s="774"/>
      <c r="W18" s="775"/>
      <c r="X18" s="1816"/>
      <c r="Y18" s="3263"/>
      <c r="Z18" s="1817"/>
      <c r="AA18" s="1814">
        <v>1</v>
      </c>
      <c r="AB18" s="1814">
        <v>1</v>
      </c>
      <c r="AC18" s="1814">
        <v>1</v>
      </c>
    </row>
    <row r="19" spans="1:29" ht="71.25" hidden="1">
      <c r="A19" s="428"/>
      <c r="B19" s="451" t="s">
        <v>2688</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63"/>
      <c r="Q19" s="1813" t="str">
        <f>B19</f>
        <v>办公集聚程度</v>
      </c>
      <c r="R19" s="774" t="s">
        <v>17</v>
      </c>
      <c r="S19" s="775">
        <f>F19</f>
        <v>100</v>
      </c>
      <c r="T19" s="774" t="s">
        <v>17</v>
      </c>
      <c r="U19" s="775">
        <f>H19</f>
        <v>100</v>
      </c>
      <c r="V19" s="774" t="s">
        <v>17</v>
      </c>
      <c r="W19" s="775">
        <f>J19</f>
        <v>100</v>
      </c>
      <c r="X19" s="1816"/>
      <c r="Y19" s="3263"/>
      <c r="Z19" s="1817" t="str">
        <f>Q19</f>
        <v>办公集聚程度</v>
      </c>
      <c r="AA19" s="1814">
        <f t="shared" si="3"/>
        <v>1</v>
      </c>
      <c r="AB19" s="1814">
        <f t="shared" si="4"/>
        <v>1</v>
      </c>
      <c r="AC19" s="1814">
        <f t="shared" si="5"/>
        <v>1</v>
      </c>
    </row>
    <row r="20" spans="1:29" ht="15" hidden="1">
      <c r="A20" s="428"/>
      <c r="B20" s="456"/>
      <c r="C20" s="447"/>
      <c r="D20" s="448"/>
      <c r="E20" s="2612"/>
      <c r="F20" s="448"/>
      <c r="G20" s="2612"/>
      <c r="H20" s="448"/>
      <c r="I20" s="2611"/>
      <c r="J20" s="448"/>
      <c r="K20" s="672"/>
      <c r="L20" s="1143"/>
      <c r="M20" s="1134"/>
      <c r="N20" s="1134"/>
      <c r="O20" s="1142"/>
      <c r="P20" s="3263"/>
      <c r="Q20" s="1813"/>
      <c r="R20" s="774"/>
      <c r="S20" s="775"/>
      <c r="T20" s="774"/>
      <c r="U20" s="775"/>
      <c r="V20" s="774"/>
      <c r="W20" s="775"/>
      <c r="X20" s="1816"/>
      <c r="Y20" s="3263"/>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63"/>
      <c r="Q21" s="1813" t="str">
        <f>B21</f>
        <v>交通便捷度</v>
      </c>
      <c r="R21" s="774" t="s">
        <v>17</v>
      </c>
      <c r="S21" s="775">
        <f>F21</f>
        <v>100</v>
      </c>
      <c r="T21" s="774" t="s">
        <v>17</v>
      </c>
      <c r="U21" s="775">
        <f>H21</f>
        <v>100</v>
      </c>
      <c r="V21" s="774" t="s">
        <v>17</v>
      </c>
      <c r="W21" s="775">
        <f>J21</f>
        <v>100</v>
      </c>
      <c r="X21" s="1816"/>
      <c r="Y21" s="3263"/>
      <c r="Z21" s="1817" t="str">
        <f>Q21</f>
        <v>交通便捷度</v>
      </c>
      <c r="AA21" s="1814">
        <f t="shared" si="3"/>
        <v>1</v>
      </c>
      <c r="AB21" s="1814">
        <f t="shared" si="4"/>
        <v>1</v>
      </c>
      <c r="AC21" s="1814">
        <f t="shared" si="5"/>
        <v>1</v>
      </c>
    </row>
    <row r="22" spans="1:29" ht="15">
      <c r="A22" s="428"/>
      <c r="B22" s="1387"/>
      <c r="C22" s="2965" t="s">
        <v>3511</v>
      </c>
      <c r="D22" s="450"/>
      <c r="E22" s="2966" t="s">
        <v>3512</v>
      </c>
      <c r="F22" s="448"/>
      <c r="G22" s="2966" t="s">
        <v>3511</v>
      </c>
      <c r="H22" s="448"/>
      <c r="I22" s="2967" t="s">
        <v>3512</v>
      </c>
      <c r="J22" s="448"/>
      <c r="K22" s="672"/>
      <c r="L22" s="1143"/>
      <c r="M22" s="1134"/>
      <c r="N22" s="1134"/>
      <c r="O22" s="1142"/>
      <c r="P22" s="3263"/>
      <c r="Q22" s="1813"/>
      <c r="R22" s="774"/>
      <c r="S22" s="775"/>
      <c r="T22" s="774"/>
      <c r="U22" s="775"/>
      <c r="V22" s="774"/>
      <c r="W22" s="775"/>
      <c r="X22" s="1816"/>
      <c r="Y22" s="3263"/>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63"/>
      <c r="Q23" s="1813" t="str">
        <f t="shared" ref="Q23:Q37" si="8">B23</f>
        <v>区域土地利用方向</v>
      </c>
      <c r="R23" s="774" t="s">
        <v>17</v>
      </c>
      <c r="S23" s="775">
        <f>F23</f>
        <v>100</v>
      </c>
      <c r="T23" s="774" t="s">
        <v>17</v>
      </c>
      <c r="U23" s="775">
        <f>H23</f>
        <v>100</v>
      </c>
      <c r="V23" s="774" t="s">
        <v>17</v>
      </c>
      <c r="W23" s="775">
        <f>J23</f>
        <v>100</v>
      </c>
      <c r="X23" s="1816"/>
      <c r="Y23" s="3263"/>
      <c r="Z23" s="1817" t="str">
        <f>Q23</f>
        <v>区域土地利用方向</v>
      </c>
      <c r="AA23" s="1814">
        <f t="shared" si="3"/>
        <v>1</v>
      </c>
      <c r="AB23" s="1814">
        <f t="shared" si="4"/>
        <v>1</v>
      </c>
      <c r="AC23" s="1814">
        <f t="shared" si="5"/>
        <v>1</v>
      </c>
    </row>
    <row r="24" spans="1:29" ht="15">
      <c r="A24" s="404"/>
      <c r="B24" s="456"/>
      <c r="C24" s="2968" t="s">
        <v>3512</v>
      </c>
      <c r="D24" s="448"/>
      <c r="E24" s="2966" t="s">
        <v>3512</v>
      </c>
      <c r="F24" s="448"/>
      <c r="G24" s="2967" t="s">
        <v>3512</v>
      </c>
      <c r="H24" s="448"/>
      <c r="I24" s="2967" t="s">
        <v>3511</v>
      </c>
      <c r="J24" s="448"/>
      <c r="K24" s="812"/>
      <c r="L24" s="1143"/>
      <c r="M24" s="1134"/>
      <c r="N24" s="1134"/>
      <c r="O24" s="1142"/>
      <c r="P24" s="3263"/>
      <c r="Q24" s="1813"/>
      <c r="R24" s="774"/>
      <c r="S24" s="775"/>
      <c r="T24" s="774"/>
      <c r="U24" s="775"/>
      <c r="V24" s="774"/>
      <c r="W24" s="775"/>
      <c r="X24" s="1816"/>
      <c r="Y24" s="3263"/>
      <c r="Z24" s="1817"/>
      <c r="AA24" s="1814"/>
      <c r="AB24" s="1814"/>
      <c r="AC24" s="1814"/>
    </row>
    <row r="25" spans="1:29" ht="57">
      <c r="A25" s="404"/>
      <c r="B25" s="1387" t="s">
        <v>2750</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63"/>
      <c r="Q25" s="1813" t="str">
        <f t="shared" si="8"/>
        <v>自然及人文环境状况</v>
      </c>
      <c r="R25" s="774" t="s">
        <v>17</v>
      </c>
      <c r="S25" s="775">
        <f>F25</f>
        <v>100</v>
      </c>
      <c r="T25" s="774" t="s">
        <v>17</v>
      </c>
      <c r="U25" s="775">
        <f>H25</f>
        <v>100</v>
      </c>
      <c r="V25" s="774" t="s">
        <v>17</v>
      </c>
      <c r="W25" s="775">
        <f>J25</f>
        <v>100</v>
      </c>
      <c r="X25" s="1816"/>
      <c r="Y25" s="3263"/>
      <c r="Z25" s="1817" t="str">
        <f>Q25</f>
        <v>自然及人文环境状况</v>
      </c>
      <c r="AA25" s="1814">
        <f t="shared" si="3"/>
        <v>1</v>
      </c>
      <c r="AB25" s="1814">
        <f t="shared" si="4"/>
        <v>1</v>
      </c>
      <c r="AC25" s="1814">
        <f t="shared" si="5"/>
        <v>1</v>
      </c>
    </row>
    <row r="26" spans="1:29" ht="15">
      <c r="A26" s="404"/>
      <c r="B26" s="456"/>
      <c r="C26" s="2965" t="s">
        <v>3511</v>
      </c>
      <c r="D26" s="448"/>
      <c r="E26" s="2969" t="s">
        <v>3512</v>
      </c>
      <c r="F26" s="448"/>
      <c r="G26" s="2969" t="s">
        <v>3512</v>
      </c>
      <c r="H26" s="448"/>
      <c r="I26" s="2965" t="s">
        <v>3512</v>
      </c>
      <c r="J26" s="448"/>
      <c r="K26" s="672"/>
      <c r="L26" s="1143"/>
      <c r="M26" s="1134"/>
      <c r="N26" s="1134"/>
      <c r="O26" s="1142"/>
      <c r="P26" s="3263"/>
      <c r="Q26" s="1813"/>
      <c r="R26" s="774"/>
      <c r="S26" s="775"/>
      <c r="T26" s="774"/>
      <c r="U26" s="775"/>
      <c r="V26" s="774"/>
      <c r="W26" s="775"/>
      <c r="X26" s="1816"/>
      <c r="Y26" s="3263"/>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63"/>
      <c r="Q27" s="1798" t="str">
        <f t="shared" si="8"/>
        <v>公共配套设施</v>
      </c>
      <c r="R27" s="770" t="s">
        <v>17</v>
      </c>
      <c r="S27" s="771">
        <f>F27</f>
        <v>100</v>
      </c>
      <c r="T27" s="770" t="s">
        <v>17</v>
      </c>
      <c r="U27" s="771">
        <f>H27</f>
        <v>100</v>
      </c>
      <c r="V27" s="770" t="s">
        <v>17</v>
      </c>
      <c r="W27" s="771">
        <f>J27</f>
        <v>100</v>
      </c>
      <c r="X27" s="772"/>
      <c r="Y27" s="3263"/>
      <c r="Z27" s="55" t="str">
        <f>Q27</f>
        <v>公共配套设施</v>
      </c>
      <c r="AA27" s="1814">
        <f>D27/F27</f>
        <v>1</v>
      </c>
      <c r="AB27" s="1814">
        <f>D27/H27</f>
        <v>1</v>
      </c>
      <c r="AC27" s="1814">
        <f>D27/J27</f>
        <v>1</v>
      </c>
    </row>
    <row r="28" spans="1:29" s="117" customFormat="1" ht="15">
      <c r="A28" s="649"/>
      <c r="B28" s="456"/>
      <c r="C28" s="2970" t="s">
        <v>3511</v>
      </c>
      <c r="D28" s="448"/>
      <c r="E28" s="2969" t="s">
        <v>3511</v>
      </c>
      <c r="F28" s="448"/>
      <c r="G28" s="2969" t="s">
        <v>3511</v>
      </c>
      <c r="H28" s="448"/>
      <c r="I28" s="2965" t="s">
        <v>3511</v>
      </c>
      <c r="J28" s="448"/>
      <c r="K28" s="672"/>
      <c r="L28" s="1135"/>
      <c r="M28" s="1136"/>
      <c r="N28" s="1136"/>
      <c r="O28" s="1137"/>
      <c r="P28" s="3263"/>
      <c r="Q28" s="1798"/>
      <c r="R28" s="770"/>
      <c r="S28" s="771"/>
      <c r="T28" s="770"/>
      <c r="U28" s="771"/>
      <c r="V28" s="770"/>
      <c r="W28" s="771"/>
      <c r="X28" s="772"/>
      <c r="Y28" s="3263"/>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63"/>
      <c r="Q29" s="1798" t="str">
        <f t="shared" ref="Q29" si="9">B29</f>
        <v>基础设施水平</v>
      </c>
      <c r="R29" s="770" t="s">
        <v>17</v>
      </c>
      <c r="S29" s="771">
        <f>F29</f>
        <v>100</v>
      </c>
      <c r="T29" s="770" t="s">
        <v>17</v>
      </c>
      <c r="U29" s="771">
        <f>H29</f>
        <v>100</v>
      </c>
      <c r="V29" s="770" t="s">
        <v>17</v>
      </c>
      <c r="W29" s="771">
        <f>J29</f>
        <v>100</v>
      </c>
      <c r="X29" s="772"/>
      <c r="Y29" s="3263"/>
      <c r="Z29" s="55" t="str">
        <f>Q29</f>
        <v>基础设施水平</v>
      </c>
      <c r="AA29" s="1814">
        <f>D29/F29</f>
        <v>1</v>
      </c>
      <c r="AB29" s="1814">
        <f>D29/H29</f>
        <v>1</v>
      </c>
      <c r="AC29" s="1814">
        <f>D29/J29</f>
        <v>1</v>
      </c>
    </row>
    <row r="30" spans="1:29" s="117" customFormat="1" ht="15">
      <c r="A30" s="649"/>
      <c r="B30" s="456"/>
      <c r="C30" s="2970" t="s">
        <v>3583</v>
      </c>
      <c r="D30" s="448"/>
      <c r="E30" s="2971" t="s">
        <v>3525</v>
      </c>
      <c r="F30" s="448"/>
      <c r="G30" s="2971" t="s">
        <v>3525</v>
      </c>
      <c r="H30" s="448"/>
      <c r="I30" s="2971" t="s">
        <v>3525</v>
      </c>
      <c r="J30" s="448"/>
      <c r="K30" s="672"/>
      <c r="L30" s="1135"/>
      <c r="M30" s="1136"/>
      <c r="N30" s="1136"/>
      <c r="O30" s="1137"/>
      <c r="P30" s="3263"/>
      <c r="Q30" s="1798"/>
      <c r="R30" s="770"/>
      <c r="S30" s="771"/>
      <c r="T30" s="770"/>
      <c r="U30" s="771"/>
      <c r="V30" s="770"/>
      <c r="W30" s="771"/>
      <c r="X30" s="772"/>
      <c r="Y30" s="3263"/>
      <c r="Z30" s="55"/>
      <c r="AA30" s="1814">
        <v>1</v>
      </c>
      <c r="AB30" s="1814">
        <v>1</v>
      </c>
      <c r="AC30" s="1814">
        <v>1</v>
      </c>
    </row>
    <row r="31" spans="1:29" ht="15">
      <c r="A31" s="428"/>
      <c r="B31" s="456" t="s">
        <v>2657</v>
      </c>
      <c r="C31" s="616" t="s">
        <v>3514</v>
      </c>
      <c r="D31" s="435">
        <v>100</v>
      </c>
      <c r="E31" s="634" t="s">
        <v>3515</v>
      </c>
      <c r="F31" s="435">
        <f>SUMIF(104:104,E31,105:105)-SUMIF(104:104,C31,105:105)+100</f>
        <v>98</v>
      </c>
      <c r="G31" s="634" t="s">
        <v>3516</v>
      </c>
      <c r="H31" s="435">
        <f>SUMIF(104:104,G31,105:105)-SUMIF(104:104,C31,105:105)+100</f>
        <v>96</v>
      </c>
      <c r="I31" s="634" t="s">
        <v>3516</v>
      </c>
      <c r="J31" s="435">
        <f>SUMIF(104:104,I31,105:105)-SUMIF(104:104,C31,105:105)+100</f>
        <v>96</v>
      </c>
      <c r="K31" s="673">
        <v>2</v>
      </c>
      <c r="L31" s="1143"/>
      <c r="M31" s="1134"/>
      <c r="N31" s="1134"/>
      <c r="O31" s="1142"/>
      <c r="P31" s="3263"/>
      <c r="Q31" s="1813" t="str">
        <f t="shared" si="8"/>
        <v>临街状况</v>
      </c>
      <c r="R31" s="774" t="s">
        <v>17</v>
      </c>
      <c r="S31" s="775">
        <f t="shared" ref="S31:S45" si="10">F31</f>
        <v>98</v>
      </c>
      <c r="T31" s="774" t="s">
        <v>17</v>
      </c>
      <c r="U31" s="775">
        <f t="shared" ref="U31:U45" si="11">H31</f>
        <v>96</v>
      </c>
      <c r="V31" s="774" t="s">
        <v>17</v>
      </c>
      <c r="W31" s="775">
        <f t="shared" ref="W31:W45" si="12">J31</f>
        <v>96</v>
      </c>
      <c r="X31" s="1816"/>
      <c r="Y31" s="3263"/>
      <c r="Z31" s="1817" t="str">
        <f t="shared" ref="Z31:Z45" si="13">Q31</f>
        <v>临街状况</v>
      </c>
      <c r="AA31" s="1814">
        <f t="shared" si="3"/>
        <v>1.0204081632653061</v>
      </c>
      <c r="AB31" s="1814">
        <f t="shared" si="4"/>
        <v>1.0416666666666667</v>
      </c>
      <c r="AC31" s="1814">
        <f t="shared" si="5"/>
        <v>1.0416666666666667</v>
      </c>
    </row>
    <row r="32" spans="1:29" ht="27">
      <c r="A32" s="428"/>
      <c r="B32" s="1387" t="s">
        <v>2692</v>
      </c>
      <c r="C32" s="454"/>
      <c r="D32" s="450">
        <v>100</v>
      </c>
      <c r="E32" s="452"/>
      <c r="F32" s="450">
        <f>SUMIF(106:106,E33,107:107)-SUMIF(106:106,C33,107:107)+100</f>
        <v>100</v>
      </c>
      <c r="G32" s="452"/>
      <c r="H32" s="450">
        <f>SUMIF(106:106,G33,107:107)-SUMIF(106:106,C33,107:107)+100</f>
        <v>98</v>
      </c>
      <c r="I32" s="454"/>
      <c r="J32" s="450">
        <f>SUMIF(106:106,I33,107:107)-SUMIF(106:106,C33,107:107)+100</f>
        <v>98</v>
      </c>
      <c r="K32" s="673">
        <v>2</v>
      </c>
      <c r="L32" s="1143"/>
      <c r="M32" s="1134"/>
      <c r="N32" s="1134"/>
      <c r="O32" s="1142"/>
      <c r="P32" s="3263"/>
      <c r="Q32" s="1813" t="str">
        <f t="shared" si="8"/>
        <v>毗邻道路的类型与等级</v>
      </c>
      <c r="R32" s="774" t="s">
        <v>17</v>
      </c>
      <c r="S32" s="775">
        <f t="shared" si="10"/>
        <v>100</v>
      </c>
      <c r="T32" s="774" t="s">
        <v>17</v>
      </c>
      <c r="U32" s="775">
        <f t="shared" si="11"/>
        <v>98</v>
      </c>
      <c r="V32" s="774" t="s">
        <v>17</v>
      </c>
      <c r="W32" s="775">
        <f t="shared" si="12"/>
        <v>98</v>
      </c>
      <c r="X32" s="1816"/>
      <c r="Y32" s="3263"/>
      <c r="Z32" s="1817" t="str">
        <f t="shared" si="13"/>
        <v>毗邻道路的类型与等级</v>
      </c>
      <c r="AA32" s="1814">
        <f t="shared" si="3"/>
        <v>1</v>
      </c>
      <c r="AB32" s="1814">
        <f t="shared" si="4"/>
        <v>1.0204081632653061</v>
      </c>
      <c r="AC32" s="1814">
        <f t="shared" si="5"/>
        <v>1.0204081632653061</v>
      </c>
    </row>
    <row r="33" spans="1:29" ht="15">
      <c r="A33" s="428"/>
      <c r="B33" s="456"/>
      <c r="C33" s="447" t="s">
        <v>3518</v>
      </c>
      <c r="D33" s="448"/>
      <c r="E33" s="2618" t="s">
        <v>3518</v>
      </c>
      <c r="F33" s="448"/>
      <c r="G33" s="2618" t="s">
        <v>3520</v>
      </c>
      <c r="H33" s="448"/>
      <c r="I33" s="447" t="s">
        <v>3520</v>
      </c>
      <c r="J33" s="448"/>
      <c r="K33" s="613"/>
      <c r="L33" s="1143"/>
      <c r="M33" s="1134"/>
      <c r="N33" s="1134"/>
      <c r="O33" s="1142"/>
      <c r="P33" s="3263"/>
      <c r="Q33" s="1813"/>
      <c r="R33" s="774"/>
      <c r="S33" s="775"/>
      <c r="T33" s="774"/>
      <c r="U33" s="775"/>
      <c r="V33" s="774"/>
      <c r="W33" s="775"/>
      <c r="X33" s="1816"/>
      <c r="Y33" s="3263"/>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63"/>
      <c r="Q34" s="1813" t="str">
        <f t="shared" si="8"/>
        <v>土地级别</v>
      </c>
      <c r="R34" s="774" t="s">
        <v>17</v>
      </c>
      <c r="S34" s="775">
        <f t="shared" si="10"/>
        <v>100</v>
      </c>
      <c r="T34" s="774" t="s">
        <v>17</v>
      </c>
      <c r="U34" s="775">
        <f t="shared" si="11"/>
        <v>100</v>
      </c>
      <c r="V34" s="774" t="s">
        <v>17</v>
      </c>
      <c r="W34" s="775">
        <f t="shared" si="12"/>
        <v>100</v>
      </c>
      <c r="X34" s="1816"/>
      <c r="Y34" s="326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63"/>
      <c r="Q35" s="1813">
        <f t="shared" si="8"/>
        <v>111</v>
      </c>
      <c r="R35" s="774" t="s">
        <v>17</v>
      </c>
      <c r="S35" s="775">
        <f t="shared" si="10"/>
        <v>100</v>
      </c>
      <c r="T35" s="774" t="s">
        <v>17</v>
      </c>
      <c r="U35" s="775">
        <f t="shared" si="11"/>
        <v>100</v>
      </c>
      <c r="V35" s="774" t="s">
        <v>17</v>
      </c>
      <c r="W35" s="775">
        <f t="shared" si="12"/>
        <v>100</v>
      </c>
      <c r="X35" s="1816"/>
      <c r="Y35" s="326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4" t="s">
        <v>2566</v>
      </c>
      <c r="Q36" s="1813">
        <f t="shared" si="8"/>
        <v>111</v>
      </c>
      <c r="R36" s="774" t="s">
        <v>17</v>
      </c>
      <c r="S36" s="775">
        <f t="shared" si="10"/>
        <v>100</v>
      </c>
      <c r="T36" s="774" t="s">
        <v>17</v>
      </c>
      <c r="U36" s="775">
        <f t="shared" si="11"/>
        <v>100</v>
      </c>
      <c r="V36" s="774" t="s">
        <v>17</v>
      </c>
      <c r="W36" s="775">
        <f t="shared" si="12"/>
        <v>100</v>
      </c>
      <c r="X36" s="1816"/>
      <c r="Y36" s="3265"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65"/>
      <c r="Q37" s="1813">
        <f t="shared" si="8"/>
        <v>111</v>
      </c>
      <c r="R37" s="777" t="s">
        <v>17</v>
      </c>
      <c r="S37" s="778">
        <f t="shared" si="10"/>
        <v>100</v>
      </c>
      <c r="T37" s="777" t="s">
        <v>17</v>
      </c>
      <c r="U37" s="778">
        <f t="shared" si="11"/>
        <v>100</v>
      </c>
      <c r="V37" s="777" t="s">
        <v>17</v>
      </c>
      <c r="W37" s="778">
        <f t="shared" si="12"/>
        <v>100</v>
      </c>
      <c r="X37" s="779"/>
      <c r="Y37" s="3265"/>
      <c r="Z37" s="780">
        <f t="shared" si="13"/>
        <v>111</v>
      </c>
      <c r="AA37" s="1814">
        <f t="shared" si="3"/>
        <v>1</v>
      </c>
      <c r="AB37" s="1814">
        <f t="shared" si="4"/>
        <v>1</v>
      </c>
      <c r="AC37" s="1814">
        <f t="shared" si="5"/>
        <v>1</v>
      </c>
    </row>
    <row r="38" spans="1:29" ht="15">
      <c r="A38" s="472" t="s">
        <v>2564</v>
      </c>
      <c r="B38" s="456" t="s">
        <v>2752</v>
      </c>
      <c r="C38" s="679">
        <v>43269.59</v>
      </c>
      <c r="D38" s="467">
        <v>100</v>
      </c>
      <c r="E38" s="679">
        <f>土地案例!D3</f>
        <v>85709</v>
      </c>
      <c r="F38" s="467">
        <f>LOOKUP(E38,117:117,118:118)-LOOKUP(C38,117:117,118:118)+100</f>
        <v>108</v>
      </c>
      <c r="G38" s="679">
        <f>土地案例!D4</f>
        <v>10384</v>
      </c>
      <c r="H38" s="467">
        <f>LOOKUP(G38,117:117,118:118)-LOOKUP(C38,117:117,118:118)+100</f>
        <v>94</v>
      </c>
      <c r="I38" s="530">
        <f>土地案例!D5</f>
        <v>8466</v>
      </c>
      <c r="J38" s="467">
        <f>LOOKUP(I38,117:117,118:118)-LOOKUP(C38,117:117,118:118)+100</f>
        <v>92</v>
      </c>
      <c r="K38" s="613"/>
      <c r="L38" s="1143"/>
      <c r="M38" s="1134"/>
      <c r="N38" s="1134"/>
      <c r="O38" s="1142"/>
      <c r="P38" s="3265"/>
      <c r="Q38" s="1813" t="str">
        <f>B38</f>
        <v>宗地面积</v>
      </c>
      <c r="R38" s="774" t="s">
        <v>17</v>
      </c>
      <c r="S38" s="775">
        <f t="shared" si="10"/>
        <v>108</v>
      </c>
      <c r="T38" s="774" t="s">
        <v>17</v>
      </c>
      <c r="U38" s="775">
        <f t="shared" si="11"/>
        <v>94</v>
      </c>
      <c r="V38" s="774" t="s">
        <v>17</v>
      </c>
      <c r="W38" s="775">
        <f t="shared" si="12"/>
        <v>92</v>
      </c>
      <c r="X38" s="1816"/>
      <c r="Y38" s="3265"/>
      <c r="Z38" s="1817" t="str">
        <f t="shared" si="13"/>
        <v>宗地面积</v>
      </c>
      <c r="AA38" s="1814">
        <f t="shared" si="3"/>
        <v>0.92592592592592593</v>
      </c>
      <c r="AB38" s="1814">
        <f t="shared" si="4"/>
        <v>1.0638297872340425</v>
      </c>
      <c r="AC38" s="1814">
        <f t="shared" si="5"/>
        <v>1.0869565217391304</v>
      </c>
    </row>
    <row r="39" spans="1:29" ht="15">
      <c r="A39" s="472"/>
      <c r="B39" s="422" t="s">
        <v>2753</v>
      </c>
      <c r="C39" s="2973" t="s">
        <v>3577</v>
      </c>
      <c r="D39" s="435">
        <v>100</v>
      </c>
      <c r="E39" s="2973" t="s">
        <v>3523</v>
      </c>
      <c r="F39" s="435">
        <f>SUMIF(119:119,E39,120:120)-SUMIF(119:119,C39,120:120)+100</f>
        <v>104</v>
      </c>
      <c r="G39" s="2973" t="s">
        <v>3523</v>
      </c>
      <c r="H39" s="435">
        <f>SUMIF(119:119,G39,120:120)-SUMIF(119:119,C39,120:120)+100</f>
        <v>104</v>
      </c>
      <c r="I39" s="2973" t="s">
        <v>3523</v>
      </c>
      <c r="J39" s="435">
        <f>SUMIF(119:119,I39,120:120)-SUMIF(119:119,C39,120:120)+100</f>
        <v>104</v>
      </c>
      <c r="K39" s="612">
        <v>2</v>
      </c>
      <c r="L39" s="1143"/>
      <c r="M39" s="1134"/>
      <c r="N39" s="1134"/>
      <c r="O39" s="1142"/>
      <c r="P39" s="3265"/>
      <c r="Q39" s="1813" t="str">
        <f t="shared" ref="Q39:Q45" si="14">B39</f>
        <v>宗地形状</v>
      </c>
      <c r="R39" s="774" t="s">
        <v>17</v>
      </c>
      <c r="S39" s="775">
        <f t="shared" si="10"/>
        <v>104</v>
      </c>
      <c r="T39" s="774" t="s">
        <v>17</v>
      </c>
      <c r="U39" s="775">
        <f t="shared" si="11"/>
        <v>104</v>
      </c>
      <c r="V39" s="774" t="s">
        <v>17</v>
      </c>
      <c r="W39" s="775">
        <f t="shared" si="12"/>
        <v>104</v>
      </c>
      <c r="X39" s="1816"/>
      <c r="Y39" s="3265"/>
      <c r="Z39" s="1817" t="str">
        <f t="shared" si="13"/>
        <v>宗地形状</v>
      </c>
      <c r="AA39" s="1814">
        <f t="shared" si="3"/>
        <v>0.96153846153846156</v>
      </c>
      <c r="AB39" s="1814">
        <f t="shared" si="4"/>
        <v>0.96153846153846156</v>
      </c>
      <c r="AC39" s="1814">
        <f t="shared" si="5"/>
        <v>0.96153846153846156</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65"/>
      <c r="Q40" s="1813" t="str">
        <f t="shared" si="14"/>
        <v>临街宽度及深度</v>
      </c>
      <c r="R40" s="774" t="s">
        <v>17</v>
      </c>
      <c r="S40" s="775">
        <f t="shared" si="10"/>
        <v>100</v>
      </c>
      <c r="T40" s="774" t="s">
        <v>17</v>
      </c>
      <c r="U40" s="775">
        <f t="shared" si="11"/>
        <v>100</v>
      </c>
      <c r="V40" s="774" t="s">
        <v>17</v>
      </c>
      <c r="W40" s="775">
        <f t="shared" si="12"/>
        <v>100</v>
      </c>
      <c r="X40" s="1816"/>
      <c r="Y40" s="3265"/>
      <c r="Z40" s="1817" t="str">
        <f t="shared" si="13"/>
        <v>临街宽度及深度</v>
      </c>
      <c r="AA40" s="1814">
        <f t="shared" si="3"/>
        <v>1</v>
      </c>
      <c r="AB40" s="1814">
        <f t="shared" si="4"/>
        <v>1</v>
      </c>
      <c r="AC40" s="1814">
        <f t="shared" si="5"/>
        <v>1</v>
      </c>
    </row>
    <row r="41" spans="1:29" s="117" customFormat="1" ht="15">
      <c r="A41" s="473"/>
      <c r="B41" s="422" t="s">
        <v>2755</v>
      </c>
      <c r="C41" s="2974" t="s">
        <v>3513</v>
      </c>
      <c r="D41" s="136">
        <v>100</v>
      </c>
      <c r="E41" s="2974" t="s">
        <v>3524</v>
      </c>
      <c r="F41" s="435">
        <f>SUMIF(123:123,E41,124:124)-SUMIF(123:123,C41,124:124)+100</f>
        <v>94</v>
      </c>
      <c r="G41" s="2974" t="s">
        <v>3524</v>
      </c>
      <c r="H41" s="435">
        <f>SUMIF(123:123,G41,124:124)-SUMIF(123:123,C41,124:124)+100</f>
        <v>94</v>
      </c>
      <c r="I41" s="2974" t="s">
        <v>3524</v>
      </c>
      <c r="J41" s="435">
        <f>SUMIF(123:123,I41,124:124)-SUMIF(123:123,C41,124:124)+100</f>
        <v>94</v>
      </c>
      <c r="K41" s="612">
        <v>2</v>
      </c>
      <c r="L41" s="1135"/>
      <c r="M41" s="1136"/>
      <c r="N41" s="1136"/>
      <c r="O41" s="1137"/>
      <c r="P41" s="3265"/>
      <c r="Q41" s="1813" t="str">
        <f t="shared" si="14"/>
        <v>宗地开发程度</v>
      </c>
      <c r="R41" s="770" t="s">
        <v>17</v>
      </c>
      <c r="S41" s="771">
        <f t="shared" si="10"/>
        <v>94</v>
      </c>
      <c r="T41" s="770" t="s">
        <v>17</v>
      </c>
      <c r="U41" s="771">
        <f t="shared" si="11"/>
        <v>94</v>
      </c>
      <c r="V41" s="770" t="s">
        <v>17</v>
      </c>
      <c r="W41" s="771">
        <f t="shared" si="12"/>
        <v>94</v>
      </c>
      <c r="X41" s="772"/>
      <c r="Y41" s="3265"/>
      <c r="Z41" s="55" t="str">
        <f t="shared" si="13"/>
        <v>宗地开发程度</v>
      </c>
      <c r="AA41" s="773">
        <f t="shared" si="3"/>
        <v>1.0638297872340425</v>
      </c>
      <c r="AB41" s="773">
        <f t="shared" si="4"/>
        <v>1.0638297872340425</v>
      </c>
      <c r="AC41" s="773">
        <f t="shared" si="5"/>
        <v>1.0638297872340425</v>
      </c>
    </row>
    <row r="42" spans="1:29" ht="15">
      <c r="A42" s="472"/>
      <c r="B42" s="422" t="s">
        <v>2756</v>
      </c>
      <c r="C42" s="2973" t="s">
        <v>3511</v>
      </c>
      <c r="D42" s="435">
        <v>100</v>
      </c>
      <c r="E42" s="2973" t="s">
        <v>3511</v>
      </c>
      <c r="F42" s="435">
        <f>SUMIF(125:125,E42,126:126)-SUMIF(125:125,C42,126:126)+100</f>
        <v>100</v>
      </c>
      <c r="G42" s="2973" t="s">
        <v>3511</v>
      </c>
      <c r="H42" s="435">
        <f>SUMIF(125:125,G42,126:126)-SUMIF(125:125,C42,126:126)+100</f>
        <v>100</v>
      </c>
      <c r="I42" s="2973" t="s">
        <v>3511</v>
      </c>
      <c r="J42" s="435">
        <f>SUMIF(125:125,I42,126:126)-SUMIF(125:125,C42,126:126)+100</f>
        <v>100</v>
      </c>
      <c r="K42" s="612"/>
      <c r="L42" s="1143"/>
      <c r="M42" s="1134"/>
      <c r="N42" s="1134"/>
      <c r="O42" s="1142"/>
      <c r="P42" s="3265" t="s">
        <v>2566</v>
      </c>
      <c r="Q42" s="1813" t="str">
        <f t="shared" si="14"/>
        <v>工程地质条件</v>
      </c>
      <c r="R42" s="774" t="s">
        <v>17</v>
      </c>
      <c r="S42" s="775">
        <f t="shared" si="10"/>
        <v>100</v>
      </c>
      <c r="T42" s="774" t="s">
        <v>17</v>
      </c>
      <c r="U42" s="775">
        <f t="shared" si="11"/>
        <v>100</v>
      </c>
      <c r="V42" s="774" t="s">
        <v>17</v>
      </c>
      <c r="W42" s="775">
        <f t="shared" si="12"/>
        <v>100</v>
      </c>
      <c r="X42" s="1816"/>
      <c r="Y42" s="3265"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65"/>
      <c r="Q43" s="1813">
        <f t="shared" si="14"/>
        <v>111</v>
      </c>
      <c r="R43" s="774" t="s">
        <v>17</v>
      </c>
      <c r="S43" s="775">
        <f t="shared" si="10"/>
        <v>100</v>
      </c>
      <c r="T43" s="774" t="s">
        <v>17</v>
      </c>
      <c r="U43" s="775">
        <f t="shared" si="11"/>
        <v>100</v>
      </c>
      <c r="V43" s="774" t="s">
        <v>17</v>
      </c>
      <c r="W43" s="775">
        <f t="shared" si="12"/>
        <v>100</v>
      </c>
      <c r="X43" s="1816"/>
      <c r="Y43" s="326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65"/>
      <c r="Q44" s="1813">
        <f t="shared" si="14"/>
        <v>111</v>
      </c>
      <c r="R44" s="774" t="s">
        <v>17</v>
      </c>
      <c r="S44" s="775">
        <f t="shared" si="10"/>
        <v>100</v>
      </c>
      <c r="T44" s="774" t="s">
        <v>17</v>
      </c>
      <c r="U44" s="775">
        <f t="shared" si="11"/>
        <v>100</v>
      </c>
      <c r="V44" s="774" t="s">
        <v>17</v>
      </c>
      <c r="W44" s="775">
        <f t="shared" si="12"/>
        <v>100</v>
      </c>
      <c r="X44" s="1816"/>
      <c r="Y44" s="3265"/>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65"/>
      <c r="Q45" s="1813">
        <f t="shared" si="14"/>
        <v>111</v>
      </c>
      <c r="R45" s="777" t="s">
        <v>17</v>
      </c>
      <c r="S45" s="778">
        <f t="shared" si="10"/>
        <v>100</v>
      </c>
      <c r="T45" s="777" t="s">
        <v>17</v>
      </c>
      <c r="U45" s="778">
        <f t="shared" si="11"/>
        <v>100</v>
      </c>
      <c r="V45" s="777" t="s">
        <v>17</v>
      </c>
      <c r="W45" s="778">
        <f t="shared" si="12"/>
        <v>100</v>
      </c>
      <c r="X45" s="779"/>
      <c r="Y45" s="3265"/>
      <c r="Z45" s="780">
        <f t="shared" si="13"/>
        <v>111</v>
      </c>
      <c r="AA45" s="1814">
        <f t="shared" si="3"/>
        <v>1</v>
      </c>
      <c r="AB45" s="1814">
        <f t="shared" si="4"/>
        <v>1</v>
      </c>
      <c r="AC45" s="1814">
        <f t="shared" si="5"/>
        <v>1</v>
      </c>
    </row>
    <row r="46" spans="1:29" ht="15">
      <c r="A46" s="479" t="s">
        <v>2721</v>
      </c>
      <c r="B46" s="2711" t="s">
        <v>3528</v>
      </c>
      <c r="C46" s="682" t="s">
        <v>1</v>
      </c>
      <c r="D46" s="481"/>
      <c r="E46" s="482">
        <f>ROUND(土地案例!K3,0)</f>
        <v>21103</v>
      </c>
      <c r="F46" s="483"/>
      <c r="G46" s="484">
        <f>ROUND(土地案例!K4,0)</f>
        <v>19761</v>
      </c>
      <c r="H46" s="485"/>
      <c r="I46" s="482">
        <f>ROUND(土地案例!K5,0)</f>
        <v>19844</v>
      </c>
      <c r="J46" s="485"/>
      <c r="K46" s="783"/>
      <c r="L46" s="1146"/>
      <c r="M46" s="1147"/>
      <c r="N46" s="1134"/>
      <c r="O46" s="1147"/>
      <c r="P46" s="3247" t="str">
        <f>A46</f>
        <v>成交单价</v>
      </c>
      <c r="Q46" s="3247"/>
      <c r="R46" s="3260">
        <f>E46</f>
        <v>21103</v>
      </c>
      <c r="S46" s="3260"/>
      <c r="T46" s="3260">
        <f>G46</f>
        <v>19761</v>
      </c>
      <c r="U46" s="3260"/>
      <c r="V46" s="3260">
        <f>I46</f>
        <v>19844</v>
      </c>
      <c r="W46" s="3260"/>
      <c r="X46" s="759"/>
      <c r="Y46" s="781"/>
      <c r="Z46" s="759"/>
      <c r="AA46" s="759"/>
      <c r="AB46" s="759"/>
      <c r="AC46" s="759"/>
    </row>
    <row r="47" spans="1:29" ht="15.75" thickBot="1">
      <c r="A47" s="486" t="s">
        <v>2670</v>
      </c>
      <c r="B47" s="683"/>
      <c r="C47" s="490">
        <f>R48</f>
        <v>22520</v>
      </c>
      <c r="D47" s="489"/>
      <c r="E47" s="490">
        <f>R47</f>
        <v>20536</v>
      </c>
      <c r="F47" s="491"/>
      <c r="G47" s="488">
        <f>T47</f>
        <v>23014</v>
      </c>
      <c r="H47" s="489"/>
      <c r="I47" s="490">
        <f>V47</f>
        <v>24009</v>
      </c>
      <c r="J47" s="489"/>
      <c r="K47" s="784"/>
      <c r="L47" s="1146"/>
      <c r="M47" s="1147"/>
      <c r="N47" s="1147"/>
      <c r="O47" s="1147"/>
      <c r="P47" s="3247" t="str">
        <f>A47</f>
        <v>比较价值（元/平方米）</v>
      </c>
      <c r="Q47" s="3247"/>
      <c r="R47" s="3266">
        <f>ROUND(PRODUCT(R46,AA7:AA45),0)</f>
        <v>20536</v>
      </c>
      <c r="S47" s="3266"/>
      <c r="T47" s="3266">
        <f>ROUND(PRODUCT(T46,AB7:AB45),0)</f>
        <v>23014</v>
      </c>
      <c r="U47" s="3266"/>
      <c r="V47" s="3266">
        <f>ROUND(PRODUCT(V46,AC7:AC45),0)</f>
        <v>24009</v>
      </c>
      <c r="W47" s="3266"/>
      <c r="X47" s="759"/>
      <c r="Y47" s="759"/>
      <c r="Z47" s="759"/>
      <c r="AA47" s="759"/>
      <c r="AB47" s="759"/>
      <c r="AC47" s="759"/>
    </row>
    <row r="48" spans="1:29" ht="15.75" thickBot="1">
      <c r="A48" s="492" t="s">
        <v>2757</v>
      </c>
      <c r="B48" s="493"/>
      <c r="C48" s="494">
        <f>R48</f>
        <v>22520</v>
      </c>
      <c r="D48" s="494"/>
      <c r="E48" s="494"/>
      <c r="F48" s="494"/>
      <c r="G48" s="494"/>
      <c r="H48" s="494"/>
      <c r="I48" s="494"/>
      <c r="J48" s="494"/>
      <c r="K48" s="785"/>
      <c r="L48" s="1146"/>
      <c r="M48" s="1147"/>
      <c r="N48" s="1147"/>
      <c r="O48" s="1147"/>
      <c r="P48" s="3267" t="str">
        <f>A48</f>
        <v>估价对象XX用房的比较价值（楼面单价，元/平方米）</v>
      </c>
      <c r="Q48" s="3268"/>
      <c r="R48" s="3269">
        <f>ROUND(AVERAGE(R47:V47),0)</f>
        <v>22520</v>
      </c>
      <c r="S48" s="3269"/>
      <c r="T48" s="3269"/>
      <c r="U48" s="3269"/>
      <c r="V48" s="3269"/>
      <c r="W48" s="326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f>IF(E46&lt;E47,E47/E46-1,E46/E47-1)</f>
        <v>2.7610050642773665E-2</v>
      </c>
      <c r="F51" s="500" t="str">
        <f>IF(OR(E51&gt;=0.3,E51&lt;=-0.3),"超过30%","")</f>
        <v/>
      </c>
      <c r="G51" s="499">
        <f>IF(G46&lt;G47,G47/G46-1,G46/G47-1)</f>
        <v>0.16461717524416786</v>
      </c>
      <c r="H51" s="500" t="str">
        <f>IF(OR(G51&gt;=0.3,G51&lt;=-0.3),"超过30%","")</f>
        <v/>
      </c>
      <c r="I51" s="499">
        <f>IF(I46&lt;I47,I47/I46-1,I46/I47-1)</f>
        <v>0.2098871195323524</v>
      </c>
      <c r="J51" s="500" t="str">
        <f>IF(OR(I51&gt;=0.3,I51&lt;=-0.3),"超过30%","")</f>
        <v/>
      </c>
      <c r="K51" s="1108"/>
      <c r="L51" s="1109"/>
      <c r="M51" s="1147"/>
      <c r="N51" s="1147"/>
      <c r="O51" s="1147"/>
    </row>
    <row r="52" spans="1:15" ht="13.5" customHeight="1">
      <c r="A52" s="1147"/>
      <c r="B52" s="1147"/>
      <c r="C52" s="497" t="s">
        <v>2673</v>
      </c>
      <c r="D52" s="501"/>
      <c r="E52" s="499">
        <f>IF(E47&lt;G47,G47/E47-1,E47/G47-1)</f>
        <v>0.12066614725360347</v>
      </c>
      <c r="F52" s="500" t="str">
        <f>IF(OR(E52&gt;=0.2,E52&lt;=-0.2),"超过20%","")</f>
        <v/>
      </c>
      <c r="G52" s="499">
        <f>IF(G47&lt;I47,I47/G47-1,G47/I47-1)</f>
        <v>4.3234552880855093E-2</v>
      </c>
      <c r="H52" s="500" t="str">
        <f>IF(OR(G52&gt;=0.2,G52&lt;=-0.2),"超过20%","")</f>
        <v/>
      </c>
      <c r="I52" s="499">
        <f>IF(I47&lt;E47,E47/I47-1,I47/E47-1)</f>
        <v>0.16911764705882359</v>
      </c>
      <c r="J52" s="500" t="str">
        <f>IF(OR(I52&gt;=0.2,I52&lt;=-0.2),"超过20%","")</f>
        <v/>
      </c>
      <c r="K52" s="1108"/>
      <c r="L52" s="1109"/>
      <c r="M52" s="1147"/>
      <c r="N52" s="1147"/>
      <c r="O52" s="1147"/>
    </row>
    <row r="53" spans="1:15" s="502" customFormat="1" ht="13.5" customHeight="1">
      <c r="A53" s="1148"/>
      <c r="B53" s="1148"/>
      <c r="C53" s="497" t="s">
        <v>2674</v>
      </c>
      <c r="D53" s="501"/>
      <c r="E53" s="499">
        <f>IF(E46&lt;G46,G46/E46-1,E46/G46-1)</f>
        <v>6.7911542938110525E-2</v>
      </c>
      <c r="F53" s="500" t="str">
        <f>IF(OR(E53&gt;=0.3,E53&lt;=-0.3),"超过30%","")</f>
        <v/>
      </c>
      <c r="G53" s="499">
        <f>IF(G46&lt;I46,I46/G46-1,G46/I46-1)</f>
        <v>4.2001922979606476E-3</v>
      </c>
      <c r="H53" s="500" t="str">
        <f>IF(OR(G53&gt;=0.3,G53&lt;=-0.3),"超过30%","")</f>
        <v/>
      </c>
      <c r="I53" s="499">
        <f>IF(I46&lt;E46,E46/I46-1,I46/E46-1)</f>
        <v>6.3444869985890051E-2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2" t="s">
        <v>2760</v>
      </c>
      <c r="D55" s="2713" t="s">
        <v>2761</v>
      </c>
      <c r="E55" s="686" t="s">
        <v>2762</v>
      </c>
      <c r="F55" s="1110" t="s">
        <v>2763</v>
      </c>
      <c r="G55" s="3248" t="s">
        <v>2764</v>
      </c>
      <c r="H55" s="3270"/>
      <c r="I55" s="144" t="s">
        <v>2765</v>
      </c>
      <c r="J55" s="2714">
        <f>项目基本情况!F35</f>
        <v>0</v>
      </c>
      <c r="K55" s="2715" t="s">
        <v>2766</v>
      </c>
      <c r="L55" s="1109"/>
      <c r="M55" s="1147"/>
      <c r="N55" s="1147"/>
      <c r="O55" s="1147"/>
    </row>
    <row r="56" spans="1:15" s="692" customFormat="1">
      <c r="A56" s="688" t="s">
        <v>2767</v>
      </c>
      <c r="B56" s="689">
        <f>C48</f>
        <v>22520</v>
      </c>
      <c r="C56" s="690">
        <v>1</v>
      </c>
      <c r="D56" s="1166">
        <v>1</v>
      </c>
      <c r="E56" s="690">
        <f>'数据-汇总表'!E8+'数据-汇总表'!E9</f>
        <v>85551.93</v>
      </c>
      <c r="F56" s="1106">
        <f t="shared" ref="F56:F65" si="15">ROUND(B56*E56/10000,0)</f>
        <v>192663</v>
      </c>
      <c r="G56" s="3271"/>
      <c r="H56" s="3247"/>
      <c r="I56" s="1111">
        <v>1</v>
      </c>
      <c r="J56" s="1114">
        <v>1</v>
      </c>
      <c r="K56" s="1148"/>
      <c r="L56" s="944"/>
      <c r="M56" s="944"/>
      <c r="N56" s="944"/>
      <c r="O56" s="944"/>
    </row>
    <row r="57" spans="1:15" s="692" customFormat="1">
      <c r="A57" s="693" t="s">
        <v>2768</v>
      </c>
      <c r="B57" s="262">
        <f>ROUND($C$48*C57*D57,0)</f>
        <v>3941</v>
      </c>
      <c r="C57" s="200">
        <f t="shared" ref="C57:C65" si="16">IF($C$55="北京市系数",I57,J57)</f>
        <v>0.7</v>
      </c>
      <c r="D57" s="1167">
        <v>0.25</v>
      </c>
      <c r="E57" s="694">
        <f>面积详情!H37</f>
        <v>15467.050000000001</v>
      </c>
      <c r="F57" s="1106">
        <f t="shared" si="15"/>
        <v>6096</v>
      </c>
      <c r="G57" s="3272" t="s">
        <v>2769</v>
      </c>
      <c r="H57" s="1107" t="str">
        <f>项目基本情况!B37</f>
        <v>七级</v>
      </c>
      <c r="I57" s="1111">
        <f>SUMIF(修正!A45:A56,H57,修正!B45:B56)</f>
        <v>0.7</v>
      </c>
      <c r="J57" s="1115"/>
      <c r="K57" s="1147"/>
      <c r="L57" s="944"/>
      <c r="M57" s="944"/>
      <c r="N57" s="944"/>
      <c r="O57" s="944"/>
    </row>
    <row r="58" spans="1:15" s="692" customFormat="1">
      <c r="A58" s="693" t="s">
        <v>2770</v>
      </c>
      <c r="B58" s="262">
        <f t="shared" ref="B58:B65" si="17">ROUND($C$48*C58*D58,0)</f>
        <v>2252</v>
      </c>
      <c r="C58" s="200">
        <f t="shared" si="16"/>
        <v>0.4</v>
      </c>
      <c r="D58" s="1167">
        <v>0.25</v>
      </c>
      <c r="E58" s="694">
        <f>面积详情!I37</f>
        <v>2669.4900000000071</v>
      </c>
      <c r="F58" s="1106">
        <f t="shared" si="15"/>
        <v>601</v>
      </c>
      <c r="G58" s="3272"/>
      <c r="H58" s="1107" t="str">
        <f>项目基本情况!B37</f>
        <v>七级</v>
      </c>
      <c r="I58" s="1111">
        <f>SUMIF(修正!A45:A56,H58,修正!C45:C56)</f>
        <v>0.4</v>
      </c>
      <c r="J58" s="1115"/>
      <c r="K58" s="1148"/>
      <c r="L58" s="944"/>
      <c r="M58" s="944"/>
      <c r="N58" s="944"/>
      <c r="O58" s="944"/>
    </row>
    <row r="59" spans="1:15" s="692" customFormat="1">
      <c r="A59" s="693" t="s">
        <v>2771</v>
      </c>
      <c r="B59" s="262">
        <f t="shared" si="17"/>
        <v>1576</v>
      </c>
      <c r="C59" s="200">
        <f t="shared" si="16"/>
        <v>0.28000000000000003</v>
      </c>
      <c r="D59" s="1167">
        <v>0.25</v>
      </c>
      <c r="E59" s="694"/>
      <c r="F59" s="1106">
        <f t="shared" si="15"/>
        <v>0</v>
      </c>
      <c r="G59" s="3272"/>
      <c r="H59" s="1107" t="str">
        <f>项目基本情况!B37</f>
        <v>七级</v>
      </c>
      <c r="I59" s="1111">
        <f>SUMIF(修正!A45:A56,H59,修正!D45:D56)</f>
        <v>0.28000000000000003</v>
      </c>
      <c r="J59" s="1115"/>
      <c r="K59" s="1147"/>
      <c r="L59" s="944"/>
      <c r="M59" s="944"/>
      <c r="N59" s="944"/>
      <c r="O59" s="944"/>
    </row>
    <row r="60" spans="1:15" s="692" customFormat="1">
      <c r="A60" s="693" t="s">
        <v>2772</v>
      </c>
      <c r="B60" s="262">
        <f t="shared" si="17"/>
        <v>1408</v>
      </c>
      <c r="C60" s="200">
        <f t="shared" si="16"/>
        <v>0.25</v>
      </c>
      <c r="D60" s="1167">
        <v>0.25</v>
      </c>
      <c r="E60" s="694"/>
      <c r="F60" s="1106">
        <f t="shared" si="15"/>
        <v>0</v>
      </c>
      <c r="G60" s="3272"/>
      <c r="H60" s="1107" t="str">
        <f>项目基本情况!B37</f>
        <v>七级</v>
      </c>
      <c r="I60" s="1111">
        <f>SUMIF(修正!A45:A56,H60,修正!E45:E56)</f>
        <v>0.25</v>
      </c>
      <c r="J60" s="1115"/>
      <c r="K60" s="1148"/>
      <c r="L60" s="944"/>
      <c r="M60" s="944"/>
      <c r="N60" s="944"/>
      <c r="O60" s="944"/>
    </row>
    <row r="61" spans="1:15" s="692" customFormat="1">
      <c r="A61" s="693" t="s">
        <v>2773</v>
      </c>
      <c r="B61" s="262">
        <f t="shared" si="17"/>
        <v>0</v>
      </c>
      <c r="C61" s="200">
        <f t="shared" si="16"/>
        <v>0</v>
      </c>
      <c r="D61" s="1167">
        <v>0.25</v>
      </c>
      <c r="E61" s="261">
        <f>'数据-汇总表'!E11</f>
        <v>0</v>
      </c>
      <c r="F61" s="1106">
        <f t="shared" si="15"/>
        <v>0</v>
      </c>
      <c r="G61" s="2716" t="s">
        <v>2774</v>
      </c>
      <c r="H61" s="1107">
        <f>项目基本情况!C37</f>
        <v>0</v>
      </c>
      <c r="I61" s="1111">
        <f>SUMIF(修正!A45:A56,H61,修正!F45:F56)</f>
        <v>0</v>
      </c>
      <c r="J61" s="1115"/>
      <c r="K61" s="1147"/>
      <c r="L61" s="944"/>
      <c r="M61" s="944"/>
      <c r="N61" s="944"/>
      <c r="O61" s="944"/>
    </row>
    <row r="62" spans="1:15" s="692" customFormat="1">
      <c r="A62" s="693" t="s">
        <v>2775</v>
      </c>
      <c r="B62" s="262">
        <f t="shared" si="17"/>
        <v>0</v>
      </c>
      <c r="C62" s="200">
        <f t="shared" si="16"/>
        <v>0</v>
      </c>
      <c r="D62" s="1167">
        <v>0.25</v>
      </c>
      <c r="E62" s="261">
        <f>'数据-汇总表'!E12</f>
        <v>0</v>
      </c>
      <c r="F62" s="1106">
        <f t="shared" si="15"/>
        <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f t="shared" si="17"/>
        <v>0</v>
      </c>
      <c r="C63" s="200">
        <f t="shared" si="16"/>
        <v>0</v>
      </c>
      <c r="D63" s="1167">
        <v>0.25</v>
      </c>
      <c r="E63" s="261">
        <f>'数据-汇总表'!E13</f>
        <v>0</v>
      </c>
      <c r="F63" s="1106">
        <f t="shared" si="15"/>
        <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f t="shared" si="17"/>
        <v>1126</v>
      </c>
      <c r="C64" s="200">
        <f t="shared" si="16"/>
        <v>0.2</v>
      </c>
      <c r="D64" s="1167">
        <v>0.25</v>
      </c>
      <c r="E64" s="261">
        <f>'数据-汇总表'!E14</f>
        <v>16275.06</v>
      </c>
      <c r="F64" s="1106">
        <f t="shared" si="15"/>
        <v>1833</v>
      </c>
      <c r="G64" s="2716" t="s">
        <v>2769</v>
      </c>
      <c r="H64" s="1107" t="str">
        <f>项目基本情况!B37</f>
        <v>七级</v>
      </c>
      <c r="I64" s="1111">
        <f>SUMIF(修正!A45:A56,H64,修正!H45:H56)</f>
        <v>0.2</v>
      </c>
      <c r="J64" s="1115"/>
      <c r="K64" s="1148"/>
      <c r="L64" s="944"/>
      <c r="M64" s="944"/>
      <c r="N64" s="944"/>
      <c r="O64" s="944"/>
    </row>
    <row r="65" spans="1:17" s="692" customFormat="1" ht="15" thickBot="1">
      <c r="A65" s="693" t="s">
        <v>2780</v>
      </c>
      <c r="B65" s="262">
        <f t="shared" si="17"/>
        <v>0</v>
      </c>
      <c r="C65" s="200">
        <f t="shared" si="16"/>
        <v>0</v>
      </c>
      <c r="D65" s="1167">
        <v>0.25</v>
      </c>
      <c r="E65" s="261">
        <f>'数据-汇总表'!E15</f>
        <v>0</v>
      </c>
      <c r="F65" s="1106">
        <f t="shared" si="15"/>
        <v>0</v>
      </c>
      <c r="G65" s="2717"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1029</v>
      </c>
      <c r="E66" s="696">
        <f>IF(B46="楼面地价",SUM(E56:E65),'数据-汇总表'!D3)</f>
        <v>119963.53</v>
      </c>
      <c r="F66" s="697">
        <f>IF(B46="楼面地价",SUM(F56:F65),ROUND(C48*E66/10000,0))</f>
        <v>201193</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8" t="s">
        <v>2782</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9" t="s">
        <v>1377</v>
      </c>
      <c r="B71" s="332" t="str">
        <f>"北京市平均增长率"&amp;TEXT(SUMIF(基准地价修正!N21:N25,A71,基准地价修正!P21:P25),"0.00%")</f>
        <v>北京市平均增长率1.57%</v>
      </c>
      <c r="C71" s="603">
        <v>100</v>
      </c>
      <c r="D71" s="595">
        <f>C71-1.5</f>
        <v>98.5</v>
      </c>
      <c r="E71" s="595">
        <f t="shared" ref="E71:N71" si="20">D71-1.5</f>
        <v>97</v>
      </c>
      <c r="F71" s="595">
        <f t="shared" si="20"/>
        <v>95.5</v>
      </c>
      <c r="G71" s="595">
        <f t="shared" si="20"/>
        <v>94</v>
      </c>
      <c r="H71" s="595">
        <f t="shared" si="20"/>
        <v>92.5</v>
      </c>
      <c r="I71" s="595">
        <f t="shared" si="20"/>
        <v>91</v>
      </c>
      <c r="J71" s="595">
        <f t="shared" si="20"/>
        <v>89.5</v>
      </c>
      <c r="K71" s="595">
        <f t="shared" si="20"/>
        <v>88</v>
      </c>
      <c r="L71" s="595">
        <f t="shared" si="20"/>
        <v>86.5</v>
      </c>
      <c r="M71" s="595">
        <f t="shared" si="20"/>
        <v>85</v>
      </c>
      <c r="N71" s="595">
        <f t="shared" si="20"/>
        <v>83.5</v>
      </c>
      <c r="O71" s="1571"/>
      <c r="P71" s="504"/>
    </row>
    <row r="72" spans="1:17" s="117" customFormat="1" ht="15.75" thickBot="1">
      <c r="A72" s="515" t="s">
        <v>2586</v>
      </c>
      <c r="B72" s="516"/>
      <c r="C72" s="517">
        <v>1.5</v>
      </c>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2783</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2784</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2785</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6"/>
      <c r="O105" s="1156"/>
      <c r="P105" s="45"/>
      <c r="Q105" s="504"/>
    </row>
    <row r="106" spans="1:17" ht="27.75" thickTop="1">
      <c r="A106" s="534"/>
      <c r="B106" s="538" t="s">
        <v>2692</v>
      </c>
      <c r="C106" s="2972" t="s">
        <v>3517</v>
      </c>
      <c r="D106" s="2972" t="s">
        <v>3519</v>
      </c>
      <c r="E106" s="2972" t="s">
        <v>3521</v>
      </c>
      <c r="F106" s="2972" t="s">
        <v>3522</v>
      </c>
      <c r="G106" s="554"/>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2564</v>
      </c>
      <c r="B116" s="528" t="s">
        <v>2790</v>
      </c>
      <c r="C116" s="529" t="str">
        <f>C117&amp;"(含)"&amp;"-"&amp;D117</f>
        <v>0(含)-10000</v>
      </c>
      <c r="D116" s="529" t="str">
        <f t="shared" ref="D116:M116" si="26">D117&amp;"(含)"&amp;"-"&amp;E117</f>
        <v>10000(含)-20000</v>
      </c>
      <c r="E116" s="529" t="str">
        <f t="shared" si="26"/>
        <v>20000(含)-30000</v>
      </c>
      <c r="F116" s="529" t="str">
        <f t="shared" si="26"/>
        <v>30000(含)-40000</v>
      </c>
      <c r="G116" s="529" t="str">
        <f t="shared" si="26"/>
        <v>40000(含)-50000</v>
      </c>
      <c r="H116" s="529" t="str">
        <f t="shared" si="26"/>
        <v>50000(含)-60000</v>
      </c>
      <c r="I116" s="529" t="str">
        <f t="shared" si="26"/>
        <v>60000(含)-70000</v>
      </c>
      <c r="J116" s="529" t="str">
        <f t="shared" si="26"/>
        <v>70000(含)-80000</v>
      </c>
      <c r="K116" s="529" t="str">
        <f t="shared" si="26"/>
        <v>80000(含)-90000</v>
      </c>
      <c r="L116" s="529" t="str">
        <f t="shared" si="26"/>
        <v>90000(含)-</v>
      </c>
      <c r="M116" s="529" t="str">
        <f t="shared" si="26"/>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6">
        <v>70000</v>
      </c>
      <c r="K117" s="596">
        <v>80000</v>
      </c>
      <c r="L117" s="597">
        <v>90000</v>
      </c>
      <c r="M117" s="598"/>
      <c r="N117" s="1155"/>
      <c r="O117" s="1155"/>
      <c r="P117" s="45"/>
      <c r="Q117" s="504"/>
    </row>
    <row r="118" spans="1:17" ht="15.75" thickBot="1">
      <c r="A118" s="534"/>
      <c r="B118" s="543"/>
      <c r="C118" s="570">
        <v>100</v>
      </c>
      <c r="D118" s="591">
        <v>102</v>
      </c>
      <c r="E118" s="591">
        <v>104</v>
      </c>
      <c r="F118" s="591">
        <v>106</v>
      </c>
      <c r="G118" s="591">
        <v>108</v>
      </c>
      <c r="H118" s="591">
        <v>110</v>
      </c>
      <c r="I118" s="591">
        <v>112</v>
      </c>
      <c r="J118" s="591">
        <v>114</v>
      </c>
      <c r="K118" s="591">
        <v>116</v>
      </c>
      <c r="L118" s="591">
        <v>118</v>
      </c>
      <c r="M118" s="592"/>
      <c r="N118" s="1156"/>
      <c r="O118" s="1156"/>
      <c r="P118" s="45"/>
      <c r="Q118" s="504"/>
    </row>
    <row r="119" spans="1:17" ht="15" thickTop="1">
      <c r="A119" s="599"/>
      <c r="B119" s="538" t="s">
        <v>2791</v>
      </c>
      <c r="C119" s="3032" t="s">
        <v>3578</v>
      </c>
      <c r="D119" s="3032" t="s">
        <v>3579</v>
      </c>
      <c r="E119" s="3032" t="s">
        <v>3580</v>
      </c>
      <c r="F119" s="3032" t="s">
        <v>3581</v>
      </c>
      <c r="G119" s="3032" t="s">
        <v>3582</v>
      </c>
      <c r="H119" s="583"/>
      <c r="I119" s="583"/>
      <c r="J119" s="583"/>
      <c r="K119" s="584"/>
      <c r="L119" s="585"/>
      <c r="M119" s="586"/>
      <c r="N119" s="1155"/>
      <c r="O119" s="115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6"/>
      <c r="O122" s="1156"/>
      <c r="P122" s="45"/>
      <c r="Q122" s="504"/>
    </row>
    <row r="123" spans="1:17" s="471" customFormat="1" ht="15" thickTop="1">
      <c r="A123" s="593"/>
      <c r="B123" s="538" t="s">
        <v>2793</v>
      </c>
      <c r="C123" s="2972" t="s">
        <v>3525</v>
      </c>
      <c r="D123" s="2972" t="s">
        <v>3513</v>
      </c>
      <c r="E123" s="2972" t="s">
        <v>3526</v>
      </c>
      <c r="F123" s="2972" t="s">
        <v>3527</v>
      </c>
      <c r="G123" s="2972" t="s">
        <v>3524</v>
      </c>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sheetPr codeName="Sheet7">
    <tabColor rgb="FF92D050"/>
  </sheetPr>
  <dimension ref="A1:AK83"/>
  <sheetViews>
    <sheetView topLeftCell="B1" zoomScale="80" zoomScaleNormal="80" zoomScaleSheetLayoutView="90" workbookViewId="0">
      <selection activeCell="F18" sqref="F1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1377</v>
      </c>
      <c r="D1" s="1823" t="s">
        <v>70</v>
      </c>
      <c r="E1" s="1824" t="s">
        <v>1387</v>
      </c>
      <c r="F1" s="1286">
        <f ca="1">J53</f>
        <v>33.56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182527</v>
      </c>
      <c r="C2" s="1848" t="s">
        <v>1516</v>
      </c>
      <c r="D2" s="1848"/>
      <c r="E2" s="1849"/>
      <c r="F2" s="1850"/>
      <c r="G2" s="1851"/>
      <c r="H2" s="1843"/>
      <c r="I2" s="1843"/>
      <c r="J2" s="1843"/>
      <c r="K2" s="1844"/>
      <c r="L2" s="1843"/>
      <c r="M2" s="1843"/>
    </row>
    <row r="3" spans="1:37" ht="18" customHeight="1" thickBot="1">
      <c r="A3" s="1852" t="s">
        <v>1517</v>
      </c>
      <c r="B3" s="1853">
        <f ca="1">IF(ISERROR(B2*10000/F43),0,ROUND(B2*10000/F43,0))</f>
        <v>15215</v>
      </c>
      <c r="C3" s="1848" t="s">
        <v>1518</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15006</v>
      </c>
      <c r="D5" s="1825" t="s">
        <v>1402</v>
      </c>
      <c r="E5" s="1296"/>
      <c r="F5" s="1297"/>
      <c r="G5" s="1854"/>
      <c r="H5" s="344">
        <v>1</v>
      </c>
      <c r="I5" s="345" t="s">
        <v>1401</v>
      </c>
      <c r="J5" s="1295">
        <f ca="1">J6+J10+J12</f>
        <v>0</v>
      </c>
      <c r="K5" s="1825" t="s">
        <v>1402</v>
      </c>
      <c r="L5" s="1296"/>
      <c r="M5" s="1297"/>
    </row>
    <row r="6" spans="1:37" ht="18" customHeight="1">
      <c r="A6" s="1294" t="s">
        <v>1035</v>
      </c>
      <c r="B6" s="3275" t="s">
        <v>1403</v>
      </c>
      <c r="C6" s="1299">
        <f ca="1">ROUND(F6*F8*F7*(1-F9)/10000,0)</f>
        <v>14987</v>
      </c>
      <c r="D6" s="164" t="s">
        <v>3033</v>
      </c>
      <c r="E6" s="347" t="s">
        <v>1405</v>
      </c>
      <c r="F6" s="348">
        <f ca="1">INDIRECT("'数据-取费表'!u"&amp;$G$1)</f>
        <v>4.4000000000000004</v>
      </c>
      <c r="G6" s="1854"/>
      <c r="H6" s="1294" t="s">
        <v>1035</v>
      </c>
      <c r="I6" s="3275" t="s">
        <v>1403</v>
      </c>
      <c r="J6" s="346">
        <f ca="1">ROUND(M6*M8*M7*(1-M9)/10000,0)</f>
        <v>0</v>
      </c>
      <c r="K6" s="164" t="s">
        <v>3032</v>
      </c>
      <c r="L6" s="347" t="s">
        <v>1405</v>
      </c>
      <c r="M6" s="348">
        <f ca="1">INDIRECT("'数据-取费表'!z"&amp;$G$1)</f>
        <v>0</v>
      </c>
    </row>
    <row r="7" spans="1:37" ht="18" customHeight="1">
      <c r="A7" s="1298"/>
      <c r="B7" s="3276"/>
      <c r="C7" s="1300"/>
      <c r="D7" s="352"/>
      <c r="E7" s="1301" t="s">
        <v>1406</v>
      </c>
      <c r="F7" s="348">
        <f ca="1">IF(INDIRECT("'数据-取费表'!ah"&amp;$G$1)="",INDIRECT("'数据-取费表'!k"&amp;$G$1),INDIRECT("'数据-取费表'!ah"&amp;$G$1))</f>
        <v>103688.47</v>
      </c>
      <c r="G7" s="1854"/>
      <c r="H7" s="349"/>
      <c r="I7" s="3276"/>
      <c r="J7" s="351"/>
      <c r="K7" s="352"/>
      <c r="L7" s="347" t="s">
        <v>1406</v>
      </c>
      <c r="M7" s="348">
        <f ca="1">F7</f>
        <v>103688.47</v>
      </c>
    </row>
    <row r="8" spans="1:37" ht="18" customHeight="1">
      <c r="A8" s="349"/>
      <c r="B8" s="3276"/>
      <c r="C8" s="351"/>
      <c r="D8" s="352"/>
      <c r="E8" s="347" t="s">
        <v>1407</v>
      </c>
      <c r="F8" s="348">
        <f ca="1">INDIRECT("'数据-取费表'!ai"&amp;$G$1)</f>
        <v>365</v>
      </c>
      <c r="G8" s="1854"/>
      <c r="H8" s="349"/>
      <c r="I8" s="3276"/>
      <c r="J8" s="351"/>
      <c r="K8" s="352"/>
      <c r="L8" s="347" t="s">
        <v>1407</v>
      </c>
      <c r="M8" s="348">
        <f ca="1">INDIRECT("'数据-取费表'!ai"&amp;$G$1)</f>
        <v>365</v>
      </c>
    </row>
    <row r="9" spans="1:37" ht="18" customHeight="1">
      <c r="A9" s="349"/>
      <c r="B9" s="3277"/>
      <c r="C9" s="351"/>
      <c r="D9" s="352"/>
      <c r="E9" s="347" t="s">
        <v>1408</v>
      </c>
      <c r="F9" s="357">
        <f ca="1">INDIRECT("'数据-取费表'!w"&amp;$G$1)</f>
        <v>0.1</v>
      </c>
      <c r="G9" s="1854"/>
      <c r="H9" s="349"/>
      <c r="I9" s="3277"/>
      <c r="J9" s="351"/>
      <c r="K9" s="352"/>
      <c r="L9" s="358" t="s">
        <v>1408</v>
      </c>
      <c r="M9" s="359">
        <f ca="1">INDIRECT("'数据-取费表'!ab"&amp;$G$1)</f>
        <v>0</v>
      </c>
    </row>
    <row r="10" spans="1:37" ht="18" customHeight="1">
      <c r="A10" s="1294" t="s">
        <v>1039</v>
      </c>
      <c r="B10" s="1826" t="s">
        <v>1409</v>
      </c>
      <c r="C10" s="361">
        <f ca="1">ROUND(IF(F10="押一",C6/12*F11,IF(F10="押二",C6/12*2*F11,IF(F10="押三",C6/12*3*F11,C11*F11))),0)</f>
        <v>19</v>
      </c>
      <c r="D10" s="1827" t="s">
        <v>3042</v>
      </c>
      <c r="E10" s="358" t="s">
        <v>1410</v>
      </c>
      <c r="F10" s="1369" t="s">
        <v>3452</v>
      </c>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56876</v>
      </c>
      <c r="D13" s="1334" t="s">
        <v>1415</v>
      </c>
      <c r="E13" s="1334" t="s">
        <v>1416</v>
      </c>
      <c r="F13" s="1335">
        <f ca="1">INDIRECT("'数据-取费表'!y"&amp;$G$1)</f>
        <v>0.97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38388</v>
      </c>
      <c r="D14" s="1803" t="s">
        <v>1418</v>
      </c>
      <c r="E14" s="1797"/>
      <c r="F14" s="364"/>
      <c r="G14" s="1854"/>
      <c r="H14" s="1204" t="s">
        <v>1035</v>
      </c>
      <c r="I14" s="347" t="s">
        <v>1419</v>
      </c>
      <c r="J14" s="24">
        <f ca="1">C29</f>
        <v>58635</v>
      </c>
      <c r="K14" s="15"/>
      <c r="L14" s="982"/>
      <c r="M14" s="983"/>
    </row>
    <row r="15" spans="1:37" s="1861" customFormat="1" ht="18" customHeight="1" thickBot="1">
      <c r="A15" s="1204" t="s">
        <v>1036</v>
      </c>
      <c r="B15" s="347" t="s">
        <v>1420</v>
      </c>
      <c r="C15" s="24">
        <f ca="1">ROUND(C14*F15,0)</f>
        <v>1152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1376</v>
      </c>
      <c r="K16" s="1340" t="s">
        <v>1425</v>
      </c>
      <c r="L16" s="1341"/>
      <c r="M16" s="1297"/>
    </row>
    <row r="17" spans="1:37" s="1861" customFormat="1" ht="18" customHeight="1">
      <c r="A17" s="1204" t="s">
        <v>1390</v>
      </c>
      <c r="B17" s="347" t="s">
        <v>1426</v>
      </c>
      <c r="C17" s="24">
        <f ca="1">ROUND(F17*(F43+INDIRECT("'数据-取费表'!S"&amp;$G$1))/10000,0)</f>
        <v>2399</v>
      </c>
      <c r="D17" s="347" t="s">
        <v>1427</v>
      </c>
      <c r="E17" s="347" t="s">
        <v>1428</v>
      </c>
      <c r="F17" s="26">
        <f>'数据-取费表'!B35</f>
        <v>200</v>
      </c>
      <c r="G17" s="1857"/>
      <c r="H17" s="1204" t="s">
        <v>1035</v>
      </c>
      <c r="I17" s="347" t="s">
        <v>1429</v>
      </c>
      <c r="J17" s="24">
        <f ca="1">ROUND(IF(项目基本情况!B11="自然人",J5*M17,J18+J19+J20),1)</f>
        <v>496.2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576</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42515</v>
      </c>
      <c r="D19" s="140" t="s">
        <v>1436</v>
      </c>
      <c r="E19" s="1821"/>
      <c r="F19" s="26"/>
      <c r="G19" s="1854"/>
      <c r="H19" s="1204" t="s">
        <v>1036</v>
      </c>
      <c r="I19" s="347" t="s">
        <v>1437</v>
      </c>
      <c r="J19" s="24">
        <f ca="1">IF(K19="按租金收入计税",ROUND(J5*M19,2),ROUND(C29*M19*0.7,2))</f>
        <v>492.53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850</v>
      </c>
      <c r="D20" s="369" t="s">
        <v>1440</v>
      </c>
      <c r="E20" s="347" t="s">
        <v>1422</v>
      </c>
      <c r="F20" s="367">
        <f>'数据-取费表'!B37</f>
        <v>0.02</v>
      </c>
      <c r="G20" s="1857"/>
      <c r="H20" s="1204" t="s">
        <v>1389</v>
      </c>
      <c r="I20" s="164" t="s">
        <v>1441</v>
      </c>
      <c r="J20" s="25">
        <f ca="1">ROUND(M20*M21/10000,2)</f>
        <v>3.67</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24498.84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879.5</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2059</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-1376</v>
      </c>
      <c r="K25" s="1348" t="s">
        <v>1464</v>
      </c>
      <c r="L25" s="1349"/>
      <c r="M25" s="1350"/>
    </row>
    <row r="26" spans="1:37">
      <c r="A26" s="1204" t="s">
        <v>1034</v>
      </c>
      <c r="B26" s="347" t="s">
        <v>1465</v>
      </c>
      <c r="C26" s="24">
        <f ca="1">ROUND((C19+C20)*F26,0)</f>
        <v>8673</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4.9999999999999996E-2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58635</v>
      </c>
      <c r="D29" s="1345"/>
      <c r="E29" s="1343"/>
      <c r="F29" s="1346"/>
      <c r="G29" s="1857"/>
      <c r="H29" s="380" t="s">
        <v>1033</v>
      </c>
      <c r="I29" s="381" t="s">
        <v>1479</v>
      </c>
      <c r="J29" s="382">
        <f ca="1">ROUND(J26/(1+F40)^F41,0)</f>
        <v>0</v>
      </c>
      <c r="K29" s="383" t="s">
        <v>1480</v>
      </c>
      <c r="L29" s="384"/>
      <c r="M29" s="385">
        <f ca="1">INDIRECT("'数据-取费表'!k"&amp;$G$1)</f>
        <v>119963.53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3780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2590.4</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786.03</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1800.72</v>
      </c>
      <c r="D33" s="1831" t="s">
        <v>3566</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3.67</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24498.84</v>
      </c>
      <c r="G35" s="1854"/>
      <c r="H35" s="745"/>
      <c r="I35" s="1863"/>
      <c r="J35" s="1864"/>
      <c r="K35" s="1865"/>
      <c r="L35" s="1862"/>
      <c r="M35" s="1862"/>
    </row>
    <row r="36" spans="1:18" ht="18" customHeight="1">
      <c r="A36" s="1355" t="s">
        <v>1039</v>
      </c>
      <c r="B36" s="347" t="s">
        <v>1449</v>
      </c>
      <c r="C36" s="24">
        <f ca="1">ROUND(C29*F36,1)</f>
        <v>879.5</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85.3</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225.1</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11226</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180854</v>
      </c>
      <c r="D40" s="370" t="s">
        <v>1469</v>
      </c>
      <c r="E40" s="347" t="s">
        <v>1470</v>
      </c>
      <c r="F40" s="357">
        <f ca="1">INDIRECT("'数据-取费表'!I"&amp;$G$1)</f>
        <v>4.9999999999999996E-2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33.56</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15076</v>
      </c>
      <c r="D43" s="383" t="s">
        <v>1488</v>
      </c>
      <c r="E43" s="384" t="s">
        <v>1489</v>
      </c>
      <c r="F43" s="385">
        <f ca="1">INDIRECT("'数据-取费表'!k"&amp;$G$1)</f>
        <v>119963.53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-275808</v>
      </c>
      <c r="D46" s="1875" t="str">
        <f>C2</f>
        <v>万元</v>
      </c>
      <c r="E46" s="1869"/>
      <c r="F46" s="1869"/>
      <c r="I46" s="1876" t="s">
        <v>1521</v>
      </c>
      <c r="J46" s="1877"/>
      <c r="K46" s="1878"/>
      <c r="L46" s="1879">
        <f ca="1">IF(M47="住宅",0,IF(L48&gt;J51,L60,J60))</f>
        <v>1673</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3453</v>
      </c>
      <c r="K47" s="1885" t="s">
        <v>1527</v>
      </c>
      <c r="L47" s="1886">
        <f ca="1">INDIRECT("'数据-取费表'!d"&amp;$G$1)</f>
        <v>40</v>
      </c>
      <c r="M47" s="1841" t="str">
        <f>IF(ISNUMBER(FIND("住宅",C1)),"住宅","非住宅")</f>
        <v>非住宅</v>
      </c>
      <c r="O47" s="1887" t="s">
        <v>1040</v>
      </c>
      <c r="P47" s="1888" t="s">
        <v>1528</v>
      </c>
      <c r="Q47" s="1889">
        <f ca="1">C40+J29</f>
        <v>180854</v>
      </c>
      <c r="R47" s="1889" t="s">
        <v>1529</v>
      </c>
    </row>
    <row r="48" spans="1:18" s="1845" customFormat="1" ht="28.5" thickBot="1">
      <c r="A48" s="1363" t="s">
        <v>1135</v>
      </c>
      <c r="B48" s="345" t="s">
        <v>1401</v>
      </c>
      <c r="C48" s="1820">
        <f ca="1">C49+C53+C55</f>
        <v>0</v>
      </c>
      <c r="D48" s="1365"/>
      <c r="E48" s="1366"/>
      <c r="F48" s="1184"/>
      <c r="G48" s="792"/>
      <c r="H48" s="793"/>
      <c r="I48" s="1890" t="s">
        <v>1530</v>
      </c>
      <c r="J48" s="1891" t="s">
        <v>3454</v>
      </c>
      <c r="K48" s="1892" t="s">
        <v>1531</v>
      </c>
      <c r="L48" s="1893">
        <f ca="1">INDIRECT("'数据-取费表'!f"&amp;$G$1)</f>
        <v>33.56</v>
      </c>
      <c r="O48" s="1887" t="s">
        <v>1041</v>
      </c>
      <c r="P48" s="1888" t="s">
        <v>1532</v>
      </c>
      <c r="Q48" s="1889">
        <f ca="1">J60</f>
        <v>1673</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v>2018</v>
      </c>
      <c r="K49" s="1892" t="s">
        <v>1535</v>
      </c>
      <c r="L49" s="1896"/>
      <c r="O49" s="1897" t="s">
        <v>1042</v>
      </c>
      <c r="P49" s="1888" t="s">
        <v>1536</v>
      </c>
      <c r="Q49" s="1889">
        <f ca="1">C29</f>
        <v>58635</v>
      </c>
      <c r="R49" s="1889" t="s">
        <v>1529</v>
      </c>
    </row>
    <row r="50" spans="1:18" s="1845" customFormat="1" ht="13.5" thickBot="1">
      <c r="A50" s="1198"/>
      <c r="B50" s="1201"/>
      <c r="C50" s="1371"/>
      <c r="D50" s="1175"/>
      <c r="E50" s="1280" t="s">
        <v>1406</v>
      </c>
      <c r="F50" s="1281">
        <f ca="1">F7</f>
        <v>103688.47</v>
      </c>
      <c r="H50" s="793"/>
      <c r="I50" s="1890" t="s">
        <v>1537</v>
      </c>
      <c r="J50" s="1898">
        <f>SUMPRODUCT((I63:I65=J47)*(J62:L62=J48)*(J63:L65))</f>
        <v>60</v>
      </c>
      <c r="K50" s="1892" t="s">
        <v>1538</v>
      </c>
      <c r="L50" s="1896"/>
      <c r="M50" s="1899"/>
      <c r="O50" s="1897" t="s">
        <v>1043</v>
      </c>
      <c r="P50" s="1888" t="s">
        <v>1539</v>
      </c>
      <c r="Q50" s="1900">
        <f ca="1">J58</f>
        <v>0.441</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114488</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v>4.4999999999999998E-2</v>
      </c>
      <c r="O52" s="1897" t="s">
        <v>1045</v>
      </c>
      <c r="P52" s="1888" t="s">
        <v>1545</v>
      </c>
      <c r="Q52" s="1889">
        <f ca="1">J53</f>
        <v>33.56</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33.56</v>
      </c>
      <c r="K53" s="3273" t="s">
        <v>1548</v>
      </c>
      <c r="L53" s="3274"/>
      <c r="O53" s="1887" t="s">
        <v>1046</v>
      </c>
      <c r="P53" s="1888" t="s">
        <v>1549</v>
      </c>
      <c r="Q53" s="1889">
        <f ca="1">Q47+Q48</f>
        <v>182527</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0.441</v>
      </c>
      <c r="K55" s="1915" t="s">
        <v>1552</v>
      </c>
      <c r="L55" s="1916" t="s">
        <v>3570</v>
      </c>
      <c r="O55" s="1880" t="s">
        <v>1522</v>
      </c>
      <c r="P55" s="1881" t="s">
        <v>1523</v>
      </c>
      <c r="Q55" s="1882" t="s">
        <v>1524</v>
      </c>
      <c r="R55" s="1882" t="s">
        <v>1525</v>
      </c>
    </row>
    <row r="56" spans="1:18" s="1845" customFormat="1" ht="25.5" thickTop="1" thickBot="1">
      <c r="A56" s="1179">
        <v>2</v>
      </c>
      <c r="B56" s="1180" t="s">
        <v>1414</v>
      </c>
      <c r="C56" s="276">
        <f ca="1">C13</f>
        <v>56876</v>
      </c>
      <c r="D56" s="1917"/>
      <c r="E56" s="1918"/>
      <c r="F56" s="1910"/>
      <c r="I56" s="1919" t="s">
        <v>1553</v>
      </c>
      <c r="J56" s="1920" t="s">
        <v>3064</v>
      </c>
      <c r="K56" s="1890" t="s">
        <v>1554</v>
      </c>
      <c r="L56" s="1893" t="str">
        <f ca="1">IF(L48&lt;J51,"——",L48-J53)</f>
        <v>——</v>
      </c>
      <c r="O56" s="1887" t="s">
        <v>1040</v>
      </c>
      <c r="P56" s="1888" t="s">
        <v>1528</v>
      </c>
      <c r="Q56" s="1889">
        <f ca="1">C40+J29</f>
        <v>180854</v>
      </c>
      <c r="R56" s="1889" t="s">
        <v>1529</v>
      </c>
    </row>
    <row r="57" spans="1:18" s="1845" customFormat="1" ht="24.75" thickBot="1">
      <c r="A57" s="1921"/>
      <c r="B57" s="1172" t="s">
        <v>1478</v>
      </c>
      <c r="C57" s="282">
        <f ca="1">C29</f>
        <v>58635</v>
      </c>
      <c r="D57" s="1922"/>
      <c r="E57" s="1923"/>
      <c r="F57" s="1924"/>
      <c r="I57" s="1925" t="s">
        <v>1555</v>
      </c>
      <c r="J57" s="1926">
        <f ca="1">IF(OR(M47="住宅",J51&lt;L48,J56="是"),"——",J51-L48)</f>
        <v>26.439999999999998</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1424</v>
      </c>
      <c r="C58" s="361">
        <f ca="1">ROUND(C59+C64+C65+C66,0)</f>
        <v>5894</v>
      </c>
      <c r="D58" s="1182" t="s">
        <v>1425</v>
      </c>
      <c r="E58" s="1183"/>
      <c r="F58" s="1184"/>
      <c r="I58" s="1925" t="s">
        <v>1559</v>
      </c>
      <c r="J58" s="1927">
        <f ca="1">IF(J55&lt;0.4,0.4,J55)</f>
        <v>0.441</v>
      </c>
      <c r="K58" s="1903" t="s">
        <v>1560</v>
      </c>
      <c r="L58" s="1893">
        <f ca="1">ROUND(POWER(1+L52,L47-L48)*(POWER(1+L52,L48)-1)/(POWER(1+L52,L47)-1),4)</f>
        <v>0.93200000000000005</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ROUND(IF(项目基本情况!B11="自然人",C48*F59,C60+C61+C62),1)</f>
        <v>4929</v>
      </c>
      <c r="D59" s="1185" t="s">
        <v>1430</v>
      </c>
      <c r="E59" s="1186" t="s">
        <v>1431</v>
      </c>
      <c r="F59" s="368" t="str">
        <f ca="1">IF(项目基本情况!B11="企业","",IF(INDIRECT("'数据-取费表'!c"&amp;$G$1)="住宅",5%,IF(F49*F50*F51/12/(1+'数据-取费表'!C42)&gt;20000,12%,7%)))</f>
        <v/>
      </c>
      <c r="I59" s="1925" t="s">
        <v>1562</v>
      </c>
      <c r="J59" s="1926">
        <f ca="1">IF(OR(M47="住宅",J51&lt;L48,J56="是"),"——",ROUND(C29*J58,0))</f>
        <v>25858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1.1214999999999999</v>
      </c>
      <c r="M59" s="1841">
        <f ca="1">ROUND(POWER(1+L52,L47-(J51+'数据-取费表'!B24))*(POWER(1+L52,(J51+'数据-取费表'!B24))-1)/(POWER(1+L52,L47)-1),4)</f>
        <v>1.1214999999999999</v>
      </c>
      <c r="N59" s="1841">
        <f ca="1">ROUND(POWER(1+L52,L47-(J51+'数据-取费表'!B20))*(POWER(1+L52,(J51+'数据-取费表'!B20))-1)/(POWER(1+L52,L47)-1),4)</f>
        <v>1.1288</v>
      </c>
      <c r="O59" s="1897" t="s">
        <v>1043</v>
      </c>
      <c r="P59" s="1888" t="s">
        <v>1563</v>
      </c>
      <c r="Q59" s="1900">
        <f>L52</f>
        <v>4.4999999999999998E-2</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1564</v>
      </c>
      <c r="J60" s="1929">
        <f ca="1">IF(OR(M47="住宅",J51&lt;L48,J56="是"),"0",ROUND(J59/(1+J52)^J53,0))</f>
        <v>1673</v>
      </c>
      <c r="K60" s="1930" t="s">
        <v>1565</v>
      </c>
      <c r="L60" s="1929">
        <f ca="1">IF(OR(M47="住宅",L48&lt;J51),0,ROUND(L57*(L58/L59-1),0))</f>
        <v>0</v>
      </c>
      <c r="O60" s="1897" t="s">
        <v>1044</v>
      </c>
      <c r="P60" s="1888" t="s">
        <v>1566</v>
      </c>
      <c r="Q60" s="1889">
        <f ca="1">L58</f>
        <v>0.93200000000000005</v>
      </c>
      <c r="R60" s="1889" t="s">
        <v>1567</v>
      </c>
    </row>
    <row r="61" spans="1:18" s="1845" customFormat="1" ht="13.5" thickBot="1">
      <c r="A61" s="1204" t="s">
        <v>1492</v>
      </c>
      <c r="B61" s="1172" t="s">
        <v>1493</v>
      </c>
      <c r="C61" s="24">
        <f ca="1">IF(项目基本情况!B11="自然人","——",IF(D61="按租金收入计税",ROUND(C48*F61,2),IF(D61="按房产原值计税",ROUND(C57*F61*0.7,2),INDIRECT("'数据-取费表'!Aj"&amp;$G$1))))</f>
        <v>4925.34</v>
      </c>
      <c r="D61" s="1831" t="s">
        <v>1438</v>
      </c>
      <c r="E61" s="1172" t="s">
        <v>1494</v>
      </c>
      <c r="F61" s="367">
        <f t="shared" si="0"/>
        <v>0.12</v>
      </c>
      <c r="I61" s="1931"/>
      <c r="J61" s="1931"/>
      <c r="K61" s="1931"/>
      <c r="L61" s="1931"/>
      <c r="O61" s="1897" t="s">
        <v>1045</v>
      </c>
      <c r="P61" s="1888" t="str">
        <f>K59</f>
        <v>建筑物剩余耐用年限下的土地年期修正系数Kn</v>
      </c>
      <c r="Q61" s="1889">
        <f ca="1">L59</f>
        <v>1.1214999999999999</v>
      </c>
      <c r="R61" s="1889" t="s">
        <v>1568</v>
      </c>
    </row>
    <row r="62" spans="1:18" s="1845" customFormat="1" ht="13.5" thickBot="1">
      <c r="A62" s="1204" t="s">
        <v>1495</v>
      </c>
      <c r="B62" s="1171" t="s">
        <v>1496</v>
      </c>
      <c r="C62" s="25">
        <f ca="1">IF(项目基本情况!B11="自然人","——",ROUND(F62*F63/10000,2))</f>
        <v>3.67</v>
      </c>
      <c r="D62" s="1187" t="s">
        <v>1497</v>
      </c>
      <c r="E62" s="1172" t="s">
        <v>1498</v>
      </c>
      <c r="F62" s="371">
        <f t="shared" si="0"/>
        <v>1.5</v>
      </c>
      <c r="I62" s="1932" t="s">
        <v>1569</v>
      </c>
      <c r="J62" s="1933" t="s">
        <v>1570</v>
      </c>
      <c r="K62" s="1933" t="s">
        <v>1571</v>
      </c>
      <c r="L62" s="1933" t="s">
        <v>1572</v>
      </c>
      <c r="M62" s="1934" t="s">
        <v>1573</v>
      </c>
      <c r="O62" s="1887" t="s">
        <v>1046</v>
      </c>
      <c r="P62" s="1888" t="s">
        <v>1574</v>
      </c>
      <c r="Q62" s="1889">
        <f ca="1">Q56+Q57</f>
        <v>180854</v>
      </c>
      <c r="R62" s="1889" t="s">
        <v>1047</v>
      </c>
    </row>
    <row r="63" spans="1:18" s="1845" customFormat="1" ht="13.5" thickBot="1">
      <c r="A63" s="372"/>
      <c r="B63" s="1178"/>
      <c r="C63" s="29"/>
      <c r="D63" s="1188"/>
      <c r="E63" s="1172" t="s">
        <v>1499</v>
      </c>
      <c r="F63" s="348">
        <f t="shared" ca="1" si="0"/>
        <v>24498.84</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ROUND(C57*F64,1)</f>
        <v>879.5</v>
      </c>
      <c r="D64" s="1186" t="s">
        <v>1502</v>
      </c>
      <c r="E64" s="1172" t="s">
        <v>1494</v>
      </c>
      <c r="F64" s="374">
        <f t="shared" ca="1" si="0"/>
        <v>1.4999999999999999E-2</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85.3</v>
      </c>
      <c r="D65" s="1186" t="s">
        <v>1454</v>
      </c>
      <c r="E65" s="1172" t="s">
        <v>1455</v>
      </c>
      <c r="F65" s="376">
        <f t="shared" ca="1" si="0"/>
        <v>1.5E-3</v>
      </c>
      <c r="I65" s="1932" t="s">
        <v>1578</v>
      </c>
      <c r="J65" s="1933">
        <v>40</v>
      </c>
      <c r="K65" s="1933">
        <v>30</v>
      </c>
      <c r="L65" s="1933">
        <v>50</v>
      </c>
      <c r="M65" s="1935">
        <v>0.02</v>
      </c>
      <c r="O65" s="1887" t="s">
        <v>1040</v>
      </c>
      <c r="P65" s="1888" t="s">
        <v>1579</v>
      </c>
      <c r="Q65" s="1889">
        <f ca="1">C40+J29</f>
        <v>180854</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1557</v>
      </c>
      <c r="Q66" s="1889">
        <f ca="1">L60</f>
        <v>0</v>
      </c>
      <c r="R66" s="1889" t="s">
        <v>1580</v>
      </c>
    </row>
    <row r="67" spans="1:18" s="1845" customFormat="1" ht="16.5" thickBot="1">
      <c r="A67" s="1179" t="s">
        <v>1031</v>
      </c>
      <c r="B67" s="1189" t="s">
        <v>1463</v>
      </c>
      <c r="C67" s="361">
        <f ca="1">C48-C58</f>
        <v>-5894</v>
      </c>
      <c r="D67" s="1185" t="s">
        <v>1464</v>
      </c>
      <c r="E67" s="1190"/>
      <c r="F67" s="1191"/>
      <c r="O67" s="1897" t="s">
        <v>1042</v>
      </c>
      <c r="P67" s="1888" t="s">
        <v>1561</v>
      </c>
      <c r="Q67" s="1936">
        <f ca="1">L51</f>
        <v>114488</v>
      </c>
      <c r="R67" s="1889" t="s">
        <v>1581</v>
      </c>
    </row>
    <row r="68" spans="1:18" s="1845" customFormat="1" ht="16.5" thickBot="1">
      <c r="A68" s="1169" t="s">
        <v>1032</v>
      </c>
      <c r="B68" s="1170" t="s">
        <v>1485</v>
      </c>
      <c r="C68" s="346">
        <f ca="1">ROUND(C67*(1-((1+F70)/(1+F68))^F69)/(F68-F70),0)</f>
        <v>-94954</v>
      </c>
      <c r="D68" s="1187" t="s">
        <v>1469</v>
      </c>
      <c r="E68" s="1172" t="s">
        <v>1470</v>
      </c>
      <c r="F68" s="357">
        <f ca="1">F40</f>
        <v>4.9999999999999996E-2</v>
      </c>
      <c r="O68" s="1897" t="s">
        <v>1043</v>
      </c>
      <c r="P68" s="1937" t="s">
        <v>1582</v>
      </c>
      <c r="Q68" s="1889">
        <f ca="1">ROUND(Q69-Q70*Q71,0)</f>
        <v>6676</v>
      </c>
      <c r="R68" s="1889" t="s">
        <v>1051</v>
      </c>
    </row>
    <row r="69" spans="1:18" s="1845" customFormat="1" ht="13.5" thickBot="1">
      <c r="A69" s="1173"/>
      <c r="B69" s="1174"/>
      <c r="C69" s="351"/>
      <c r="D69" s="1192" t="s">
        <v>1473</v>
      </c>
      <c r="E69" s="1172" t="s">
        <v>1474</v>
      </c>
      <c r="F69" s="379">
        <f ca="1">F41</f>
        <v>33.56</v>
      </c>
      <c r="O69" s="1897" t="s">
        <v>1048</v>
      </c>
      <c r="P69" s="1937" t="s">
        <v>1583</v>
      </c>
      <c r="Q69" s="1889">
        <f ca="1">C39</f>
        <v>11226</v>
      </c>
      <c r="R69" s="1889" t="s">
        <v>1529</v>
      </c>
    </row>
    <row r="70" spans="1:18" s="1845" customFormat="1" ht="13.5" thickBot="1">
      <c r="A70" s="1176"/>
      <c r="B70" s="1177"/>
      <c r="C70" s="355"/>
      <c r="D70" s="1188"/>
      <c r="E70" s="1172" t="s">
        <v>1477</v>
      </c>
      <c r="F70" s="1278"/>
      <c r="O70" s="1897" t="s">
        <v>1049</v>
      </c>
      <c r="P70" s="1937" t="s">
        <v>1584</v>
      </c>
      <c r="Q70" s="1889">
        <f ca="1">C13</f>
        <v>56876</v>
      </c>
      <c r="R70" s="1889" t="s">
        <v>1529</v>
      </c>
    </row>
    <row r="71" spans="1:18" s="1845" customFormat="1" ht="13.5" thickBot="1">
      <c r="A71" s="1193" t="s">
        <v>1033</v>
      </c>
      <c r="B71" s="1194" t="s">
        <v>1487</v>
      </c>
      <c r="C71" s="382">
        <f ca="1">ROUND(C68*10000/F71,0)</f>
        <v>-7915</v>
      </c>
      <c r="D71" s="1195" t="s">
        <v>1488</v>
      </c>
      <c r="E71" s="1196" t="s">
        <v>1489</v>
      </c>
      <c r="F71" s="385">
        <f ca="1">F43</f>
        <v>119963.53</v>
      </c>
      <c r="O71" s="1897" t="s">
        <v>1050</v>
      </c>
      <c r="P71" s="1937" t="s">
        <v>1585</v>
      </c>
      <c r="Q71" s="1900">
        <f ca="1">C76</f>
        <v>0.08</v>
      </c>
      <c r="R71" s="1889"/>
    </row>
    <row r="72" spans="1:18" s="1845" customFormat="1" ht="13.5" thickBot="1">
      <c r="B72" s="796"/>
      <c r="C72" s="796"/>
      <c r="O72" s="1897" t="s">
        <v>1044</v>
      </c>
      <c r="P72" s="1888" t="s">
        <v>1563</v>
      </c>
      <c r="Q72" s="1900">
        <f>L52</f>
        <v>4.4999999999999998E-2</v>
      </c>
      <c r="R72" s="1889"/>
    </row>
    <row r="73" spans="1:18" ht="16.5" thickBot="1">
      <c r="A73" s="1845"/>
      <c r="B73" s="796"/>
      <c r="C73" s="796"/>
      <c r="D73" s="1845"/>
      <c r="E73" s="1845"/>
      <c r="F73" s="1845"/>
      <c r="O73" s="1897" t="s">
        <v>1045</v>
      </c>
      <c r="P73" s="1888" t="s">
        <v>1566</v>
      </c>
      <c r="Q73" s="1889">
        <f ca="1">L58</f>
        <v>0.93200000000000005</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f ca="1">L59</f>
        <v>1.1214999999999999</v>
      </c>
      <c r="R74" s="1889" t="s">
        <v>1568</v>
      </c>
    </row>
    <row r="75" spans="1:18" ht="13.5" thickBot="1">
      <c r="A75" s="1845"/>
      <c r="B75" s="386" t="s">
        <v>1506</v>
      </c>
      <c r="C75" s="387">
        <f ca="1">ROUND(C13*C76,0)</f>
        <v>4550</v>
      </c>
      <c r="D75" s="1845"/>
      <c r="E75" s="1845"/>
      <c r="F75" s="1845"/>
      <c r="K75" s="1871"/>
      <c r="L75" s="1845"/>
      <c r="O75" s="1887" t="s">
        <v>1046</v>
      </c>
      <c r="P75" s="1888" t="s">
        <v>1549</v>
      </c>
      <c r="Q75" s="1889">
        <f ca="1">Q65+Q66</f>
        <v>180854</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0.59499999999999997</v>
      </c>
    </row>
    <row r="80" spans="1:18">
      <c r="B80" s="386" t="s">
        <v>1511</v>
      </c>
      <c r="C80" s="318">
        <f ca="1">ROUND(C75/C39,3)</f>
        <v>0.40500000000000003</v>
      </c>
    </row>
    <row r="81" spans="2:3">
      <c r="B81" s="314" t="s">
        <v>1512</v>
      </c>
      <c r="C81" s="282"/>
    </row>
    <row r="82" spans="2:3">
      <c r="B82" s="317" t="s">
        <v>1513</v>
      </c>
      <c r="C82" s="319">
        <f ca="1">1-C83</f>
        <v>0.68599999999999994</v>
      </c>
    </row>
    <row r="83" spans="2:3">
      <c r="B83" s="317" t="s">
        <v>1514</v>
      </c>
      <c r="C83" s="318">
        <f ca="1">ROUND(C13/C40,3)</f>
        <v>0.314</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275" t="s">
        <v>1403</v>
      </c>
      <c r="C6" s="1299">
        <f ca="1">ROUND(F6*F8*F7*(1-F9),0)</f>
        <v>0</v>
      </c>
      <c r="D6" s="164" t="s">
        <v>3030</v>
      </c>
      <c r="E6" s="347" t="s">
        <v>1405</v>
      </c>
      <c r="F6" s="348">
        <f ca="1">INDIRECT("'数据-取费表'!u"&amp;$G$1)</f>
        <v>0</v>
      </c>
      <c r="G6" s="1854"/>
      <c r="H6" s="1294" t="s">
        <v>1035</v>
      </c>
      <c r="I6" s="3275" t="s">
        <v>1403</v>
      </c>
      <c r="J6" s="346">
        <f ca="1">ROUND(M6*M8*M7*(1-M9),0)</f>
        <v>0</v>
      </c>
      <c r="K6" s="1837" t="s">
        <v>3031</v>
      </c>
      <c r="L6" s="347" t="s">
        <v>1405</v>
      </c>
      <c r="M6" s="348">
        <f ca="1">INDIRECT("'数据-取费表'!z"&amp;$G$1)</f>
        <v>0</v>
      </c>
    </row>
    <row r="7" spans="1:37" ht="18" customHeight="1">
      <c r="A7" s="1298"/>
      <c r="B7" s="3276"/>
      <c r="C7" s="1300"/>
      <c r="D7" s="352"/>
      <c r="E7" s="1301" t="s">
        <v>1406</v>
      </c>
      <c r="F7" s="348">
        <f ca="1">IF(INDIRECT("'数据-取费表'!ah"&amp;$G$1)="",INDIRECT("'数据-取费表'!k"&amp;$G$1),INDIRECT("'数据-取费表'!ah"&amp;$G$1))</f>
        <v>0</v>
      </c>
      <c r="G7" s="1854"/>
      <c r="H7" s="349"/>
      <c r="I7" s="3276"/>
      <c r="J7" s="351"/>
      <c r="K7" s="352"/>
      <c r="L7" s="347" t="s">
        <v>1406</v>
      </c>
      <c r="M7" s="348">
        <f ca="1">F7</f>
        <v>0</v>
      </c>
    </row>
    <row r="8" spans="1:37" ht="18" customHeight="1">
      <c r="A8" s="349"/>
      <c r="B8" s="3276"/>
      <c r="C8" s="351"/>
      <c r="D8" s="352"/>
      <c r="E8" s="347" t="s">
        <v>1407</v>
      </c>
      <c r="F8" s="348">
        <f ca="1">INDIRECT("'数据-取费表'!ai"&amp;$G$1)</f>
        <v>0</v>
      </c>
      <c r="G8" s="1854"/>
      <c r="H8" s="349"/>
      <c r="I8" s="3276"/>
      <c r="J8" s="351"/>
      <c r="K8" s="352"/>
      <c r="L8" s="347" t="s">
        <v>1407</v>
      </c>
      <c r="M8" s="348">
        <f ca="1">INDIRECT("'数据-取费表'!ai"&amp;$G$1)</f>
        <v>0</v>
      </c>
    </row>
    <row r="9" spans="1:37" ht="18" customHeight="1">
      <c r="A9" s="349"/>
      <c r="B9" s="3277"/>
      <c r="C9" s="351"/>
      <c r="D9" s="352"/>
      <c r="E9" s="347" t="s">
        <v>1408</v>
      </c>
      <c r="F9" s="357">
        <f ca="1">INDIRECT("'数据-取费表'!w"&amp;$G$1)</f>
        <v>0</v>
      </c>
      <c r="G9" s="1854"/>
      <c r="H9" s="349"/>
      <c r="I9" s="327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c r="G10" s="1854"/>
      <c r="H10" s="1294" t="s">
        <v>1039</v>
      </c>
      <c r="I10" s="1826" t="s">
        <v>1409</v>
      </c>
      <c r="J10" s="346">
        <f ca="1">ROUND(IF(M10="押一",J6/12*M11,IF(M10="押二",J6/12*2*M11,IF(M10="押三",J6/12*3*M11,J11*M11))),0)</f>
        <v>0</v>
      </c>
      <c r="K10" s="1838" t="s">
        <v>3043</v>
      </c>
      <c r="L10" s="358" t="s">
        <v>1410</v>
      </c>
      <c r="M10" s="1369"/>
    </row>
    <row r="11" spans="1:37" ht="18" customHeight="1">
      <c r="A11" s="353"/>
      <c r="B11" s="1828" t="s">
        <v>1601</v>
      </c>
      <c r="C11" s="1181"/>
      <c r="D11" s="352"/>
      <c r="E11" s="358" t="s">
        <v>1412</v>
      </c>
      <c r="F11" s="359">
        <f ca="1">'数据-取费表'!B39</f>
        <v>1.4999999999999999E-2</v>
      </c>
      <c r="G11" s="1854"/>
      <c r="H11" s="1302"/>
      <c r="I11" s="1828" t="s">
        <v>1602</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3044</v>
      </c>
      <c r="E53" s="358" t="s">
        <v>1410</v>
      </c>
      <c r="F53" s="1369"/>
      <c r="I53" s="1908" t="s">
        <v>1547</v>
      </c>
      <c r="J53" s="1909" t="b">
        <f>IF(M47="住宅",J51,IF(D1="——",MIN(J51,L48),IF(D1="在建（套用方法）",MIN(J51,L48-'数据-取费表'!B24),IF(D1="土地（套用方法）",MIN(J51,L48-'数据-取费表'!B20)))))</f>
        <v>0</v>
      </c>
      <c r="K53" s="3273" t="s">
        <v>1548</v>
      </c>
      <c r="L53" s="3274"/>
      <c r="O53" s="1887" t="s">
        <v>1046</v>
      </c>
      <c r="P53" s="1888" t="s">
        <v>1549</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1553</v>
      </c>
      <c r="J56" s="1920"/>
      <c r="K56" s="1890" t="s">
        <v>1554</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1424</v>
      </c>
      <c r="C58" s="361">
        <f ca="1">ROUND(C59+C64+C65+C66,0)</f>
        <v>0</v>
      </c>
      <c r="D58" s="1182" t="s">
        <v>1425</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1499</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1578</v>
      </c>
      <c r="J65" s="1933">
        <v>40</v>
      </c>
      <c r="K65" s="1933">
        <v>30</v>
      </c>
      <c r="L65" s="1933">
        <v>50</v>
      </c>
      <c r="M65" s="1935">
        <v>0.02</v>
      </c>
      <c r="O65" s="1887" t="s">
        <v>1040</v>
      </c>
      <c r="P65" s="1888" t="s">
        <v>1579</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1557</v>
      </c>
      <c r="Q66" s="1889" t="e">
        <f ca="1">L60</f>
        <v>#DIV/0!</v>
      </c>
      <c r="R66" s="1889" t="s">
        <v>1580</v>
      </c>
    </row>
    <row r="67" spans="1:18" s="1845" customFormat="1" ht="16.5" thickBot="1">
      <c r="A67" s="1179" t="s">
        <v>1031</v>
      </c>
      <c r="B67" s="1189" t="s">
        <v>1463</v>
      </c>
      <c r="C67" s="361">
        <f ca="1">C48-C58</f>
        <v>0</v>
      </c>
      <c r="D67" s="1185" t="s">
        <v>1464</v>
      </c>
      <c r="E67" s="1190"/>
      <c r="F67" s="1191"/>
      <c r="O67" s="1897" t="s">
        <v>1042</v>
      </c>
      <c r="P67" s="1888" t="s">
        <v>1561</v>
      </c>
      <c r="Q67" s="1936">
        <f ca="1">L51</f>
        <v>0</v>
      </c>
      <c r="R67" s="1889" t="s">
        <v>1581</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1582</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1583</v>
      </c>
      <c r="Q69" s="1889">
        <f ca="1">C39</f>
        <v>0</v>
      </c>
      <c r="R69" s="1889" t="s">
        <v>1529</v>
      </c>
    </row>
    <row r="70" spans="1:18" s="1845" customFormat="1" ht="13.5" thickBot="1">
      <c r="A70" s="1176"/>
      <c r="B70" s="1177"/>
      <c r="C70" s="355"/>
      <c r="D70" s="1188"/>
      <c r="E70" s="1172" t="s">
        <v>1477</v>
      </c>
      <c r="F70" s="1278">
        <f ca="1">F42</f>
        <v>0</v>
      </c>
      <c r="O70" s="1897" t="s">
        <v>1049</v>
      </c>
      <c r="P70" s="1937" t="s">
        <v>1584</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F13"/>
  <sheetViews>
    <sheetView workbookViewId="0">
      <selection activeCell="I36" sqref="I3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182527</v>
      </c>
      <c r="C2" s="2573" t="s">
        <v>2520</v>
      </c>
      <c r="D2" s="2574" t="s">
        <v>2521</v>
      </c>
      <c r="E2" s="2575">
        <f>SUM(E6:E13)</f>
        <v>119963.53</v>
      </c>
    </row>
    <row r="3" spans="1:6" ht="15.75">
      <c r="A3" s="2571" t="s">
        <v>1395</v>
      </c>
      <c r="B3" s="2572">
        <f ca="1">ROUND(B2*10000/E2,0)</f>
        <v>15215</v>
      </c>
      <c r="C3" s="2573" t="s">
        <v>2528</v>
      </c>
      <c r="D3" s="2576"/>
      <c r="E3" s="2577"/>
    </row>
    <row r="4" spans="1:6" ht="15.75">
      <c r="A4" s="2578"/>
      <c r="B4" s="2576"/>
      <c r="C4" s="2576"/>
      <c r="D4" s="2576"/>
      <c r="E4" s="2577"/>
    </row>
    <row r="5" spans="1:6" ht="15">
      <c r="A5" s="2579" t="s">
        <v>2522</v>
      </c>
      <c r="B5" s="3278" t="s">
        <v>2523</v>
      </c>
      <c r="C5" s="3278"/>
      <c r="D5" s="2580"/>
      <c r="E5" s="2581" t="s">
        <v>2524</v>
      </c>
      <c r="F5" s="2582" t="s">
        <v>2525</v>
      </c>
    </row>
    <row r="6" spans="1:6">
      <c r="A6" s="2583" t="str">
        <f>'数据-取费表'!AN6</f>
        <v>收益法</v>
      </c>
      <c r="B6" s="2582">
        <f ca="1">IF(F6="是",'数据-取费表'!AO6,0)</f>
        <v>182527</v>
      </c>
      <c r="C6" s="2573" t="s">
        <v>2520</v>
      </c>
      <c r="D6" s="2576"/>
      <c r="E6" s="2584">
        <f>IF(OR(A6=0,F6="否"),0,'数据-取费表'!K6+'数据-取费表'!S6)</f>
        <v>119963.53</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9" t="s">
        <v>1076</v>
      </c>
      <c r="B1" s="3280"/>
      <c r="C1" s="3281"/>
      <c r="D1" s="3282">
        <f>SUM(I10,I15,I20,I21,I23)</f>
        <v>0</v>
      </c>
      <c r="E1" s="3282"/>
      <c r="F1" s="3282"/>
      <c r="G1" s="3282"/>
      <c r="H1" s="3282"/>
      <c r="I1" s="3283"/>
    </row>
    <row r="2" spans="1:9">
      <c r="A2" s="3284" t="s">
        <v>1077</v>
      </c>
      <c r="B2" s="3285" t="s">
        <v>1078</v>
      </c>
      <c r="C2" s="3285"/>
      <c r="D2" s="1304" t="s">
        <v>1079</v>
      </c>
      <c r="E2" s="1304" t="s">
        <v>1080</v>
      </c>
      <c r="F2" s="1304" t="s">
        <v>1081</v>
      </c>
      <c r="G2" s="1304" t="s">
        <v>1082</v>
      </c>
      <c r="H2" s="1304" t="s">
        <v>1083</v>
      </c>
      <c r="I2" s="1305" t="s">
        <v>1084</v>
      </c>
    </row>
    <row r="3" spans="1:9">
      <c r="A3" s="3284"/>
      <c r="B3" s="3285" t="s">
        <v>1085</v>
      </c>
      <c r="C3" s="3285"/>
      <c r="D3" s="1306"/>
      <c r="E3" s="1304"/>
      <c r="F3" s="1307"/>
      <c r="G3" s="1307"/>
      <c r="H3" s="1308"/>
      <c r="I3" s="1309">
        <f>ROUND(D3*E3*F3*G3*H3/10000,0)</f>
        <v>0</v>
      </c>
    </row>
    <row r="4" spans="1:9">
      <c r="A4" s="3284"/>
      <c r="B4" s="3285" t="s">
        <v>1086</v>
      </c>
      <c r="C4" s="3285"/>
      <c r="D4" s="1306"/>
      <c r="E4" s="1304"/>
      <c r="F4" s="1307"/>
      <c r="G4" s="1307"/>
      <c r="H4" s="1308"/>
      <c r="I4" s="1309">
        <f t="shared" ref="I4:I9" si="0">ROUND(D4*E4*F4*G4*H4/10000,0)</f>
        <v>0</v>
      </c>
    </row>
    <row r="5" spans="1:9">
      <c r="A5" s="3284"/>
      <c r="B5" s="3285" t="s">
        <v>1087</v>
      </c>
      <c r="C5" s="3285"/>
      <c r="D5" s="1306"/>
      <c r="E5" s="1304"/>
      <c r="F5" s="1307"/>
      <c r="G5" s="1307"/>
      <c r="H5" s="1308"/>
      <c r="I5" s="1309">
        <f t="shared" si="0"/>
        <v>0</v>
      </c>
    </row>
    <row r="6" spans="1:9">
      <c r="A6" s="3284"/>
      <c r="B6" s="3285" t="s">
        <v>1088</v>
      </c>
      <c r="C6" s="3285"/>
      <c r="D6" s="1306"/>
      <c r="E6" s="1304"/>
      <c r="F6" s="1307"/>
      <c r="G6" s="1307"/>
      <c r="H6" s="1308"/>
      <c r="I6" s="1309">
        <f t="shared" si="0"/>
        <v>0</v>
      </c>
    </row>
    <row r="7" spans="1:9">
      <c r="A7" s="3284"/>
      <c r="B7" s="3285" t="s">
        <v>1089</v>
      </c>
      <c r="C7" s="3285"/>
      <c r="D7" s="1306"/>
      <c r="E7" s="1304"/>
      <c r="F7" s="1307"/>
      <c r="G7" s="1307"/>
      <c r="H7" s="1308"/>
      <c r="I7" s="1309">
        <f t="shared" si="0"/>
        <v>0</v>
      </c>
    </row>
    <row r="8" spans="1:9">
      <c r="A8" s="3284"/>
      <c r="B8" s="3285" t="s">
        <v>1090</v>
      </c>
      <c r="C8" s="3285"/>
      <c r="D8" s="1306"/>
      <c r="E8" s="1304"/>
      <c r="F8" s="1307"/>
      <c r="G8" s="1307"/>
      <c r="H8" s="1308"/>
      <c r="I8" s="1309">
        <f t="shared" si="0"/>
        <v>0</v>
      </c>
    </row>
    <row r="9" spans="1:9">
      <c r="A9" s="3284"/>
      <c r="B9" s="3285" t="s">
        <v>1091</v>
      </c>
      <c r="C9" s="3285"/>
      <c r="D9" s="1306"/>
      <c r="E9" s="1304"/>
      <c r="F9" s="1307"/>
      <c r="G9" s="1307"/>
      <c r="H9" s="1308"/>
      <c r="I9" s="1309">
        <f t="shared" si="0"/>
        <v>0</v>
      </c>
    </row>
    <row r="10" spans="1:9">
      <c r="A10" s="3284"/>
      <c r="B10" s="3286" t="s">
        <v>1092</v>
      </c>
      <c r="C10" s="3286"/>
      <c r="D10" s="1310"/>
      <c r="E10" s="1310" t="e">
        <f>ROUND(D1*10000/D10/H9,0)</f>
        <v>#DIV/0!</v>
      </c>
      <c r="F10" s="1311"/>
      <c r="G10" s="1311"/>
      <c r="H10" s="1312"/>
      <c r="I10" s="1313">
        <f>SUM(I3:I9)</f>
        <v>0</v>
      </c>
    </row>
    <row r="11" spans="1:9" ht="14.25">
      <c r="A11" s="3284" t="s">
        <v>1093</v>
      </c>
      <c r="B11" s="3285" t="s">
        <v>1094</v>
      </c>
      <c r="C11" s="3285"/>
      <c r="D11" s="1306" t="s">
        <v>1095</v>
      </c>
      <c r="E11" s="1306" t="s">
        <v>1096</v>
      </c>
      <c r="F11" s="1307" t="s">
        <v>1097</v>
      </c>
      <c r="G11" s="1307" t="s">
        <v>1083</v>
      </c>
      <c r="H11" s="1314" t="s">
        <v>1098</v>
      </c>
      <c r="I11" s="1305" t="s">
        <v>1084</v>
      </c>
    </row>
    <row r="12" spans="1:9">
      <c r="A12" s="3284"/>
      <c r="B12" s="3285" t="s">
        <v>1099</v>
      </c>
      <c r="C12" s="3285"/>
      <c r="D12" s="1306"/>
      <c r="E12" s="1306"/>
      <c r="F12" s="1307"/>
      <c r="G12" s="1308"/>
      <c r="H12" s="1315"/>
      <c r="I12" s="1305">
        <f>ROUND(D12*E12*F12*G12/10000,0)</f>
        <v>0</v>
      </c>
    </row>
    <row r="13" spans="1:9">
      <c r="A13" s="3284"/>
      <c r="B13" s="3285" t="s">
        <v>1100</v>
      </c>
      <c r="C13" s="3285"/>
      <c r="D13" s="1306"/>
      <c r="E13" s="1306"/>
      <c r="F13" s="1307"/>
      <c r="G13" s="1308"/>
      <c r="H13" s="1315"/>
      <c r="I13" s="1305">
        <f>ROUND(D13*E13*F13*G13/10000,0)</f>
        <v>0</v>
      </c>
    </row>
    <row r="14" spans="1:9">
      <c r="A14" s="3284"/>
      <c r="B14" s="3285" t="s">
        <v>1101</v>
      </c>
      <c r="C14" s="3285"/>
      <c r="D14" s="1306"/>
      <c r="E14" s="1306"/>
      <c r="F14" s="1307"/>
      <c r="G14" s="1308"/>
      <c r="H14" s="1315"/>
      <c r="I14" s="1305">
        <f>ROUND(D14*E14*F14*G14/10000,0)</f>
        <v>0</v>
      </c>
    </row>
    <row r="15" spans="1:9">
      <c r="A15" s="3284"/>
      <c r="B15" s="3286" t="s">
        <v>1092</v>
      </c>
      <c r="C15" s="3286"/>
      <c r="D15" s="1310"/>
      <c r="E15" s="1310">
        <f>SUM(E12:E14)</f>
        <v>0</v>
      </c>
      <c r="F15" s="1311"/>
      <c r="G15" s="1308"/>
      <c r="H15" s="1315"/>
      <c r="I15" s="1316">
        <f>SUM(I12:I14)</f>
        <v>0</v>
      </c>
    </row>
    <row r="16" spans="1:9" ht="24">
      <c r="A16" s="3284" t="s">
        <v>1102</v>
      </c>
      <c r="B16" s="3285" t="s">
        <v>1103</v>
      </c>
      <c r="C16" s="3285"/>
      <c r="D16" s="1306" t="s">
        <v>1079</v>
      </c>
      <c r="E16" s="1317" t="s">
        <v>1104</v>
      </c>
      <c r="F16" s="1307" t="s">
        <v>1105</v>
      </c>
      <c r="G16" s="1308" t="s">
        <v>1083</v>
      </c>
      <c r="H16" s="1314" t="s">
        <v>1098</v>
      </c>
      <c r="I16" s="1305" t="s">
        <v>1084</v>
      </c>
    </row>
    <row r="17" spans="1:9" ht="14.25">
      <c r="A17" s="3284"/>
      <c r="B17" s="3285" t="s">
        <v>1106</v>
      </c>
      <c r="C17" s="3285"/>
      <c r="D17" s="1306"/>
      <c r="E17" s="1306"/>
      <c r="F17" s="1307"/>
      <c r="G17" s="1308"/>
      <c r="H17" s="1318"/>
      <c r="I17" s="1319">
        <f>ROUND(D17*E17*F17*G17/10000,0)</f>
        <v>0</v>
      </c>
    </row>
    <row r="18" spans="1:9" ht="14.25">
      <c r="A18" s="3284"/>
      <c r="B18" s="3285" t="s">
        <v>1107</v>
      </c>
      <c r="C18" s="3285"/>
      <c r="D18" s="1306"/>
      <c r="E18" s="1306"/>
      <c r="F18" s="1307"/>
      <c r="G18" s="1308"/>
      <c r="H18" s="1318"/>
      <c r="I18" s="1319">
        <f>ROUND(D18*E18*F18*G18/10000,0)</f>
        <v>0</v>
      </c>
    </row>
    <row r="19" spans="1:9" ht="14.25">
      <c r="A19" s="3284"/>
      <c r="B19" s="3285" t="s">
        <v>1108</v>
      </c>
      <c r="C19" s="3285"/>
      <c r="D19" s="1306"/>
      <c r="E19" s="1306"/>
      <c r="F19" s="1307"/>
      <c r="G19" s="1308"/>
      <c r="H19" s="1318"/>
      <c r="I19" s="1319">
        <f>ROUND(D19*E19*F19*G19/10000,0)</f>
        <v>0</v>
      </c>
    </row>
    <row r="20" spans="1:9">
      <c r="A20" s="3284"/>
      <c r="B20" s="3286" t="s">
        <v>1092</v>
      </c>
      <c r="C20" s="3286"/>
      <c r="D20" s="1310">
        <f>SUM(D17:D19)</f>
        <v>0</v>
      </c>
      <c r="E20" s="1310"/>
      <c r="F20" s="1311"/>
      <c r="G20" s="1308"/>
      <c r="H20" s="1315"/>
      <c r="I20" s="1316">
        <f>SUM(I17:I19)</f>
        <v>0</v>
      </c>
    </row>
    <row r="21" spans="1:9">
      <c r="A21" s="3284" t="s">
        <v>1109</v>
      </c>
      <c r="B21" s="3288"/>
      <c r="C21" s="3288"/>
      <c r="D21" s="3288"/>
      <c r="E21" s="3288"/>
      <c r="F21" s="3288"/>
      <c r="G21" s="3288"/>
      <c r="H21" s="1768">
        <v>0.1</v>
      </c>
      <c r="I21" s="1313">
        <f>ROUND(I10*H21,0)</f>
        <v>0</v>
      </c>
    </row>
    <row r="22" spans="1:9" ht="14.25">
      <c r="A22" s="3289" t="s">
        <v>1110</v>
      </c>
      <c r="B22" s="3290"/>
      <c r="C22" s="3291"/>
      <c r="D22" s="1320" t="s">
        <v>1111</v>
      </c>
      <c r="E22" s="1320" t="s">
        <v>1112</v>
      </c>
      <c r="F22" s="1321" t="s">
        <v>1113</v>
      </c>
      <c r="G22" s="1321" t="s">
        <v>1114</v>
      </c>
      <c r="H22" s="1314" t="s">
        <v>1115</v>
      </c>
      <c r="I22" s="1305" t="s">
        <v>1116</v>
      </c>
    </row>
    <row r="23" spans="1:9" ht="14.25" thickBot="1">
      <c r="A23" s="3292"/>
      <c r="B23" s="3293"/>
      <c r="C23" s="3294"/>
      <c r="D23" s="1322"/>
      <c r="E23" s="1322"/>
      <c r="F23" s="1322"/>
      <c r="G23" s="1323"/>
      <c r="H23" s="1324"/>
      <c r="I23" s="1325">
        <f>ROUND(E23*D23*F23*(1-G23)/10000,0)</f>
        <v>0</v>
      </c>
    </row>
    <row r="26" spans="1:9">
      <c r="A26" s="1326" t="s">
        <v>1117</v>
      </c>
      <c r="B26" s="1326"/>
      <c r="C26" s="1326"/>
      <c r="D26" s="1326"/>
      <c r="E26" s="3295">
        <f>C27-C30-C31-C32</f>
        <v>0</v>
      </c>
      <c r="F26" s="3295"/>
      <c r="G26" s="3295"/>
      <c r="H26" s="1740" t="s">
        <v>1340</v>
      </c>
    </row>
    <row r="27" spans="1:9">
      <c r="A27" s="1327">
        <v>1</v>
      </c>
      <c r="B27" s="1328" t="s">
        <v>1118</v>
      </c>
      <c r="C27" s="1328">
        <f>C28+C29</f>
        <v>0</v>
      </c>
      <c r="D27" s="1328"/>
      <c r="E27" s="3296"/>
      <c r="F27" s="3296"/>
      <c r="G27" s="3296"/>
    </row>
    <row r="28" spans="1:9">
      <c r="A28" s="1329" t="s">
        <v>1119</v>
      </c>
      <c r="B28" s="1328" t="s">
        <v>1120</v>
      </c>
      <c r="C28" s="1328"/>
      <c r="D28" s="1328"/>
      <c r="E28" s="3296"/>
      <c r="F28" s="3296"/>
      <c r="G28" s="329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87"/>
      <c r="F32" s="3287"/>
      <c r="G32" s="3287"/>
    </row>
    <row r="33" spans="1:7" hidden="1">
      <c r="A33" s="3297" t="s">
        <v>1129</v>
      </c>
      <c r="B33" s="3298"/>
      <c r="C33" s="3298"/>
      <c r="D33" s="3299"/>
      <c r="E33" s="3295"/>
      <c r="F33" s="3295"/>
      <c r="G33" s="3295"/>
    </row>
    <row r="34" spans="1:7" hidden="1">
      <c r="A34" s="1331">
        <v>1</v>
      </c>
      <c r="B34" s="1328" t="s">
        <v>1130</v>
      </c>
      <c r="C34" s="1328"/>
      <c r="D34" s="1328"/>
      <c r="E34" s="3296"/>
      <c r="F34" s="3296"/>
      <c r="G34" s="3296"/>
    </row>
    <row r="35" spans="1:7" hidden="1">
      <c r="A35" s="1331">
        <v>2</v>
      </c>
      <c r="B35" s="1328" t="s">
        <v>1131</v>
      </c>
      <c r="C35" s="1328"/>
      <c r="D35" s="1328"/>
      <c r="E35" s="3296"/>
      <c r="F35" s="3296"/>
      <c r="G35" s="3296"/>
    </row>
    <row r="36" spans="1:7" hidden="1">
      <c r="A36" s="1331">
        <v>3</v>
      </c>
      <c r="B36" s="1328" t="s">
        <v>1132</v>
      </c>
      <c r="C36" s="1328"/>
      <c r="D36" s="1328"/>
      <c r="E36" s="3296"/>
      <c r="F36" s="3296"/>
      <c r="G36" s="3296"/>
    </row>
    <row r="37" spans="1:7" hidden="1">
      <c r="A37" s="1331">
        <v>4</v>
      </c>
      <c r="B37" s="1328" t="s">
        <v>1133</v>
      </c>
      <c r="C37" s="1328"/>
      <c r="D37" s="1328"/>
      <c r="E37" s="3296"/>
      <c r="F37" s="3296"/>
      <c r="G37" s="3296"/>
    </row>
    <row r="38" spans="1:7" hidden="1">
      <c r="A38" s="3297" t="s">
        <v>1134</v>
      </c>
      <c r="B38" s="3298"/>
      <c r="C38" s="3298"/>
      <c r="D38" s="3299"/>
      <c r="E38" s="3295"/>
      <c r="F38" s="3295"/>
      <c r="G38" s="32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2534</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2535</v>
      </c>
      <c r="D3" s="399">
        <f>IF(D1="",'数据-汇总表'!E3,SUMIF('数据-汇总表'!$C19:$C33,D1,'数据-汇总表'!$E19:$E33))</f>
        <v>119963.53</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248" t="s">
        <v>2537</v>
      </c>
      <c r="D4" s="3249"/>
      <c r="E4" s="3250" t="s">
        <v>2538</v>
      </c>
      <c r="F4" s="3251"/>
      <c r="G4" s="3248" t="s">
        <v>2539</v>
      </c>
      <c r="H4" s="3249"/>
      <c r="I4" s="3248" t="s">
        <v>2540</v>
      </c>
      <c r="J4" s="3249"/>
      <c r="K4" s="2603" t="s">
        <v>2541</v>
      </c>
      <c r="L4" s="1133"/>
      <c r="M4" s="1134"/>
      <c r="N4" s="1134"/>
      <c r="O4" s="1134"/>
      <c r="P4" s="3252" t="s">
        <v>2542</v>
      </c>
      <c r="Q4" s="3253"/>
      <c r="R4" s="3235" t="s">
        <v>2538</v>
      </c>
      <c r="S4" s="3236"/>
      <c r="T4" s="3235" t="s">
        <v>2539</v>
      </c>
      <c r="U4" s="3236"/>
      <c r="V4" s="3260" t="s">
        <v>2540</v>
      </c>
      <c r="W4" s="3260"/>
      <c r="X4" s="1816"/>
      <c r="Y4" s="3235" t="s">
        <v>2542</v>
      </c>
      <c r="Z4" s="3236"/>
      <c r="AA4" s="3230" t="s">
        <v>2538</v>
      </c>
      <c r="AB4" s="3230" t="s">
        <v>2539</v>
      </c>
      <c r="AC4" s="3230" t="s">
        <v>2540</v>
      </c>
    </row>
    <row r="5" spans="1:29" ht="15">
      <c r="A5" s="404"/>
      <c r="B5" s="405"/>
      <c r="C5" s="3241" t="s">
        <v>2543</v>
      </c>
      <c r="D5" s="3242"/>
      <c r="E5" s="3239" t="s">
        <v>2544</v>
      </c>
      <c r="F5" s="3240"/>
      <c r="G5" s="3241" t="s">
        <v>2545</v>
      </c>
      <c r="H5" s="3242"/>
      <c r="I5" s="3241" t="s">
        <v>2546</v>
      </c>
      <c r="J5" s="3242"/>
      <c r="K5" s="2604"/>
      <c r="L5" s="1133"/>
      <c r="M5" s="1134"/>
      <c r="N5" s="1134"/>
      <c r="O5" s="1134"/>
      <c r="P5" s="3254"/>
      <c r="Q5" s="3255"/>
      <c r="R5" s="3237"/>
      <c r="S5" s="3238"/>
      <c r="T5" s="3237"/>
      <c r="U5" s="3238"/>
      <c r="V5" s="3260"/>
      <c r="W5" s="3260"/>
      <c r="X5" s="1816"/>
      <c r="Y5" s="3237"/>
      <c r="Z5" s="3238"/>
      <c r="AA5" s="3231"/>
      <c r="AB5" s="3231"/>
      <c r="AC5" s="3231"/>
    </row>
    <row r="6" spans="1:29" ht="15.75" thickBot="1">
      <c r="A6" s="406"/>
      <c r="B6" s="407"/>
      <c r="C6" s="3243" t="s">
        <v>2547</v>
      </c>
      <c r="D6" s="3244"/>
      <c r="E6" s="3245" t="s">
        <v>2547</v>
      </c>
      <c r="F6" s="3246"/>
      <c r="G6" s="3243" t="s">
        <v>2547</v>
      </c>
      <c r="H6" s="3244"/>
      <c r="I6" s="3243" t="s">
        <v>2547</v>
      </c>
      <c r="J6" s="3244"/>
      <c r="K6" s="2604" t="s">
        <v>2548</v>
      </c>
      <c r="L6" s="1133"/>
      <c r="M6" s="1134"/>
      <c r="N6" s="1134"/>
      <c r="O6" s="1134"/>
      <c r="P6" s="3256"/>
      <c r="Q6" s="3257"/>
      <c r="R6" s="3237"/>
      <c r="S6" s="3238"/>
      <c r="T6" s="3258"/>
      <c r="U6" s="3259"/>
      <c r="V6" s="3260"/>
      <c r="W6" s="3260"/>
      <c r="X6" s="1816"/>
      <c r="Y6" s="3258"/>
      <c r="Z6" s="3259"/>
      <c r="AA6" s="3232"/>
      <c r="AB6" s="3232"/>
      <c r="AC6" s="3232"/>
    </row>
    <row r="7" spans="1:29" s="117" customFormat="1" ht="15.75" thickBot="1">
      <c r="A7" s="408" t="s">
        <v>2549</v>
      </c>
      <c r="B7" s="409"/>
      <c r="C7" s="410">
        <f>'数据-取费表'!B2</f>
        <v>43235</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33" t="s">
        <v>2550</v>
      </c>
      <c r="Q7" s="3261"/>
      <c r="R7" s="770" t="s">
        <v>23</v>
      </c>
      <c r="S7" s="771">
        <f t="shared" ref="S7:S15" si="0">F7</f>
        <v>0</v>
      </c>
      <c r="T7" s="770" t="s">
        <v>23</v>
      </c>
      <c r="U7" s="771">
        <f t="shared" ref="U7:U15" si="1">H7</f>
        <v>0</v>
      </c>
      <c r="V7" s="770" t="s">
        <v>23</v>
      </c>
      <c r="W7" s="771">
        <f t="shared" ref="W7:W15" si="2">J7</f>
        <v>0</v>
      </c>
      <c r="X7" s="772"/>
      <c r="Y7" s="3233" t="s">
        <v>2550</v>
      </c>
      <c r="Z7" s="3234"/>
      <c r="AA7" s="773" t="e">
        <f>D7/F7</f>
        <v>#DIV/0!</v>
      </c>
      <c r="AB7" s="773" t="e">
        <f>D7/H7</f>
        <v>#DIV/0!</v>
      </c>
      <c r="AC7" s="773" t="e">
        <f>D7/J7</f>
        <v>#DIV/0!</v>
      </c>
    </row>
    <row r="8" spans="1:29" s="117" customFormat="1" ht="15.75" thickBot="1">
      <c r="A8" s="408" t="s">
        <v>2551</v>
      </c>
      <c r="B8" s="409"/>
      <c r="C8" s="414" t="s">
        <v>2552</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33" t="s">
        <v>2553</v>
      </c>
      <c r="Q8" s="3234"/>
      <c r="R8" s="770" t="s">
        <v>23</v>
      </c>
      <c r="S8" s="771">
        <f t="shared" si="0"/>
        <v>0</v>
      </c>
      <c r="T8" s="770" t="s">
        <v>23</v>
      </c>
      <c r="U8" s="771">
        <f t="shared" si="1"/>
        <v>0</v>
      </c>
      <c r="V8" s="770" t="s">
        <v>23</v>
      </c>
      <c r="W8" s="771">
        <f t="shared" si="2"/>
        <v>0</v>
      </c>
      <c r="X8" s="772"/>
      <c r="Y8" s="3233" t="s">
        <v>2553</v>
      </c>
      <c r="Z8" s="3234"/>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71" t="s">
        <v>2556</v>
      </c>
      <c r="Q9" s="1798" t="str">
        <f t="shared" ref="Q9:Q15" si="6">B9</f>
        <v>用途</v>
      </c>
      <c r="R9" s="770" t="s">
        <v>17</v>
      </c>
      <c r="S9" s="771">
        <f t="shared" si="0"/>
        <v>100</v>
      </c>
      <c r="T9" s="770" t="s">
        <v>17</v>
      </c>
      <c r="U9" s="771">
        <f t="shared" si="1"/>
        <v>100</v>
      </c>
      <c r="V9" s="770" t="s">
        <v>17</v>
      </c>
      <c r="W9" s="771">
        <f t="shared" si="2"/>
        <v>100</v>
      </c>
      <c r="X9" s="772"/>
      <c r="Y9" s="310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71"/>
      <c r="Q10" s="1798"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71"/>
      <c r="Q11" s="1798" t="str">
        <f t="shared" si="6"/>
        <v>容积率</v>
      </c>
      <c r="R11" s="770" t="s">
        <v>21</v>
      </c>
      <c r="S11" s="771" t="e">
        <f t="shared" si="0"/>
        <v>#N/A</v>
      </c>
      <c r="T11" s="770" t="s">
        <v>21</v>
      </c>
      <c r="U11" s="771" t="e">
        <f t="shared" si="1"/>
        <v>#N/A</v>
      </c>
      <c r="V11" s="770" t="s">
        <v>21</v>
      </c>
      <c r="W11" s="771" t="e">
        <f t="shared" si="2"/>
        <v>#N/A</v>
      </c>
      <c r="X11" s="772"/>
      <c r="Y11" s="3107"/>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71"/>
      <c r="Q12" s="1798">
        <f t="shared" si="6"/>
        <v>111</v>
      </c>
      <c r="R12" s="770" t="s">
        <v>21</v>
      </c>
      <c r="S12" s="771">
        <f t="shared" si="0"/>
        <v>100</v>
      </c>
      <c r="T12" s="770" t="s">
        <v>21</v>
      </c>
      <c r="U12" s="771">
        <f t="shared" si="1"/>
        <v>100</v>
      </c>
      <c r="V12" s="770" t="s">
        <v>21</v>
      </c>
      <c r="W12" s="771">
        <f t="shared" si="2"/>
        <v>100</v>
      </c>
      <c r="X12" s="772"/>
      <c r="Y12" s="3107"/>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71"/>
      <c r="Q13" s="1798">
        <f t="shared" si="6"/>
        <v>111</v>
      </c>
      <c r="R13" s="770" t="s">
        <v>21</v>
      </c>
      <c r="S13" s="771">
        <f t="shared" si="0"/>
        <v>100</v>
      </c>
      <c r="T13" s="770" t="s">
        <v>21</v>
      </c>
      <c r="U13" s="771">
        <f t="shared" si="1"/>
        <v>100</v>
      </c>
      <c r="V13" s="770" t="s">
        <v>21</v>
      </c>
      <c r="W13" s="771">
        <f t="shared" si="2"/>
        <v>100</v>
      </c>
      <c r="X13" s="772"/>
      <c r="Y13" s="3107"/>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71"/>
      <c r="Q14" s="1798">
        <f t="shared" si="6"/>
        <v>111</v>
      </c>
      <c r="R14" s="770" t="s">
        <v>21</v>
      </c>
      <c r="S14" s="771">
        <f t="shared" si="0"/>
        <v>100</v>
      </c>
      <c r="T14" s="770" t="s">
        <v>21</v>
      </c>
      <c r="U14" s="771">
        <f t="shared" si="1"/>
        <v>100</v>
      </c>
      <c r="V14" s="770" t="s">
        <v>21</v>
      </c>
      <c r="W14" s="771">
        <f t="shared" si="2"/>
        <v>100</v>
      </c>
      <c r="X14" s="772"/>
      <c r="Y14" s="3107"/>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306" t="s">
        <v>2561</v>
      </c>
      <c r="Q15" s="1813" t="str">
        <f t="shared" si="6"/>
        <v>居住社区成熟度</v>
      </c>
      <c r="R15" s="774" t="s">
        <v>21</v>
      </c>
      <c r="S15" s="775">
        <f t="shared" si="0"/>
        <v>100</v>
      </c>
      <c r="T15" s="774" t="s">
        <v>21</v>
      </c>
      <c r="U15" s="775">
        <f t="shared" si="1"/>
        <v>100</v>
      </c>
      <c r="V15" s="774" t="s">
        <v>21</v>
      </c>
      <c r="W15" s="775">
        <f t="shared" si="2"/>
        <v>100</v>
      </c>
      <c r="X15" s="1816"/>
      <c r="Y15" s="3262" t="s">
        <v>2561</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307"/>
      <c r="Q16" s="1813"/>
      <c r="R16" s="774"/>
      <c r="S16" s="775"/>
      <c r="T16" s="774"/>
      <c r="U16" s="775"/>
      <c r="V16" s="774"/>
      <c r="W16" s="775"/>
      <c r="X16" s="1816"/>
      <c r="Y16" s="3263"/>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307"/>
      <c r="Q17" s="1813" t="str">
        <f>B17</f>
        <v>交通便捷度</v>
      </c>
      <c r="R17" s="774" t="s">
        <v>21</v>
      </c>
      <c r="S17" s="775">
        <f>F17</f>
        <v>100</v>
      </c>
      <c r="T17" s="774" t="s">
        <v>21</v>
      </c>
      <c r="U17" s="775">
        <f>H17</f>
        <v>100</v>
      </c>
      <c r="V17" s="774" t="s">
        <v>21</v>
      </c>
      <c r="W17" s="775">
        <f>J17</f>
        <v>100</v>
      </c>
      <c r="X17" s="1816"/>
      <c r="Y17" s="3263"/>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307"/>
      <c r="Q18" s="1813"/>
      <c r="R18" s="774"/>
      <c r="S18" s="775"/>
      <c r="T18" s="774"/>
      <c r="U18" s="775"/>
      <c r="V18" s="774"/>
      <c r="W18" s="775"/>
      <c r="X18" s="1816"/>
      <c r="Y18" s="3263"/>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307"/>
      <c r="Q19" s="1813" t="str">
        <f>B19</f>
        <v>公共配套设施</v>
      </c>
      <c r="R19" s="774" t="s">
        <v>21</v>
      </c>
      <c r="S19" s="775">
        <f>F19</f>
        <v>100</v>
      </c>
      <c r="T19" s="774" t="s">
        <v>21</v>
      </c>
      <c r="U19" s="775">
        <f>H19</f>
        <v>100</v>
      </c>
      <c r="V19" s="774" t="s">
        <v>21</v>
      </c>
      <c r="W19" s="775">
        <f>J19</f>
        <v>100</v>
      </c>
      <c r="X19" s="1816"/>
      <c r="Y19" s="3263"/>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307"/>
      <c r="Q20" s="1813"/>
      <c r="R20" s="774"/>
      <c r="S20" s="775"/>
      <c r="T20" s="774"/>
      <c r="U20" s="775"/>
      <c r="V20" s="774"/>
      <c r="W20" s="775"/>
      <c r="X20" s="1816"/>
      <c r="Y20" s="3263"/>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307"/>
      <c r="Q21" s="1813" t="str">
        <f>B21</f>
        <v>基础设施水平</v>
      </c>
      <c r="R21" s="774" t="s">
        <v>17</v>
      </c>
      <c r="S21" s="775">
        <f>F21</f>
        <v>100</v>
      </c>
      <c r="T21" s="774" t="s">
        <v>17</v>
      </c>
      <c r="U21" s="775">
        <f>H21</f>
        <v>100</v>
      </c>
      <c r="V21" s="774" t="s">
        <v>17</v>
      </c>
      <c r="W21" s="775">
        <f>J21</f>
        <v>100</v>
      </c>
      <c r="X21" s="1816"/>
      <c r="Y21" s="326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307"/>
      <c r="Q22" s="1813"/>
      <c r="R22" s="774"/>
      <c r="S22" s="775"/>
      <c r="T22" s="774"/>
      <c r="U22" s="775"/>
      <c r="V22" s="774"/>
      <c r="W22" s="775"/>
      <c r="X22" s="1816"/>
      <c r="Y22" s="3263"/>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307"/>
      <c r="Q23" s="1813" t="str">
        <f>B23</f>
        <v>自然及人文环境</v>
      </c>
      <c r="R23" s="774" t="s">
        <v>21</v>
      </c>
      <c r="S23" s="775">
        <f>F23</f>
        <v>100</v>
      </c>
      <c r="T23" s="774" t="s">
        <v>21</v>
      </c>
      <c r="U23" s="775">
        <f>H23</f>
        <v>100</v>
      </c>
      <c r="V23" s="774" t="s">
        <v>21</v>
      </c>
      <c r="W23" s="775">
        <f>J23</f>
        <v>100</v>
      </c>
      <c r="X23" s="1816"/>
      <c r="Y23" s="3263"/>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307"/>
      <c r="Q24" s="1813"/>
      <c r="R24" s="774"/>
      <c r="S24" s="775"/>
      <c r="T24" s="774"/>
      <c r="U24" s="775"/>
      <c r="V24" s="774"/>
      <c r="W24" s="775"/>
      <c r="X24" s="1816"/>
      <c r="Y24" s="3263"/>
      <c r="Z24" s="1817"/>
      <c r="AA24" s="1814">
        <v>1</v>
      </c>
      <c r="AB24" s="1814">
        <v>1</v>
      </c>
      <c r="AC24" s="1814">
        <v>1</v>
      </c>
    </row>
    <row r="25" spans="1:29" ht="15">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30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63"/>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307"/>
      <c r="Q26" s="1813" t="str">
        <f t="shared" si="11"/>
        <v>朝向</v>
      </c>
      <c r="R26" s="774" t="s">
        <v>21</v>
      </c>
      <c r="S26" s="775">
        <f t="shared" si="12"/>
        <v>100</v>
      </c>
      <c r="T26" s="774" t="s">
        <v>21</v>
      </c>
      <c r="U26" s="775">
        <f t="shared" si="13"/>
        <v>100</v>
      </c>
      <c r="V26" s="774" t="s">
        <v>21</v>
      </c>
      <c r="W26" s="775">
        <f t="shared" si="14"/>
        <v>100</v>
      </c>
      <c r="X26" s="1816"/>
      <c r="Y26" s="326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307"/>
      <c r="Q27" s="1798">
        <f t="shared" si="11"/>
        <v>111</v>
      </c>
      <c r="R27" s="770" t="s">
        <v>21</v>
      </c>
      <c r="S27" s="771">
        <f t="shared" si="12"/>
        <v>100</v>
      </c>
      <c r="T27" s="770" t="s">
        <v>21</v>
      </c>
      <c r="U27" s="771">
        <f t="shared" si="13"/>
        <v>100</v>
      </c>
      <c r="V27" s="770" t="s">
        <v>21</v>
      </c>
      <c r="W27" s="771">
        <f t="shared" si="14"/>
        <v>100</v>
      </c>
      <c r="X27" s="772"/>
      <c r="Y27" s="326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307"/>
      <c r="Q28" s="1813">
        <f t="shared" si="11"/>
        <v>111</v>
      </c>
      <c r="R28" s="774" t="s">
        <v>21</v>
      </c>
      <c r="S28" s="775">
        <f t="shared" si="12"/>
        <v>100</v>
      </c>
      <c r="T28" s="774" t="s">
        <v>21</v>
      </c>
      <c r="U28" s="775">
        <f t="shared" si="13"/>
        <v>100</v>
      </c>
      <c r="V28" s="774" t="s">
        <v>21</v>
      </c>
      <c r="W28" s="775">
        <f t="shared" si="14"/>
        <v>100</v>
      </c>
      <c r="X28" s="1816"/>
      <c r="Y28" s="326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307"/>
      <c r="Q29" s="1813">
        <f t="shared" si="11"/>
        <v>111</v>
      </c>
      <c r="R29" s="774" t="s">
        <v>21</v>
      </c>
      <c r="S29" s="775">
        <f t="shared" si="12"/>
        <v>100</v>
      </c>
      <c r="T29" s="774" t="s">
        <v>21</v>
      </c>
      <c r="U29" s="775">
        <f t="shared" si="13"/>
        <v>100</v>
      </c>
      <c r="V29" s="774" t="s">
        <v>21</v>
      </c>
      <c r="W29" s="775">
        <f t="shared" si="14"/>
        <v>100</v>
      </c>
      <c r="X29" s="1816"/>
      <c r="Y29" s="326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307"/>
      <c r="Q30" s="1813">
        <f t="shared" si="11"/>
        <v>111</v>
      </c>
      <c r="R30" s="774" t="s">
        <v>21</v>
      </c>
      <c r="S30" s="775">
        <f t="shared" si="12"/>
        <v>100</v>
      </c>
      <c r="T30" s="774" t="s">
        <v>21</v>
      </c>
      <c r="U30" s="775">
        <f t="shared" si="13"/>
        <v>100</v>
      </c>
      <c r="V30" s="774" t="s">
        <v>21</v>
      </c>
      <c r="W30" s="775">
        <f t="shared" si="14"/>
        <v>100</v>
      </c>
      <c r="X30" s="1816"/>
      <c r="Y30" s="326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307"/>
      <c r="Q31" s="1813">
        <f t="shared" si="11"/>
        <v>111</v>
      </c>
      <c r="R31" s="774" t="s">
        <v>21</v>
      </c>
      <c r="S31" s="775">
        <f t="shared" si="12"/>
        <v>100</v>
      </c>
      <c r="T31" s="774" t="s">
        <v>21</v>
      </c>
      <c r="U31" s="775">
        <f t="shared" si="13"/>
        <v>100</v>
      </c>
      <c r="V31" s="774" t="s">
        <v>21</v>
      </c>
      <c r="W31" s="775">
        <f t="shared" si="14"/>
        <v>100</v>
      </c>
      <c r="X31" s="1816"/>
      <c r="Y31" s="3263"/>
      <c r="Z31" s="1817">
        <f t="shared" si="18"/>
        <v>111</v>
      </c>
      <c r="AA31" s="1814">
        <f t="shared" si="15"/>
        <v>1</v>
      </c>
      <c r="AB31" s="1814">
        <f t="shared" si="16"/>
        <v>1</v>
      </c>
      <c r="AC31" s="1814">
        <f t="shared" si="17"/>
        <v>1</v>
      </c>
    </row>
    <row r="32" spans="1:29" ht="15">
      <c r="A32" s="440" t="s">
        <v>2564</v>
      </c>
      <c r="B32" s="71" t="s">
        <v>2565</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302" t="s">
        <v>2566</v>
      </c>
      <c r="Q32" s="1813" t="str">
        <f t="shared" si="11"/>
        <v>建筑类型</v>
      </c>
      <c r="R32" s="774" t="s">
        <v>21</v>
      </c>
      <c r="S32" s="775">
        <f t="shared" si="12"/>
        <v>100</v>
      </c>
      <c r="T32" s="774" t="s">
        <v>21</v>
      </c>
      <c r="U32" s="775">
        <f t="shared" si="13"/>
        <v>100</v>
      </c>
      <c r="V32" s="774" t="s">
        <v>21</v>
      </c>
      <c r="W32" s="775">
        <f t="shared" si="14"/>
        <v>100</v>
      </c>
      <c r="X32" s="1816"/>
      <c r="Y32" s="3265"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303"/>
      <c r="Q33" s="776" t="str">
        <f t="shared" si="11"/>
        <v>项目建筑规模</v>
      </c>
      <c r="R33" s="777" t="s">
        <v>21</v>
      </c>
      <c r="S33" s="778" t="e">
        <f t="shared" si="12"/>
        <v>#N/A</v>
      </c>
      <c r="T33" s="777" t="s">
        <v>21</v>
      </c>
      <c r="U33" s="778" t="e">
        <f t="shared" si="13"/>
        <v>#N/A</v>
      </c>
      <c r="V33" s="777" t="s">
        <v>21</v>
      </c>
      <c r="W33" s="778" t="e">
        <f t="shared" si="14"/>
        <v>#N/A</v>
      </c>
      <c r="X33" s="779"/>
      <c r="Y33" s="3265"/>
      <c r="Z33" s="780" t="str">
        <f t="shared" si="18"/>
        <v>项目建筑规模</v>
      </c>
      <c r="AA33" s="1814" t="e">
        <f t="shared" si="15"/>
        <v>#N/A</v>
      </c>
      <c r="AB33" s="1814" t="e">
        <f t="shared" si="16"/>
        <v>#N/A</v>
      </c>
      <c r="AC33" s="1814" t="e">
        <f t="shared" si="17"/>
        <v>#N/A</v>
      </c>
    </row>
    <row r="34" spans="1:29" ht="15">
      <c r="A34" s="472"/>
      <c r="B34" s="422" t="s">
        <v>2568</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303"/>
      <c r="Q34" s="1813" t="str">
        <f t="shared" si="11"/>
        <v>建筑结构</v>
      </c>
      <c r="R34" s="774" t="s">
        <v>21</v>
      </c>
      <c r="S34" s="775">
        <f t="shared" si="12"/>
        <v>100</v>
      </c>
      <c r="T34" s="774" t="s">
        <v>21</v>
      </c>
      <c r="U34" s="775">
        <f t="shared" si="13"/>
        <v>100</v>
      </c>
      <c r="V34" s="774" t="s">
        <v>21</v>
      </c>
      <c r="W34" s="775">
        <f t="shared" si="14"/>
        <v>100</v>
      </c>
      <c r="X34" s="1816"/>
      <c r="Y34" s="3265"/>
      <c r="Z34" s="1817" t="str">
        <f t="shared" si="18"/>
        <v>建筑结构</v>
      </c>
      <c r="AA34" s="1814">
        <f t="shared" si="15"/>
        <v>1</v>
      </c>
      <c r="AB34" s="1814">
        <f t="shared" si="16"/>
        <v>1</v>
      </c>
      <c r="AC34" s="1814">
        <f t="shared" si="17"/>
        <v>1</v>
      </c>
    </row>
    <row r="35" spans="1:29" ht="15">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303"/>
      <c r="Q35" s="1813" t="str">
        <f t="shared" si="11"/>
        <v>建筑品质</v>
      </c>
      <c r="R35" s="774" t="s">
        <v>21</v>
      </c>
      <c r="S35" s="775">
        <f t="shared" si="12"/>
        <v>100</v>
      </c>
      <c r="T35" s="774" t="s">
        <v>21</v>
      </c>
      <c r="U35" s="775">
        <f t="shared" si="13"/>
        <v>100</v>
      </c>
      <c r="V35" s="774" t="s">
        <v>21</v>
      </c>
      <c r="W35" s="775">
        <f t="shared" si="14"/>
        <v>100</v>
      </c>
      <c r="X35" s="1816"/>
      <c r="Y35" s="3265"/>
      <c r="Z35" s="1817" t="str">
        <f t="shared" si="18"/>
        <v>建筑品质</v>
      </c>
      <c r="AA35" s="1814">
        <f t="shared" si="15"/>
        <v>1</v>
      </c>
      <c r="AB35" s="1814">
        <f t="shared" si="16"/>
        <v>1</v>
      </c>
      <c r="AC35" s="1814">
        <f t="shared" si="17"/>
        <v>1</v>
      </c>
    </row>
    <row r="36" spans="1:29" ht="15">
      <c r="A36" s="472"/>
      <c r="B36" s="422" t="s">
        <v>2570</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303"/>
      <c r="Q36" s="1813" t="str">
        <f t="shared" si="11"/>
        <v>公共部分装修</v>
      </c>
      <c r="R36" s="774" t="s">
        <v>21</v>
      </c>
      <c r="S36" s="775">
        <f t="shared" si="12"/>
        <v>100</v>
      </c>
      <c r="T36" s="774" t="s">
        <v>21</v>
      </c>
      <c r="U36" s="775">
        <f t="shared" si="13"/>
        <v>100</v>
      </c>
      <c r="V36" s="774" t="s">
        <v>21</v>
      </c>
      <c r="W36" s="775">
        <f t="shared" si="14"/>
        <v>100</v>
      </c>
      <c r="X36" s="1816"/>
      <c r="Y36" s="3265"/>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303"/>
      <c r="Q37" s="1798" t="str">
        <f t="shared" si="11"/>
        <v>成新度</v>
      </c>
      <c r="R37" s="770" t="s">
        <v>21</v>
      </c>
      <c r="S37" s="771" t="e">
        <f t="shared" si="12"/>
        <v>#N/A</v>
      </c>
      <c r="T37" s="770" t="s">
        <v>21</v>
      </c>
      <c r="U37" s="771" t="e">
        <f t="shared" si="13"/>
        <v>#N/A</v>
      </c>
      <c r="V37" s="770" t="s">
        <v>21</v>
      </c>
      <c r="W37" s="771" t="e">
        <f t="shared" si="14"/>
        <v>#N/A</v>
      </c>
      <c r="X37" s="772"/>
      <c r="Y37" s="3265"/>
      <c r="Z37" s="55" t="str">
        <f t="shared" si="18"/>
        <v>成新度</v>
      </c>
      <c r="AA37" s="773" t="e">
        <f t="shared" si="15"/>
        <v>#N/A</v>
      </c>
      <c r="AB37" s="773" t="e">
        <f t="shared" si="16"/>
        <v>#N/A</v>
      </c>
      <c r="AC37" s="773" t="e">
        <f t="shared" si="17"/>
        <v>#N/A</v>
      </c>
    </row>
    <row r="38" spans="1:29" ht="15">
      <c r="A38" s="472"/>
      <c r="B38" s="422" t="s">
        <v>2572</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303" t="s">
        <v>2566</v>
      </c>
      <c r="Q38" s="1813" t="str">
        <f t="shared" si="11"/>
        <v>物业管理</v>
      </c>
      <c r="R38" s="774" t="s">
        <v>21</v>
      </c>
      <c r="S38" s="775">
        <f t="shared" si="12"/>
        <v>100</v>
      </c>
      <c r="T38" s="774" t="s">
        <v>21</v>
      </c>
      <c r="U38" s="775">
        <f t="shared" si="13"/>
        <v>100</v>
      </c>
      <c r="V38" s="774" t="s">
        <v>21</v>
      </c>
      <c r="W38" s="775">
        <f t="shared" si="14"/>
        <v>100</v>
      </c>
      <c r="X38" s="1816"/>
      <c r="Y38" s="3265" t="s">
        <v>2566</v>
      </c>
      <c r="Z38" s="1817" t="str">
        <f t="shared" si="18"/>
        <v>物业管理</v>
      </c>
      <c r="AA38" s="1814">
        <f t="shared" si="15"/>
        <v>1</v>
      </c>
      <c r="AB38" s="1814">
        <f t="shared" si="16"/>
        <v>1</v>
      </c>
      <c r="AC38" s="1814">
        <f t="shared" si="17"/>
        <v>1</v>
      </c>
    </row>
    <row r="39" spans="1:29" ht="15">
      <c r="A39" s="472"/>
      <c r="B39" s="422" t="s">
        <v>2573</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303"/>
      <c r="Q39" s="1813" t="str">
        <f t="shared" si="11"/>
        <v>市政基础设施</v>
      </c>
      <c r="R39" s="774" t="s">
        <v>21</v>
      </c>
      <c r="S39" s="775">
        <f t="shared" si="12"/>
        <v>100</v>
      </c>
      <c r="T39" s="774" t="s">
        <v>21</v>
      </c>
      <c r="U39" s="775">
        <f t="shared" si="13"/>
        <v>100</v>
      </c>
      <c r="V39" s="774" t="s">
        <v>21</v>
      </c>
      <c r="W39" s="775">
        <f t="shared" si="14"/>
        <v>100</v>
      </c>
      <c r="X39" s="1816"/>
      <c r="Y39" s="3265"/>
      <c r="Z39" s="1817" t="str">
        <f t="shared" si="18"/>
        <v>市政基础设施</v>
      </c>
      <c r="AA39" s="1814">
        <f t="shared" si="15"/>
        <v>1</v>
      </c>
      <c r="AB39" s="1814">
        <f t="shared" si="16"/>
        <v>1</v>
      </c>
      <c r="AC39" s="1814">
        <f t="shared" si="17"/>
        <v>1</v>
      </c>
    </row>
    <row r="40" spans="1:29" ht="15">
      <c r="A40" s="472"/>
      <c r="B40" s="422" t="s">
        <v>2574</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303"/>
      <c r="Q40" s="1813" t="str">
        <f t="shared" si="11"/>
        <v>房型</v>
      </c>
      <c r="R40" s="774" t="s">
        <v>21</v>
      </c>
      <c r="S40" s="775">
        <f t="shared" si="12"/>
        <v>100</v>
      </c>
      <c r="T40" s="774" t="s">
        <v>21</v>
      </c>
      <c r="U40" s="775">
        <f t="shared" si="13"/>
        <v>100</v>
      </c>
      <c r="V40" s="774" t="s">
        <v>21</v>
      </c>
      <c r="W40" s="775">
        <f t="shared" si="14"/>
        <v>100</v>
      </c>
      <c r="X40" s="1816"/>
      <c r="Y40" s="3265"/>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303"/>
      <c r="Q41" s="776" t="str">
        <f t="shared" si="11"/>
        <v>单套/主力户型建筑面积</v>
      </c>
      <c r="R41" s="777" t="s">
        <v>21</v>
      </c>
      <c r="S41" s="778">
        <f t="shared" si="12"/>
        <v>100</v>
      </c>
      <c r="T41" s="777" t="s">
        <v>21</v>
      </c>
      <c r="U41" s="778">
        <f t="shared" si="13"/>
        <v>100</v>
      </c>
      <c r="V41" s="777" t="s">
        <v>21</v>
      </c>
      <c r="W41" s="778">
        <f t="shared" si="14"/>
        <v>100</v>
      </c>
      <c r="X41" s="779"/>
      <c r="Y41" s="3265"/>
      <c r="Z41" s="780" t="str">
        <f t="shared" si="18"/>
        <v>单套/主力户型建筑面积</v>
      </c>
      <c r="AA41" s="1814">
        <f t="shared" si="15"/>
        <v>1</v>
      </c>
      <c r="AB41" s="1814">
        <f t="shared" si="16"/>
        <v>1</v>
      </c>
      <c r="AC41" s="1814">
        <f t="shared" si="17"/>
        <v>1</v>
      </c>
    </row>
    <row r="42" spans="1:29" ht="15">
      <c r="A42" s="472"/>
      <c r="B42" s="422" t="s">
        <v>2576</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303"/>
      <c r="Q42" s="1813" t="str">
        <f t="shared" si="11"/>
        <v>内部装修</v>
      </c>
      <c r="R42" s="774" t="s">
        <v>21</v>
      </c>
      <c r="S42" s="775">
        <f t="shared" si="12"/>
        <v>100</v>
      </c>
      <c r="T42" s="774" t="s">
        <v>21</v>
      </c>
      <c r="U42" s="775">
        <f t="shared" si="13"/>
        <v>100</v>
      </c>
      <c r="V42" s="774" t="s">
        <v>21</v>
      </c>
      <c r="W42" s="775">
        <f t="shared" si="14"/>
        <v>100</v>
      </c>
      <c r="X42" s="1816"/>
      <c r="Y42" s="3265"/>
      <c r="Z42" s="1817" t="str">
        <f t="shared" si="18"/>
        <v>内部装修</v>
      </c>
      <c r="AA42" s="1814">
        <f t="shared" si="15"/>
        <v>1</v>
      </c>
      <c r="AB42" s="1814">
        <f t="shared" si="16"/>
        <v>1</v>
      </c>
      <c r="AC42" s="1814">
        <f t="shared" si="17"/>
        <v>1</v>
      </c>
    </row>
    <row r="43" spans="1:29" ht="15">
      <c r="A43" s="472"/>
      <c r="B43" s="422" t="s">
        <v>2577</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303"/>
      <c r="Q43" s="1813" t="str">
        <f t="shared" si="11"/>
        <v>内部装修维护情况</v>
      </c>
      <c r="R43" s="774" t="s">
        <v>21</v>
      </c>
      <c r="S43" s="775">
        <f t="shared" si="12"/>
        <v>100</v>
      </c>
      <c r="T43" s="774" t="s">
        <v>21</v>
      </c>
      <c r="U43" s="775">
        <f t="shared" si="13"/>
        <v>100</v>
      </c>
      <c r="V43" s="774" t="s">
        <v>21</v>
      </c>
      <c r="W43" s="775">
        <f t="shared" si="14"/>
        <v>100</v>
      </c>
      <c r="X43" s="1816"/>
      <c r="Y43" s="326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303"/>
      <c r="Q44" s="1798">
        <f t="shared" si="11"/>
        <v>111</v>
      </c>
      <c r="R44" s="770" t="s">
        <v>21</v>
      </c>
      <c r="S44" s="771">
        <f t="shared" si="12"/>
        <v>100</v>
      </c>
      <c r="T44" s="770" t="s">
        <v>21</v>
      </c>
      <c r="U44" s="771">
        <f t="shared" si="13"/>
        <v>100</v>
      </c>
      <c r="V44" s="770" t="s">
        <v>21</v>
      </c>
      <c r="W44" s="771">
        <f t="shared" si="14"/>
        <v>100</v>
      </c>
      <c r="X44" s="772"/>
      <c r="Y44" s="326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303"/>
      <c r="Q45" s="1813">
        <f t="shared" si="11"/>
        <v>111</v>
      </c>
      <c r="R45" s="774" t="s">
        <v>21</v>
      </c>
      <c r="S45" s="775">
        <f t="shared" si="12"/>
        <v>100</v>
      </c>
      <c r="T45" s="774" t="s">
        <v>21</v>
      </c>
      <c r="U45" s="775">
        <f t="shared" si="13"/>
        <v>100</v>
      </c>
      <c r="V45" s="774" t="s">
        <v>21</v>
      </c>
      <c r="W45" s="775">
        <f t="shared" si="14"/>
        <v>100</v>
      </c>
      <c r="X45" s="1816"/>
      <c r="Y45" s="3265"/>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304"/>
      <c r="Q46" s="1813">
        <f t="shared" si="11"/>
        <v>111</v>
      </c>
      <c r="R46" s="774" t="s">
        <v>20</v>
      </c>
      <c r="S46" s="775">
        <f t="shared" si="12"/>
        <v>100</v>
      </c>
      <c r="T46" s="774" t="s">
        <v>20</v>
      </c>
      <c r="U46" s="775">
        <f t="shared" si="13"/>
        <v>100</v>
      </c>
      <c r="V46" s="774" t="s">
        <v>20</v>
      </c>
      <c r="W46" s="775">
        <f t="shared" si="14"/>
        <v>100</v>
      </c>
      <c r="X46" s="1816"/>
      <c r="Y46" s="3305"/>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8"/>
      <c r="L47" s="1146"/>
      <c r="M47" s="1147"/>
      <c r="N47" s="1134"/>
      <c r="O47" s="1147"/>
      <c r="P47" s="3247" t="str">
        <f>A47</f>
        <v>成交单价（元/平方米）</v>
      </c>
      <c r="Q47" s="3247"/>
      <c r="R47" s="3301">
        <f>E47</f>
        <v>0</v>
      </c>
      <c r="S47" s="3301"/>
      <c r="T47" s="3301">
        <f>G47</f>
        <v>0</v>
      </c>
      <c r="U47" s="3301"/>
      <c r="V47" s="3301">
        <f>I47</f>
        <v>0</v>
      </c>
      <c r="W47" s="3301"/>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9"/>
      <c r="L48" s="1146"/>
      <c r="M48" s="1147"/>
      <c r="N48" s="1147"/>
      <c r="O48" s="1147"/>
      <c r="P48" s="3247" t="str">
        <f>A48</f>
        <v>比较价值（元/平方米）</v>
      </c>
      <c r="Q48" s="3247"/>
      <c r="R48" s="3301" t="e">
        <f>IF(F1="售价",ROUND(PRODUCT(R47,AA7:AA46),0),ROUND(PRODUCT(R47,AA7:AA46),1))</f>
        <v>#DIV/0!</v>
      </c>
      <c r="S48" s="3301"/>
      <c r="T48" s="3301" t="e">
        <f>IF(F1="售价",ROUND(PRODUCT(T47,AB7:AB46),0),ROUND(PRODUCT(T47,AB7:AB46),1))</f>
        <v>#DIV/0!</v>
      </c>
      <c r="U48" s="3301"/>
      <c r="V48" s="3301" t="e">
        <f>IF(F1="售价",ROUND(PRODUCT(V47,AC7:AC46),0),ROUND(PRODUCT(V47,AC7:AC46),1))</f>
        <v>#DIV/0!</v>
      </c>
      <c r="W48" s="3301"/>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30"/>
      <c r="L49" s="1146"/>
      <c r="M49" s="1147"/>
      <c r="N49" s="1147"/>
      <c r="O49" s="1147"/>
      <c r="P49" s="3267" t="str">
        <f>A49</f>
        <v>估价对象XX用房的比较价值（楼面单价，元/平方米）</v>
      </c>
      <c r="Q49" s="3268"/>
      <c r="R49" s="3300" t="e">
        <f>IF(F1="售价",ROUND(AVERAGE(R48:V48),0),ROUND(AVERAGE(R48:V48),1))</f>
        <v>#DIV/0!</v>
      </c>
      <c r="S49" s="3300"/>
      <c r="T49" s="3300"/>
      <c r="U49" s="3300"/>
      <c r="V49" s="3300"/>
      <c r="W49" s="33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3"/>
      <c r="Q57" s="504"/>
    </row>
    <row r="58" spans="1:29" s="508" customFormat="1" ht="15">
      <c r="A58" s="505" t="s">
        <v>2585</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2587</v>
      </c>
      <c r="B61" s="510"/>
      <c r="C61" s="522" t="s">
        <v>2588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2612</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2564</v>
      </c>
      <c r="B100" s="528" t="s">
        <v>2613</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2616</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2617</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2620</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7">
        <v>6</v>
      </c>
      <c r="C139" s="1088">
        <v>96</v>
      </c>
      <c r="D139" s="2655" t="s">
        <v>2632</v>
      </c>
      <c r="E139" s="1089">
        <v>100</v>
      </c>
      <c r="F139" s="1090">
        <v>102.5</v>
      </c>
      <c r="G139" s="2655" t="s">
        <v>2632</v>
      </c>
      <c r="H139" s="1091">
        <v>105</v>
      </c>
      <c r="I139" s="2656" t="s">
        <v>2633</v>
      </c>
      <c r="J139" s="1088">
        <v>20</v>
      </c>
      <c r="K139" s="1092">
        <f>C145/(J139-2)</f>
        <v>4.0555555555555553E-3</v>
      </c>
    </row>
    <row r="140" spans="1:17" ht="15">
      <c r="B140" s="1093">
        <v>5</v>
      </c>
      <c r="C140" s="1094">
        <v>100</v>
      </c>
      <c r="D140" s="1094"/>
      <c r="E140" s="1095"/>
      <c r="F140" s="1096">
        <v>102</v>
      </c>
      <c r="G140" s="1094"/>
      <c r="H140" s="1097"/>
      <c r="I140" s="2657" t="s">
        <v>2634</v>
      </c>
      <c r="J140" s="315">
        <f>ROUNDUP((J139-1)/2,0)</f>
        <v>10</v>
      </c>
      <c r="K140" s="1098">
        <v>100</v>
      </c>
    </row>
    <row r="141" spans="1:17" ht="15">
      <c r="B141" s="1093">
        <v>4</v>
      </c>
      <c r="C141" s="1094">
        <v>102</v>
      </c>
      <c r="D141" s="1094"/>
      <c r="E141" s="1095"/>
      <c r="F141" s="1096">
        <v>101.5</v>
      </c>
      <c r="G141" s="1094"/>
      <c r="H141" s="1097"/>
      <c r="I141" s="2657" t="s">
        <v>2635</v>
      </c>
      <c r="J141" s="315">
        <v>1</v>
      </c>
      <c r="K141" s="1099">
        <f>ROUND(100+(J141-J140)*K139*100,1)</f>
        <v>96.4</v>
      </c>
    </row>
    <row r="142" spans="1:17" ht="15">
      <c r="B142" s="1093">
        <v>3</v>
      </c>
      <c r="C142" s="1094">
        <v>103</v>
      </c>
      <c r="D142" s="1094"/>
      <c r="E142" s="1095"/>
      <c r="F142" s="1096">
        <v>101</v>
      </c>
      <c r="G142" s="1094"/>
      <c r="H142" s="1097"/>
      <c r="I142" s="2657" t="s">
        <v>2636</v>
      </c>
      <c r="J142" s="315">
        <f>J139</f>
        <v>20</v>
      </c>
      <c r="K142" s="1100">
        <v>95</v>
      </c>
    </row>
    <row r="143" spans="1:17" ht="15">
      <c r="B143" s="1093">
        <v>2</v>
      </c>
      <c r="C143" s="1094">
        <v>100</v>
      </c>
      <c r="D143" s="1094"/>
      <c r="E143" s="1095"/>
      <c r="F143" s="1096">
        <v>100.5</v>
      </c>
      <c r="G143" s="1094"/>
      <c r="H143" s="1097"/>
      <c r="I143" s="2657" t="s">
        <v>2637</v>
      </c>
      <c r="J143" s="1094">
        <v>15</v>
      </c>
      <c r="K143" s="1099">
        <f>ROUND(100+(J143-J140)*K139*100,1)</f>
        <v>102</v>
      </c>
    </row>
    <row r="144" spans="1:17" ht="15">
      <c r="B144" s="1093">
        <v>1</v>
      </c>
      <c r="C144" s="1094">
        <v>98</v>
      </c>
      <c r="D144" s="2658" t="s">
        <v>2638</v>
      </c>
      <c r="E144" s="1095">
        <v>102</v>
      </c>
      <c r="F144" s="1101">
        <v>100</v>
      </c>
      <c r="G144" s="2658" t="s">
        <v>2638</v>
      </c>
      <c r="H144" s="1097">
        <v>105</v>
      </c>
      <c r="I144" s="2657" t="s">
        <v>2637</v>
      </c>
      <c r="J144" s="1094">
        <v>18</v>
      </c>
      <c r="K144" s="1099">
        <f>ROUND(100+(J144-J140)*K139*100,1)</f>
        <v>103.2</v>
      </c>
    </row>
    <row r="145" spans="2:11" ht="15.75" thickBot="1">
      <c r="B145" s="2659" t="s">
        <v>2639</v>
      </c>
      <c r="C145" s="1102">
        <f>ROUND(MAX(C139:C144)/MIN(C139:C144)-1,3)</f>
        <v>7.2999999999999995E-2</v>
      </c>
      <c r="D145" s="1103"/>
      <c r="E145" s="1103"/>
      <c r="F145" s="2660" t="s">
        <v>2640</v>
      </c>
      <c r="G145" s="2661"/>
      <c r="H145" s="2662"/>
      <c r="I145" s="2663" t="s">
        <v>2637</v>
      </c>
      <c r="J145" s="1104">
        <v>8</v>
      </c>
      <c r="K145" s="1105">
        <f>ROUND(100+(J145-J140)*K139*100,1)</f>
        <v>99.2</v>
      </c>
    </row>
    <row r="147" spans="2:11">
      <c r="B147" s="2644" t="s">
        <v>2641</v>
      </c>
    </row>
    <row r="148" spans="2:11">
      <c r="B148" s="2644"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H3" sqref="H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t="s">
        <v>1377</v>
      </c>
      <c r="E1" s="2664"/>
      <c r="F1" s="2591" t="s">
        <v>3531</v>
      </c>
      <c r="G1" s="1634" t="s">
        <v>2644</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2328</v>
      </c>
      <c r="B2" s="1421" t="e">
        <f>IF(C2="——",ROUND(C49*D3/10000,0),ROUND(C49*D3/10000,0)-D2)</f>
        <v>#DIV/0!</v>
      </c>
      <c r="C2" s="2593" t="s">
        <v>70</v>
      </c>
      <c r="D2" s="1368" t="e">
        <f ca="1">SUMIF(INDIRECT("'"&amp;F2&amp;"'"&amp;"!A:A"),"承租人权益价值",INDIRECT("'"&amp;F2&amp;"'"&amp;"!c:c"))</f>
        <v>#REF!</v>
      </c>
      <c r="E2" s="2594" t="s">
        <v>2329</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2330</v>
      </c>
      <c r="B3" s="609" t="e">
        <f>IF(C2="——",C49,ROUND(B2*10000/D3,0))</f>
        <v>#DIV/0!</v>
      </c>
      <c r="C3" s="400" t="s">
        <v>2645</v>
      </c>
      <c r="D3" s="399">
        <f>IF(D1="",'数据-汇总表'!E3,SUMIF('数据-汇总表'!$C19:$C33,D1,'数据-汇总表'!$E19:$E33))</f>
        <v>119963.53</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2646</v>
      </c>
      <c r="B4" s="402"/>
      <c r="C4" s="3248" t="s">
        <v>2647</v>
      </c>
      <c r="D4" s="3249"/>
      <c r="E4" s="3250" t="s">
        <v>2648</v>
      </c>
      <c r="F4" s="3251"/>
      <c r="G4" s="3248" t="s">
        <v>2649</v>
      </c>
      <c r="H4" s="3249"/>
      <c r="I4" s="3248" t="s">
        <v>2650</v>
      </c>
      <c r="J4" s="3249"/>
      <c r="K4" s="610" t="s">
        <v>2651</v>
      </c>
      <c r="L4" s="1133"/>
      <c r="M4" s="1134"/>
      <c r="N4" s="1134"/>
      <c r="O4" s="1134"/>
      <c r="P4" s="3252" t="s">
        <v>2652</v>
      </c>
      <c r="Q4" s="3253"/>
      <c r="R4" s="3235" t="s">
        <v>2648</v>
      </c>
      <c r="S4" s="3236"/>
      <c r="T4" s="3235" t="s">
        <v>2649</v>
      </c>
      <c r="U4" s="3236"/>
      <c r="V4" s="3260" t="s">
        <v>2650</v>
      </c>
      <c r="W4" s="3260"/>
      <c r="X4" s="1816"/>
      <c r="Y4" s="3235" t="s">
        <v>2652</v>
      </c>
      <c r="Z4" s="3236"/>
      <c r="AA4" s="3230" t="s">
        <v>2648</v>
      </c>
      <c r="AB4" s="3260" t="s">
        <v>2649</v>
      </c>
      <c r="AC4" s="3230" t="s">
        <v>2650</v>
      </c>
    </row>
    <row r="5" spans="1:29" ht="15">
      <c r="A5" s="404"/>
      <c r="B5" s="405"/>
      <c r="C5" s="3241" t="s">
        <v>2543</v>
      </c>
      <c r="D5" s="3242"/>
      <c r="E5" s="3239" t="s">
        <v>2544</v>
      </c>
      <c r="F5" s="3240"/>
      <c r="G5" s="3241" t="s">
        <v>2545</v>
      </c>
      <c r="H5" s="3242"/>
      <c r="I5" s="3241" t="s">
        <v>2546</v>
      </c>
      <c r="J5" s="3242"/>
      <c r="K5" s="610"/>
      <c r="L5" s="1133"/>
      <c r="M5" s="1134"/>
      <c r="N5" s="1134"/>
      <c r="O5" s="1134"/>
      <c r="P5" s="3254"/>
      <c r="Q5" s="3255"/>
      <c r="R5" s="3237"/>
      <c r="S5" s="3238"/>
      <c r="T5" s="3237"/>
      <c r="U5" s="3238"/>
      <c r="V5" s="3260"/>
      <c r="W5" s="3260"/>
      <c r="X5" s="1816"/>
      <c r="Y5" s="3237"/>
      <c r="Z5" s="3238"/>
      <c r="AA5" s="3231"/>
      <c r="AB5" s="3260"/>
      <c r="AC5" s="3231"/>
    </row>
    <row r="6" spans="1:29" ht="15.75" thickBot="1">
      <c r="A6" s="406"/>
      <c r="B6" s="407"/>
      <c r="C6" s="3243" t="s">
        <v>2547</v>
      </c>
      <c r="D6" s="3244"/>
      <c r="E6" s="3245" t="s">
        <v>2547</v>
      </c>
      <c r="F6" s="3246"/>
      <c r="G6" s="3243" t="s">
        <v>2547</v>
      </c>
      <c r="H6" s="3244"/>
      <c r="I6" s="3243" t="s">
        <v>2547</v>
      </c>
      <c r="J6" s="3244"/>
      <c r="K6" s="610" t="s">
        <v>2548</v>
      </c>
      <c r="L6" s="1133"/>
      <c r="M6" s="1134"/>
      <c r="N6" s="1134"/>
      <c r="O6" s="1134"/>
      <c r="P6" s="3256"/>
      <c r="Q6" s="3257"/>
      <c r="R6" s="3237"/>
      <c r="S6" s="3238"/>
      <c r="T6" s="3258"/>
      <c r="U6" s="3259"/>
      <c r="V6" s="3260"/>
      <c r="W6" s="3260"/>
      <c r="X6" s="1816"/>
      <c r="Y6" s="3258"/>
      <c r="Z6" s="3259"/>
      <c r="AA6" s="3232"/>
      <c r="AB6" s="3260"/>
      <c r="AC6" s="3232"/>
    </row>
    <row r="7" spans="1:29" s="117" customFormat="1" ht="15.75" thickBot="1">
      <c r="A7" s="408" t="s">
        <v>2549</v>
      </c>
      <c r="B7" s="409"/>
      <c r="C7" s="410">
        <f>'数据-取费表'!B2</f>
        <v>43235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3" t="s">
        <v>2550</v>
      </c>
      <c r="Q7" s="3261"/>
      <c r="R7" s="770" t="s">
        <v>17</v>
      </c>
      <c r="S7" s="771">
        <f t="shared" ref="S7:S15" si="0">F7</f>
        <v>0</v>
      </c>
      <c r="T7" s="770" t="s">
        <v>17</v>
      </c>
      <c r="U7" s="771">
        <f t="shared" ref="U7:U15" si="1">H7</f>
        <v>0</v>
      </c>
      <c r="V7" s="770" t="s">
        <v>17</v>
      </c>
      <c r="W7" s="771">
        <f t="shared" ref="W7:W15" si="2">J7</f>
        <v>0</v>
      </c>
      <c r="X7" s="772"/>
      <c r="Y7" s="3233" t="s">
        <v>2550</v>
      </c>
      <c r="Z7" s="3234"/>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3" t="s">
        <v>2553</v>
      </c>
      <c r="Q8" s="3234"/>
      <c r="R8" s="770" t="s">
        <v>17</v>
      </c>
      <c r="S8" s="771">
        <f t="shared" si="0"/>
        <v>0</v>
      </c>
      <c r="T8" s="770" t="s">
        <v>17</v>
      </c>
      <c r="U8" s="771">
        <f t="shared" si="1"/>
        <v>0</v>
      </c>
      <c r="V8" s="770" t="s">
        <v>17</v>
      </c>
      <c r="W8" s="771">
        <f t="shared" si="2"/>
        <v>0</v>
      </c>
      <c r="X8" s="772"/>
      <c r="Y8" s="3233" t="s">
        <v>2553</v>
      </c>
      <c r="Z8" s="3234"/>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71" t="s">
        <v>2556</v>
      </c>
      <c r="Q9" s="1798" t="str">
        <f t="shared" ref="Q9:Q15" si="6">B9</f>
        <v>用途</v>
      </c>
      <c r="R9" s="770" t="s">
        <v>17</v>
      </c>
      <c r="S9" s="771">
        <f t="shared" si="0"/>
        <v>100</v>
      </c>
      <c r="T9" s="770" t="s">
        <v>17</v>
      </c>
      <c r="U9" s="771">
        <f t="shared" si="1"/>
        <v>100</v>
      </c>
      <c r="V9" s="770" t="s">
        <v>17</v>
      </c>
      <c r="W9" s="771">
        <f t="shared" si="2"/>
        <v>100</v>
      </c>
      <c r="X9" s="772"/>
      <c r="Y9" s="310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71"/>
      <c r="Q10" s="1798"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71"/>
      <c r="Q11" s="1798" t="str">
        <f t="shared" si="6"/>
        <v>容积率</v>
      </c>
      <c r="R11" s="770" t="s">
        <v>17</v>
      </c>
      <c r="S11" s="771" t="e">
        <f t="shared" si="0"/>
        <v>#N/A</v>
      </c>
      <c r="T11" s="770" t="s">
        <v>17</v>
      </c>
      <c r="U11" s="771" t="e">
        <f t="shared" si="1"/>
        <v>#N/A</v>
      </c>
      <c r="V11" s="770" t="s">
        <v>17</v>
      </c>
      <c r="W11" s="771" t="e">
        <f t="shared" si="2"/>
        <v>#N/A</v>
      </c>
      <c r="X11" s="772"/>
      <c r="Y11" s="3107"/>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71"/>
      <c r="Q12" s="1798">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71"/>
      <c r="Q13" s="1798">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71"/>
      <c r="Q14" s="1798">
        <f t="shared" si="6"/>
        <v>111</v>
      </c>
      <c r="R14" s="770" t="s">
        <v>17</v>
      </c>
      <c r="S14" s="771">
        <f t="shared" si="0"/>
        <v>100</v>
      </c>
      <c r="T14" s="770" t="s">
        <v>17</v>
      </c>
      <c r="U14" s="771">
        <f t="shared" si="1"/>
        <v>100</v>
      </c>
      <c r="V14" s="770" t="s">
        <v>17</v>
      </c>
      <c r="W14" s="771">
        <f t="shared" si="2"/>
        <v>100</v>
      </c>
      <c r="X14" s="772"/>
      <c r="Y14" s="3107"/>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306" t="s">
        <v>2561</v>
      </c>
      <c r="Q15" s="1813" t="str">
        <f t="shared" si="6"/>
        <v>商业繁华度</v>
      </c>
      <c r="R15" s="774" t="s">
        <v>17</v>
      </c>
      <c r="S15" s="775">
        <f t="shared" si="0"/>
        <v>100</v>
      </c>
      <c r="T15" s="774" t="s">
        <v>17</v>
      </c>
      <c r="U15" s="775">
        <f t="shared" si="1"/>
        <v>100</v>
      </c>
      <c r="V15" s="774" t="s">
        <v>17</v>
      </c>
      <c r="W15" s="775">
        <f t="shared" si="2"/>
        <v>100</v>
      </c>
      <c r="X15" s="1816"/>
      <c r="Y15" s="3262"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307"/>
      <c r="Q16" s="1813"/>
      <c r="R16" s="774"/>
      <c r="S16" s="775"/>
      <c r="T16" s="774"/>
      <c r="U16" s="775"/>
      <c r="V16" s="774"/>
      <c r="W16" s="775"/>
      <c r="X16" s="1816"/>
      <c r="Y16" s="3263"/>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307"/>
      <c r="Q17" s="1813" t="str">
        <f>B17</f>
        <v>交通便捷度</v>
      </c>
      <c r="R17" s="774" t="s">
        <v>17</v>
      </c>
      <c r="S17" s="775">
        <f>F17</f>
        <v>100</v>
      </c>
      <c r="T17" s="774" t="s">
        <v>17</v>
      </c>
      <c r="U17" s="775">
        <f>H17</f>
        <v>100</v>
      </c>
      <c r="V17" s="774" t="s">
        <v>17</v>
      </c>
      <c r="W17" s="775">
        <f>J17</f>
        <v>100</v>
      </c>
      <c r="X17" s="1816"/>
      <c r="Y17" s="326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307"/>
      <c r="Q18" s="1813"/>
      <c r="R18" s="774"/>
      <c r="S18" s="775"/>
      <c r="T18" s="774"/>
      <c r="U18" s="775"/>
      <c r="V18" s="774"/>
      <c r="W18" s="775"/>
      <c r="X18" s="1816"/>
      <c r="Y18" s="3263"/>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307"/>
      <c r="Q19" s="1813" t="str">
        <f>B19</f>
        <v>公共配套设施</v>
      </c>
      <c r="R19" s="774" t="s">
        <v>17</v>
      </c>
      <c r="S19" s="775">
        <f>F19</f>
        <v>100</v>
      </c>
      <c r="T19" s="774" t="s">
        <v>17</v>
      </c>
      <c r="U19" s="775">
        <f>H19</f>
        <v>100</v>
      </c>
      <c r="V19" s="774" t="s">
        <v>17</v>
      </c>
      <c r="W19" s="775">
        <f>J19</f>
        <v>100</v>
      </c>
      <c r="X19" s="1816"/>
      <c r="Y19" s="326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307"/>
      <c r="Q20" s="1813"/>
      <c r="R20" s="774"/>
      <c r="S20" s="775"/>
      <c r="T20" s="774"/>
      <c r="U20" s="775"/>
      <c r="V20" s="774"/>
      <c r="W20" s="775"/>
      <c r="X20" s="1816"/>
      <c r="Y20" s="3263"/>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307"/>
      <c r="Q21" s="1813" t="str">
        <f>B21</f>
        <v>基础设施水平</v>
      </c>
      <c r="R21" s="774" t="s">
        <v>17</v>
      </c>
      <c r="S21" s="775">
        <f>F21</f>
        <v>100</v>
      </c>
      <c r="T21" s="774" t="s">
        <v>17</v>
      </c>
      <c r="U21" s="775">
        <f>H21</f>
        <v>100</v>
      </c>
      <c r="V21" s="774" t="s">
        <v>17</v>
      </c>
      <c r="W21" s="775">
        <f>J21</f>
        <v>100</v>
      </c>
      <c r="X21" s="1816"/>
      <c r="Y21" s="326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307"/>
      <c r="Q22" s="1813"/>
      <c r="R22" s="774"/>
      <c r="S22" s="775"/>
      <c r="T22" s="774"/>
      <c r="U22" s="775"/>
      <c r="V22" s="774"/>
      <c r="W22" s="775"/>
      <c r="X22" s="1816"/>
      <c r="Y22" s="3263"/>
      <c r="Z22" s="1817"/>
      <c r="AA22" s="1814">
        <v>1</v>
      </c>
      <c r="AB22" s="1814">
        <v>1</v>
      </c>
      <c r="AC22" s="1814">
        <v>1</v>
      </c>
    </row>
    <row r="23" spans="1:29" ht="57">
      <c r="A23" s="428"/>
      <c r="B23" s="451" t="s">
        <v>2102</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307"/>
      <c r="Q23" s="1813" t="str">
        <f>B23</f>
        <v>自然及人文环境</v>
      </c>
      <c r="R23" s="774" t="s">
        <v>17</v>
      </c>
      <c r="S23" s="775">
        <f>F23</f>
        <v>100</v>
      </c>
      <c r="T23" s="774" t="s">
        <v>17</v>
      </c>
      <c r="U23" s="775">
        <f>H23</f>
        <v>100</v>
      </c>
      <c r="V23" s="774" t="s">
        <v>17</v>
      </c>
      <c r="W23" s="775">
        <f>J23</f>
        <v>100</v>
      </c>
      <c r="X23" s="1816"/>
      <c r="Y23" s="3263"/>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307"/>
      <c r="Q24" s="1813"/>
      <c r="R24" s="774"/>
      <c r="S24" s="775"/>
      <c r="T24" s="774"/>
      <c r="U24" s="775"/>
      <c r="V24" s="774"/>
      <c r="W24" s="775"/>
      <c r="X24" s="1816"/>
      <c r="Y24" s="3263"/>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307"/>
      <c r="Q25" s="1813" t="str">
        <f t="shared" ref="Q25:Q46" si="11">B25</f>
        <v>临街状况</v>
      </c>
      <c r="R25" s="774" t="s">
        <v>17</v>
      </c>
      <c r="S25" s="775">
        <f>F25</f>
        <v>100</v>
      </c>
      <c r="T25" s="774" t="s">
        <v>17</v>
      </c>
      <c r="U25" s="775">
        <f>H25</f>
        <v>100</v>
      </c>
      <c r="V25" s="774" t="s">
        <v>17</v>
      </c>
      <c r="W25" s="775">
        <f>J25</f>
        <v>100</v>
      </c>
      <c r="X25" s="1816"/>
      <c r="Y25" s="3263"/>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307"/>
      <c r="Q26" s="1813" t="str">
        <f t="shared" si="11"/>
        <v>平面位置/可视性</v>
      </c>
      <c r="R26" s="774" t="s">
        <v>17</v>
      </c>
      <c r="S26" s="775">
        <f>F26</f>
        <v>100</v>
      </c>
      <c r="T26" s="774" t="s">
        <v>17</v>
      </c>
      <c r="U26" s="775">
        <f>H26</f>
        <v>100</v>
      </c>
      <c r="V26" s="774" t="s">
        <v>17</v>
      </c>
      <c r="W26" s="775">
        <f>J26</f>
        <v>100</v>
      </c>
      <c r="X26" s="1816"/>
      <c r="Y26" s="3263"/>
      <c r="Z26" s="1817" t="str">
        <f>Q26</f>
        <v>平面位置/可视性</v>
      </c>
      <c r="AA26" s="1814">
        <f t="shared" si="3"/>
        <v>1</v>
      </c>
      <c r="AB26" s="1814">
        <f t="shared" si="4"/>
        <v>1</v>
      </c>
      <c r="AC26" s="1814">
        <f t="shared" si="5"/>
        <v>1</v>
      </c>
    </row>
    <row r="27" spans="1:29" s="117" customFormat="1" ht="15">
      <c r="A27" s="431"/>
      <c r="B27" s="451" t="s">
        <v>2659</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307"/>
      <c r="Q27" s="1798" t="str">
        <f t="shared" si="11"/>
        <v>人流量</v>
      </c>
      <c r="R27" s="770" t="s">
        <v>17</v>
      </c>
      <c r="S27" s="771">
        <f>F27</f>
        <v>100</v>
      </c>
      <c r="T27" s="770" t="s">
        <v>17</v>
      </c>
      <c r="U27" s="771">
        <f>H27</f>
        <v>100</v>
      </c>
      <c r="V27" s="770" t="s">
        <v>17</v>
      </c>
      <c r="W27" s="771">
        <f>J27</f>
        <v>100</v>
      </c>
      <c r="X27" s="772"/>
      <c r="Y27" s="3263"/>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30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6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307"/>
      <c r="Q29" s="1813">
        <f t="shared" si="11"/>
        <v>111</v>
      </c>
      <c r="R29" s="774" t="s">
        <v>17</v>
      </c>
      <c r="S29" s="775">
        <f t="shared" si="12"/>
        <v>100</v>
      </c>
      <c r="T29" s="774" t="s">
        <v>17</v>
      </c>
      <c r="U29" s="775">
        <f t="shared" si="13"/>
        <v>100</v>
      </c>
      <c r="V29" s="774" t="s">
        <v>17</v>
      </c>
      <c r="W29" s="775">
        <f t="shared" si="14"/>
        <v>100</v>
      </c>
      <c r="X29" s="1816"/>
      <c r="Y29" s="326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307"/>
      <c r="Q30" s="1813">
        <f t="shared" si="11"/>
        <v>111</v>
      </c>
      <c r="R30" s="774" t="s">
        <v>17</v>
      </c>
      <c r="S30" s="775">
        <f t="shared" si="12"/>
        <v>100</v>
      </c>
      <c r="T30" s="774" t="s">
        <v>17</v>
      </c>
      <c r="U30" s="775">
        <f t="shared" si="13"/>
        <v>100</v>
      </c>
      <c r="V30" s="774" t="s">
        <v>17</v>
      </c>
      <c r="W30" s="775">
        <f t="shared" si="14"/>
        <v>100</v>
      </c>
      <c r="X30" s="1816"/>
      <c r="Y30" s="326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307"/>
      <c r="Q31" s="1813">
        <f t="shared" si="11"/>
        <v>111</v>
      </c>
      <c r="R31" s="774" t="s">
        <v>17</v>
      </c>
      <c r="S31" s="775">
        <f t="shared" si="12"/>
        <v>100</v>
      </c>
      <c r="T31" s="774" t="s">
        <v>17</v>
      </c>
      <c r="U31" s="775">
        <f t="shared" si="13"/>
        <v>100</v>
      </c>
      <c r="V31" s="774" t="s">
        <v>17</v>
      </c>
      <c r="W31" s="775">
        <f t="shared" si="14"/>
        <v>100</v>
      </c>
      <c r="X31" s="1816"/>
      <c r="Y31" s="3263"/>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302" t="s">
        <v>2566</v>
      </c>
      <c r="Q32" s="1813" t="str">
        <f t="shared" si="11"/>
        <v>商业类型</v>
      </c>
      <c r="R32" s="774" t="s">
        <v>17</v>
      </c>
      <c r="S32" s="775">
        <f t="shared" si="12"/>
        <v>100</v>
      </c>
      <c r="T32" s="774" t="s">
        <v>17</v>
      </c>
      <c r="U32" s="775">
        <f t="shared" si="13"/>
        <v>100</v>
      </c>
      <c r="V32" s="774" t="s">
        <v>17</v>
      </c>
      <c r="W32" s="775">
        <f t="shared" si="14"/>
        <v>100</v>
      </c>
      <c r="X32" s="1816"/>
      <c r="Y32" s="3265"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303"/>
      <c r="Q33" s="776" t="str">
        <f t="shared" si="11"/>
        <v>项目建筑规模</v>
      </c>
      <c r="R33" s="777" t="s">
        <v>17</v>
      </c>
      <c r="S33" s="778" t="e">
        <f t="shared" si="12"/>
        <v>#N/A</v>
      </c>
      <c r="T33" s="777" t="s">
        <v>17</v>
      </c>
      <c r="U33" s="778" t="e">
        <f t="shared" si="13"/>
        <v>#N/A</v>
      </c>
      <c r="V33" s="777" t="s">
        <v>17</v>
      </c>
      <c r="W33" s="778" t="e">
        <f t="shared" si="14"/>
        <v>#N/A</v>
      </c>
      <c r="X33" s="779"/>
      <c r="Y33" s="3265"/>
      <c r="Z33" s="780" t="str">
        <f t="shared" si="15"/>
        <v>项目建筑规模</v>
      </c>
      <c r="AA33" s="1814" t="e">
        <f t="shared" si="3"/>
        <v>#N/A</v>
      </c>
      <c r="AB33" s="1814" t="e">
        <f t="shared" si="4"/>
        <v>#N/A</v>
      </c>
      <c r="AC33" s="1814" t="e">
        <f t="shared" si="5"/>
        <v>#N/A</v>
      </c>
    </row>
    <row r="34" spans="1:29" ht="15">
      <c r="A34" s="472"/>
      <c r="B34" s="422" t="s">
        <v>2568</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303"/>
      <c r="Q34" s="1813" t="str">
        <f t="shared" si="11"/>
        <v>建筑结构</v>
      </c>
      <c r="R34" s="774" t="s">
        <v>17</v>
      </c>
      <c r="S34" s="775">
        <f t="shared" si="12"/>
        <v>100</v>
      </c>
      <c r="T34" s="774" t="s">
        <v>17</v>
      </c>
      <c r="U34" s="775">
        <f t="shared" si="13"/>
        <v>100</v>
      </c>
      <c r="V34" s="774" t="s">
        <v>17</v>
      </c>
      <c r="W34" s="775">
        <f t="shared" si="14"/>
        <v>100</v>
      </c>
      <c r="X34" s="1816"/>
      <c r="Y34" s="3265"/>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303"/>
      <c r="Q35" s="1813" t="str">
        <f t="shared" si="11"/>
        <v>公共部分装修</v>
      </c>
      <c r="R35" s="774" t="s">
        <v>17</v>
      </c>
      <c r="S35" s="775">
        <f t="shared" si="12"/>
        <v>100</v>
      </c>
      <c r="T35" s="774" t="s">
        <v>17</v>
      </c>
      <c r="U35" s="775">
        <f t="shared" si="13"/>
        <v>100</v>
      </c>
      <c r="V35" s="774" t="s">
        <v>17</v>
      </c>
      <c r="W35" s="775">
        <f t="shared" si="14"/>
        <v>100</v>
      </c>
      <c r="X35" s="1816"/>
      <c r="Y35" s="3265"/>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303"/>
      <c r="Q36" s="1813" t="str">
        <f t="shared" si="11"/>
        <v>成新度</v>
      </c>
      <c r="R36" s="774" t="s">
        <v>17</v>
      </c>
      <c r="S36" s="775" t="e">
        <f t="shared" si="12"/>
        <v>#N/A</v>
      </c>
      <c r="T36" s="774" t="s">
        <v>17</v>
      </c>
      <c r="U36" s="775" t="e">
        <f t="shared" si="13"/>
        <v>#N/A</v>
      </c>
      <c r="V36" s="774" t="s">
        <v>17</v>
      </c>
      <c r="W36" s="775" t="e">
        <f t="shared" si="14"/>
        <v>#N/A</v>
      </c>
      <c r="X36" s="1816"/>
      <c r="Y36" s="3265"/>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303"/>
      <c r="Q37" s="1798" t="str">
        <f t="shared" si="11"/>
        <v>市政基础设施</v>
      </c>
      <c r="R37" s="770" t="s">
        <v>17</v>
      </c>
      <c r="S37" s="771">
        <f t="shared" si="12"/>
        <v>100</v>
      </c>
      <c r="T37" s="770" t="s">
        <v>17</v>
      </c>
      <c r="U37" s="771">
        <f t="shared" si="13"/>
        <v>100</v>
      </c>
      <c r="V37" s="770" t="s">
        <v>17</v>
      </c>
      <c r="W37" s="771">
        <f t="shared" si="14"/>
        <v>100</v>
      </c>
      <c r="X37" s="772"/>
      <c r="Y37" s="3265"/>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303" t="s">
        <v>2566</v>
      </c>
      <c r="Q38" s="1813" t="str">
        <f t="shared" si="11"/>
        <v>业态</v>
      </c>
      <c r="R38" s="774" t="s">
        <v>17</v>
      </c>
      <c r="S38" s="775">
        <f t="shared" si="12"/>
        <v>100</v>
      </c>
      <c r="T38" s="774" t="s">
        <v>17</v>
      </c>
      <c r="U38" s="775">
        <f t="shared" si="13"/>
        <v>100</v>
      </c>
      <c r="V38" s="774" t="s">
        <v>17</v>
      </c>
      <c r="W38" s="775">
        <f t="shared" si="14"/>
        <v>100</v>
      </c>
      <c r="X38" s="1816"/>
      <c r="Y38" s="3265"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303"/>
      <c r="Q39" s="1813" t="str">
        <f t="shared" si="11"/>
        <v>层高</v>
      </c>
      <c r="R39" s="774" t="s">
        <v>17</v>
      </c>
      <c r="S39" s="775">
        <f t="shared" si="12"/>
        <v>100</v>
      </c>
      <c r="T39" s="774" t="s">
        <v>17</v>
      </c>
      <c r="U39" s="775">
        <f t="shared" si="13"/>
        <v>100</v>
      </c>
      <c r="V39" s="774" t="s">
        <v>17</v>
      </c>
      <c r="W39" s="775">
        <f t="shared" si="14"/>
        <v>100</v>
      </c>
      <c r="X39" s="1816"/>
      <c r="Y39" s="3265"/>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303"/>
      <c r="Q40" s="1813" t="str">
        <f t="shared" si="11"/>
        <v>单套建筑面积</v>
      </c>
      <c r="R40" s="774" t="s">
        <v>17</v>
      </c>
      <c r="S40" s="775">
        <f t="shared" si="12"/>
        <v>100</v>
      </c>
      <c r="T40" s="774" t="s">
        <v>17</v>
      </c>
      <c r="U40" s="775">
        <f t="shared" si="13"/>
        <v>100</v>
      </c>
      <c r="V40" s="774" t="s">
        <v>17</v>
      </c>
      <c r="W40" s="775">
        <f t="shared" si="14"/>
        <v>100</v>
      </c>
      <c r="X40" s="1816"/>
      <c r="Y40" s="3265"/>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303"/>
      <c r="Q41" s="776" t="str">
        <f t="shared" si="11"/>
        <v>进深比</v>
      </c>
      <c r="R41" s="777" t="s">
        <v>17</v>
      </c>
      <c r="S41" s="778">
        <f t="shared" si="12"/>
        <v>100</v>
      </c>
      <c r="T41" s="777" t="s">
        <v>17</v>
      </c>
      <c r="U41" s="778">
        <f t="shared" si="13"/>
        <v>100</v>
      </c>
      <c r="V41" s="777" t="s">
        <v>17</v>
      </c>
      <c r="W41" s="778">
        <f t="shared" si="14"/>
        <v>100</v>
      </c>
      <c r="X41" s="779"/>
      <c r="Y41" s="3265"/>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303"/>
      <c r="Q42" s="1813" t="str">
        <f t="shared" si="11"/>
        <v>内部装修</v>
      </c>
      <c r="R42" s="774" t="s">
        <v>17</v>
      </c>
      <c r="S42" s="775">
        <f t="shared" si="12"/>
        <v>100</v>
      </c>
      <c r="T42" s="774" t="s">
        <v>17</v>
      </c>
      <c r="U42" s="775">
        <f t="shared" si="13"/>
        <v>100</v>
      </c>
      <c r="V42" s="774" t="s">
        <v>17</v>
      </c>
      <c r="W42" s="775">
        <f t="shared" si="14"/>
        <v>100</v>
      </c>
      <c r="X42" s="1816"/>
      <c r="Y42" s="3265"/>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303"/>
      <c r="Q43" s="1813" t="str">
        <f t="shared" si="11"/>
        <v>内部装修维护情况</v>
      </c>
      <c r="R43" s="774" t="s">
        <v>17</v>
      </c>
      <c r="S43" s="775">
        <f t="shared" si="12"/>
        <v>100</v>
      </c>
      <c r="T43" s="774" t="s">
        <v>17</v>
      </c>
      <c r="U43" s="775">
        <f t="shared" si="13"/>
        <v>100</v>
      </c>
      <c r="V43" s="774" t="s">
        <v>17</v>
      </c>
      <c r="W43" s="775">
        <f t="shared" si="14"/>
        <v>100</v>
      </c>
      <c r="X43" s="1816"/>
      <c r="Y43" s="326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303"/>
      <c r="Q44" s="1798">
        <f t="shared" si="11"/>
        <v>111</v>
      </c>
      <c r="R44" s="770" t="s">
        <v>17</v>
      </c>
      <c r="S44" s="771">
        <f t="shared" si="12"/>
        <v>100</v>
      </c>
      <c r="T44" s="770" t="s">
        <v>17</v>
      </c>
      <c r="U44" s="771">
        <f t="shared" si="13"/>
        <v>100</v>
      </c>
      <c r="V44" s="770" t="s">
        <v>17</v>
      </c>
      <c r="W44" s="771">
        <f t="shared" si="14"/>
        <v>100</v>
      </c>
      <c r="X44" s="772"/>
      <c r="Y44" s="326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303"/>
      <c r="Q45" s="1813">
        <f t="shared" si="11"/>
        <v>111</v>
      </c>
      <c r="R45" s="774" t="s">
        <v>17</v>
      </c>
      <c r="S45" s="775">
        <f t="shared" si="12"/>
        <v>100</v>
      </c>
      <c r="T45" s="774" t="s">
        <v>17</v>
      </c>
      <c r="U45" s="775">
        <f t="shared" si="13"/>
        <v>100</v>
      </c>
      <c r="V45" s="774" t="s">
        <v>17</v>
      </c>
      <c r="W45" s="775">
        <f t="shared" si="14"/>
        <v>100</v>
      </c>
      <c r="X45" s="1816"/>
      <c r="Y45" s="3265"/>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04"/>
      <c r="Q46" s="1813">
        <f t="shared" si="11"/>
        <v>111</v>
      </c>
      <c r="R46" s="774" t="s">
        <v>17</v>
      </c>
      <c r="S46" s="775">
        <f t="shared" si="12"/>
        <v>100</v>
      </c>
      <c r="T46" s="774" t="s">
        <v>17</v>
      </c>
      <c r="U46" s="775">
        <f t="shared" si="13"/>
        <v>100</v>
      </c>
      <c r="V46" s="774" t="s">
        <v>17</v>
      </c>
      <c r="W46" s="775">
        <f t="shared" si="14"/>
        <v>100</v>
      </c>
      <c r="X46" s="1816"/>
      <c r="Y46" s="3305"/>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247" t="str">
        <f>A47</f>
        <v>成交单价（元/平方米）</v>
      </c>
      <c r="Q47" s="3247"/>
      <c r="R47" s="3260">
        <f>E47</f>
        <v>0</v>
      </c>
      <c r="S47" s="3260"/>
      <c r="T47" s="3260">
        <f>G47</f>
        <v>0</v>
      </c>
      <c r="U47" s="3260"/>
      <c r="V47" s="3260">
        <f>I47</f>
        <v>0</v>
      </c>
      <c r="W47" s="3260"/>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47" t="str">
        <f>A48</f>
        <v>比较价值（元/平方米）</v>
      </c>
      <c r="Q48" s="3247"/>
      <c r="R48" s="3301" t="e">
        <f>IF(F1="售价",ROUND(PRODUCT(R47,AA7:AA46),0),ROUND(PRODUCT(R47,AA7:AA46),1))</f>
        <v>#DIV/0!</v>
      </c>
      <c r="S48" s="3301"/>
      <c r="T48" s="3301" t="e">
        <f>IF(F1="售价",ROUND(PRODUCT(T47,AB7:AB46),0),ROUND(PRODUCT(T47,AB7:AB46),1))</f>
        <v>#DIV/0!</v>
      </c>
      <c r="U48" s="3301"/>
      <c r="V48" s="3301" t="e">
        <f>IF(F1="售价",ROUND(PRODUCT(V47,AC7:AC46),0),ROUND(PRODUCT(V47,AC7:AC46),1))</f>
        <v>#DIV/0!</v>
      </c>
      <c r="W48" s="3301"/>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67" t="str">
        <f>A49</f>
        <v>估价对象XX用房的比较价值（楼面单价，元/平方米）</v>
      </c>
      <c r="Q49" s="3268"/>
      <c r="R49" s="3300" t="e">
        <f>IF(F1="售价",ROUND(AVERAGE(R48:V48),0),ROUND(AVERAGE(R48:V48),1))</f>
        <v>#DIV/0!</v>
      </c>
      <c r="S49" s="3300"/>
      <c r="T49" s="3300"/>
      <c r="U49" s="3300"/>
      <c r="V49" s="3300"/>
      <c r="W49" s="33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2549</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2551</v>
      </c>
      <c r="B61" s="510"/>
      <c r="C61" s="522" t="s">
        <v>2653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2564</v>
      </c>
      <c r="B100" s="528" t="s">
        <v>2682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2617</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2685</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v>
      </c>
    </row>
    <row r="4" spans="1:1" ht="36">
      <c r="A4" s="1951" t="str">
        <f>"受贵公司委托，我公司对"&amp;项目基本情况!S1&amp;"进行了预评估。"</f>
        <v>受贵公司委托，我公司对北京市房山区政通南路2号院1号楼商业用房房地产抵押价值进行了预评估。</v>
      </c>
    </row>
    <row r="5" spans="1:1" ht="18.75">
      <c r="A5" s="1952" t="s">
        <v>1611</v>
      </c>
    </row>
    <row r="6" spans="1:1" ht="18.75">
      <c r="A6" s="1953" t="s">
        <v>1612</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估价对象为北京市房山区政通南路2号院1号楼商业用房房地产，为所有。根据《土地面积分摊技术报告书》，估价对象（分摊）出让国有建设用地使用权面积为24498.84平方米，建筑面积为119963.53平方米。</v>
      </c>
    </row>
    <row r="8" spans="1:1" ht="57.75">
      <c r="A8" s="1954" t="s">
        <v>1613</v>
      </c>
    </row>
    <row r="9" spans="1:1" ht="18.75">
      <c r="A9" s="1953" t="s">
        <v>1614</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政通南路2号院1号楼商业用房房地产,为开发建设的商业项目，该项目尚在开发建设中。根据《土地面积分摊技术报告书》，估价对象（分摊）出让国有建设用地使用权面积为24498.84平方米，规划建筑面积为119963.53平方米。</v>
      </c>
    </row>
    <row r="11" spans="1:1" ht="76.5">
      <c r="A11" s="1954" t="s">
        <v>1615</v>
      </c>
    </row>
    <row r="12" spans="1:1" ht="18.75">
      <c r="A12" s="1952" t="s">
        <v>1616</v>
      </c>
    </row>
    <row r="13" spans="1:1" ht="38.25" customHeight="1">
      <c r="A13" s="1955" t="str">
        <f>IF(项目基本情况!B8="抵押",IF(项目基本情况!B5=项目基本情况!B6,定义!C51,定义!B51),定义!D51)</f>
        <v>拟使用北京市房山区政通南路2号院1号楼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2018年5月15日（评估专业人员实地查勘之日）</v>
      </c>
    </row>
    <row r="16" spans="1:1" ht="18.75">
      <c r="A16" s="1956" t="s">
        <v>1618</v>
      </c>
    </row>
    <row r="17" spans="1:1" ht="75">
      <c r="A17" s="1951" t="s">
        <v>1619</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15日，估价对象规划用途为商业、地下车库，土地取得方式为出让，出让国有建设用地使用权剩余土地使用年限为商业33.5年、地下车库43.5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六通”（即通路、通电、通讯、通上水、通下水、通热）、红线内场地平整条件下，剩余土地使用年限为商业33.5年、地下车库43.5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1608</v>
      </c>
    </row>
    <row r="24" spans="1:1" ht="18">
      <c r="A24" s="1958" t="str">
        <f>"本次评估采用的主估价方法为"&amp;结果表!K4&amp;"和"&amp;结果表!L4&amp;"。"</f>
        <v>本次评估采用的主估价方法为成本法和收益法。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119963.53</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48" t="s">
        <v>2647</v>
      </c>
      <c r="D4" s="3249"/>
      <c r="E4" s="3250" t="s">
        <v>2648</v>
      </c>
      <c r="F4" s="3251"/>
      <c r="G4" s="3248" t="s">
        <v>2649</v>
      </c>
      <c r="H4" s="3249"/>
      <c r="I4" s="3248" t="s">
        <v>2650</v>
      </c>
      <c r="J4" s="3249"/>
      <c r="K4" s="610" t="s">
        <v>2651</v>
      </c>
      <c r="L4" s="1133"/>
      <c r="M4" s="1134"/>
      <c r="N4" s="1134"/>
      <c r="O4" s="1134"/>
      <c r="P4" s="3314" t="s">
        <v>2652</v>
      </c>
      <c r="Q4" s="3315"/>
      <c r="R4" s="3309" t="s">
        <v>2648</v>
      </c>
      <c r="S4" s="3310"/>
      <c r="T4" s="3309" t="s">
        <v>2649</v>
      </c>
      <c r="U4" s="3310"/>
      <c r="V4" s="3318" t="s">
        <v>2650</v>
      </c>
      <c r="W4" s="3318"/>
      <c r="X4" s="2677"/>
      <c r="Y4" s="3309" t="s">
        <v>2652</v>
      </c>
      <c r="Z4" s="3310"/>
      <c r="AA4" s="3308" t="s">
        <v>2648</v>
      </c>
      <c r="AB4" s="3308" t="s">
        <v>2649</v>
      </c>
      <c r="AC4" s="3311" t="s">
        <v>2650</v>
      </c>
    </row>
    <row r="5" spans="1:29" ht="15">
      <c r="A5" s="404"/>
      <c r="B5" s="405"/>
      <c r="C5" s="3241" t="s">
        <v>2543</v>
      </c>
      <c r="D5" s="3242"/>
      <c r="E5" s="3239" t="s">
        <v>2544</v>
      </c>
      <c r="F5" s="3240"/>
      <c r="G5" s="3241" t="s">
        <v>2545</v>
      </c>
      <c r="H5" s="3242"/>
      <c r="I5" s="3241" t="s">
        <v>2546</v>
      </c>
      <c r="J5" s="3242"/>
      <c r="K5" s="610"/>
      <c r="L5" s="1133"/>
      <c r="M5" s="1134"/>
      <c r="N5" s="1134"/>
      <c r="O5" s="1134"/>
      <c r="P5" s="3316"/>
      <c r="Q5" s="3255"/>
      <c r="R5" s="3237"/>
      <c r="S5" s="3238"/>
      <c r="T5" s="3237"/>
      <c r="U5" s="3238"/>
      <c r="V5" s="3260"/>
      <c r="W5" s="3260"/>
      <c r="X5" s="1816"/>
      <c r="Y5" s="3237"/>
      <c r="Z5" s="3238"/>
      <c r="AA5" s="3231"/>
      <c r="AB5" s="3231"/>
      <c r="AC5" s="3312"/>
    </row>
    <row r="6" spans="1:29" ht="15.75" thickBot="1">
      <c r="A6" s="406"/>
      <c r="B6" s="407"/>
      <c r="C6" s="3243" t="s">
        <v>2547</v>
      </c>
      <c r="D6" s="3244"/>
      <c r="E6" s="3245" t="s">
        <v>2547</v>
      </c>
      <c r="F6" s="3246"/>
      <c r="G6" s="3243" t="s">
        <v>2547</v>
      </c>
      <c r="H6" s="3244"/>
      <c r="I6" s="3243" t="s">
        <v>2547</v>
      </c>
      <c r="J6" s="3244"/>
      <c r="K6" s="610" t="s">
        <v>2548</v>
      </c>
      <c r="L6" s="1133"/>
      <c r="M6" s="1134"/>
      <c r="N6" s="1134"/>
      <c r="O6" s="1134"/>
      <c r="P6" s="3317"/>
      <c r="Q6" s="3257"/>
      <c r="R6" s="3237"/>
      <c r="S6" s="3238"/>
      <c r="T6" s="3258"/>
      <c r="U6" s="3259"/>
      <c r="V6" s="3260"/>
      <c r="W6" s="3260"/>
      <c r="X6" s="1816"/>
      <c r="Y6" s="3258"/>
      <c r="Z6" s="3259"/>
      <c r="AA6" s="3232"/>
      <c r="AB6" s="3232"/>
      <c r="AC6" s="3313"/>
    </row>
    <row r="7" spans="1:29" s="117" customFormat="1" ht="15.75" thickBot="1">
      <c r="A7" s="408" t="s">
        <v>2549</v>
      </c>
      <c r="B7" s="409"/>
      <c r="C7" s="410">
        <f>'数据-取费表'!B2</f>
        <v>43235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19" t="s">
        <v>2550</v>
      </c>
      <c r="Q7" s="3261"/>
      <c r="R7" s="770" t="s">
        <v>17</v>
      </c>
      <c r="S7" s="771">
        <f t="shared" ref="S7:S15" si="0">F7</f>
        <v>0</v>
      </c>
      <c r="T7" s="770" t="s">
        <v>17</v>
      </c>
      <c r="U7" s="771">
        <f t="shared" ref="U7:U15" si="1">H7</f>
        <v>0</v>
      </c>
      <c r="V7" s="770" t="s">
        <v>17</v>
      </c>
      <c r="W7" s="771">
        <f t="shared" ref="W7:W15" si="2">J7</f>
        <v>0</v>
      </c>
      <c r="X7" s="772"/>
      <c r="Y7" s="3233" t="s">
        <v>2550</v>
      </c>
      <c r="Z7" s="3234"/>
      <c r="AA7" s="773" t="e">
        <f>D7/F7</f>
        <v>#DIV/0!</v>
      </c>
      <c r="AB7" s="773" t="e">
        <f>D7/H7</f>
        <v>#DIV/0!</v>
      </c>
      <c r="AC7" s="2678"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19" t="s">
        <v>2553</v>
      </c>
      <c r="Q8" s="3234"/>
      <c r="R8" s="770" t="s">
        <v>17</v>
      </c>
      <c r="S8" s="771">
        <f t="shared" si="0"/>
        <v>0</v>
      </c>
      <c r="T8" s="770" t="s">
        <v>17</v>
      </c>
      <c r="U8" s="771">
        <f t="shared" si="1"/>
        <v>0</v>
      </c>
      <c r="V8" s="770" t="s">
        <v>17</v>
      </c>
      <c r="W8" s="771">
        <f t="shared" si="2"/>
        <v>0</v>
      </c>
      <c r="X8" s="772"/>
      <c r="Y8" s="3233" t="s">
        <v>2553</v>
      </c>
      <c r="Z8" s="3234"/>
      <c r="AA8" s="773" t="e">
        <f t="shared" ref="AA8:AA47" si="3">D8/F8</f>
        <v>#DIV/0!</v>
      </c>
      <c r="AB8" s="773" t="e">
        <f t="shared" ref="AB8:AB47" si="4">D8/H8</f>
        <v>#DIV/0!</v>
      </c>
      <c r="AC8" s="2678"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71" t="s">
        <v>2556</v>
      </c>
      <c r="Q9" s="1798" t="str">
        <f t="shared" ref="Q9:Q15" si="6">B9</f>
        <v>用途</v>
      </c>
      <c r="R9" s="770" t="s">
        <v>17</v>
      </c>
      <c r="S9" s="771">
        <f t="shared" si="0"/>
        <v>100</v>
      </c>
      <c r="T9" s="770" t="s">
        <v>17</v>
      </c>
      <c r="U9" s="771">
        <f t="shared" si="1"/>
        <v>100</v>
      </c>
      <c r="V9" s="770" t="s">
        <v>17</v>
      </c>
      <c r="W9" s="771">
        <f t="shared" si="2"/>
        <v>100</v>
      </c>
      <c r="X9" s="772"/>
      <c r="Y9" s="3107" t="s">
        <v>2557</v>
      </c>
      <c r="Z9" s="55" t="str">
        <f t="shared" ref="Z9:Z15" si="7">Q9</f>
        <v>用途</v>
      </c>
      <c r="AA9" s="773">
        <f t="shared" si="3"/>
        <v>1</v>
      </c>
      <c r="AB9" s="773">
        <f t="shared" si="4"/>
        <v>1</v>
      </c>
      <c r="AC9" s="2678">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71"/>
      <c r="Q10" s="1798"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2678">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71"/>
      <c r="Q11" s="1798" t="str">
        <f t="shared" si="6"/>
        <v>容积率</v>
      </c>
      <c r="R11" s="770" t="s">
        <v>17</v>
      </c>
      <c r="S11" s="771" t="e">
        <f t="shared" si="0"/>
        <v>#N/A</v>
      </c>
      <c r="T11" s="770" t="s">
        <v>17</v>
      </c>
      <c r="U11" s="771" t="e">
        <f t="shared" si="1"/>
        <v>#N/A</v>
      </c>
      <c r="V11" s="770" t="s">
        <v>17</v>
      </c>
      <c r="W11" s="771" t="e">
        <f t="shared" si="2"/>
        <v>#N/A</v>
      </c>
      <c r="X11" s="772"/>
      <c r="Y11" s="3107"/>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71"/>
      <c r="Q12" s="1798">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71"/>
      <c r="Q13" s="1798">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71"/>
      <c r="Q14" s="1798">
        <f t="shared" si="6"/>
        <v>111</v>
      </c>
      <c r="R14" s="770" t="s">
        <v>17</v>
      </c>
      <c r="S14" s="771">
        <f t="shared" si="0"/>
        <v>100</v>
      </c>
      <c r="T14" s="770" t="s">
        <v>17</v>
      </c>
      <c r="U14" s="771">
        <f t="shared" si="1"/>
        <v>100</v>
      </c>
      <c r="V14" s="770" t="s">
        <v>17</v>
      </c>
      <c r="W14" s="771">
        <f t="shared" si="2"/>
        <v>100</v>
      </c>
      <c r="X14" s="772"/>
      <c r="Y14" s="3107"/>
      <c r="Z14" s="55">
        <f t="shared" si="7"/>
        <v>111</v>
      </c>
      <c r="AA14" s="773">
        <f t="shared" si="3"/>
        <v>1</v>
      </c>
      <c r="AB14" s="773">
        <f t="shared" si="4"/>
        <v>1</v>
      </c>
      <c r="AC14" s="2678">
        <f t="shared" si="5"/>
        <v>1</v>
      </c>
    </row>
    <row r="15" spans="1:29" ht="71.25">
      <c r="A15" s="440" t="s">
        <v>2560</v>
      </c>
      <c r="B15" s="629" t="s">
        <v>2688</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306" t="s">
        <v>2561</v>
      </c>
      <c r="Q15" s="1813" t="str">
        <f t="shared" si="6"/>
        <v>办公集聚程度</v>
      </c>
      <c r="R15" s="774" t="s">
        <v>17</v>
      </c>
      <c r="S15" s="775">
        <f t="shared" si="0"/>
        <v>100</v>
      </c>
      <c r="T15" s="774" t="s">
        <v>17</v>
      </c>
      <c r="U15" s="775">
        <f t="shared" si="1"/>
        <v>100</v>
      </c>
      <c r="V15" s="774" t="s">
        <v>17</v>
      </c>
      <c r="W15" s="775">
        <f t="shared" si="2"/>
        <v>100</v>
      </c>
      <c r="X15" s="1816"/>
      <c r="Y15" s="3262" t="s">
        <v>2561</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307"/>
      <c r="Q16" s="1813"/>
      <c r="R16" s="774"/>
      <c r="S16" s="775"/>
      <c r="T16" s="774"/>
      <c r="U16" s="775"/>
      <c r="V16" s="774"/>
      <c r="W16" s="775"/>
      <c r="X16" s="1816"/>
      <c r="Y16" s="3263"/>
      <c r="Z16" s="1817"/>
      <c r="AA16" s="1814">
        <v>1</v>
      </c>
      <c r="AB16" s="1814">
        <v>1</v>
      </c>
      <c r="AC16" s="2681">
        <v>1</v>
      </c>
    </row>
    <row r="17" spans="1:29" ht="71.25">
      <c r="A17" s="428"/>
      <c r="B17" s="631" t="s">
        <v>2097</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307"/>
      <c r="Q17" s="1813" t="str">
        <f>B17</f>
        <v>交通便捷度</v>
      </c>
      <c r="R17" s="774" t="s">
        <v>17</v>
      </c>
      <c r="S17" s="775">
        <f>F17</f>
        <v>100</v>
      </c>
      <c r="T17" s="774" t="s">
        <v>17</v>
      </c>
      <c r="U17" s="775">
        <f>H17</f>
        <v>100</v>
      </c>
      <c r="V17" s="774" t="s">
        <v>17</v>
      </c>
      <c r="W17" s="775">
        <f>J17</f>
        <v>100</v>
      </c>
      <c r="X17" s="1816"/>
      <c r="Y17" s="3263"/>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307"/>
      <c r="Q18" s="1813"/>
      <c r="R18" s="774"/>
      <c r="S18" s="775"/>
      <c r="T18" s="774"/>
      <c r="U18" s="775"/>
      <c r="V18" s="774"/>
      <c r="W18" s="775"/>
      <c r="X18" s="1816"/>
      <c r="Y18" s="3263"/>
      <c r="Z18" s="1817"/>
      <c r="AA18" s="1814">
        <v>1</v>
      </c>
      <c r="AB18" s="1814">
        <v>1</v>
      </c>
      <c r="AC18" s="2681">
        <v>1</v>
      </c>
    </row>
    <row r="19" spans="1:29" ht="42.75">
      <c r="A19" s="428"/>
      <c r="B19" s="631" t="s">
        <v>2689</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307"/>
      <c r="Q19" s="1813" t="str">
        <f>B19</f>
        <v>公共配套设施</v>
      </c>
      <c r="R19" s="774" t="s">
        <v>17</v>
      </c>
      <c r="S19" s="775">
        <f>F19</f>
        <v>100</v>
      </c>
      <c r="T19" s="774" t="s">
        <v>17</v>
      </c>
      <c r="U19" s="775">
        <f>H19</f>
        <v>100</v>
      </c>
      <c r="V19" s="774" t="s">
        <v>17</v>
      </c>
      <c r="W19" s="775">
        <f>J19</f>
        <v>100</v>
      </c>
      <c r="X19" s="1816"/>
      <c r="Y19" s="3263"/>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307"/>
      <c r="Q20" s="1813"/>
      <c r="R20" s="774"/>
      <c r="S20" s="775"/>
      <c r="T20" s="774"/>
      <c r="U20" s="775"/>
      <c r="V20" s="774"/>
      <c r="W20" s="775"/>
      <c r="X20" s="1816"/>
      <c r="Y20" s="3263"/>
      <c r="Z20" s="1817"/>
      <c r="AA20" s="1814">
        <v>1</v>
      </c>
      <c r="AB20" s="1814">
        <v>1</v>
      </c>
      <c r="AC20" s="2681">
        <v>1</v>
      </c>
    </row>
    <row r="21" spans="1:29" ht="28.5">
      <c r="A21" s="428"/>
      <c r="B21" s="633" t="s">
        <v>2690</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307"/>
      <c r="Q21" s="1813" t="str">
        <f>B21</f>
        <v>基础设施水平</v>
      </c>
      <c r="R21" s="774" t="s">
        <v>17</v>
      </c>
      <c r="S21" s="775">
        <f>F21</f>
        <v>100</v>
      </c>
      <c r="T21" s="774" t="s">
        <v>17</v>
      </c>
      <c r="U21" s="775">
        <f>H21</f>
        <v>100</v>
      </c>
      <c r="V21" s="774" t="s">
        <v>17</v>
      </c>
      <c r="W21" s="775">
        <f>J21</f>
        <v>100</v>
      </c>
      <c r="X21" s="1816"/>
      <c r="Y21" s="3263"/>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307"/>
      <c r="Q22" s="1813"/>
      <c r="R22" s="774"/>
      <c r="S22" s="775"/>
      <c r="T22" s="774"/>
      <c r="U22" s="775"/>
      <c r="V22" s="774"/>
      <c r="W22" s="775"/>
      <c r="X22" s="1816"/>
      <c r="Y22" s="3263"/>
      <c r="Z22" s="1817"/>
      <c r="AA22" s="1814">
        <v>1</v>
      </c>
      <c r="AB22" s="1814">
        <v>1</v>
      </c>
      <c r="AC22" s="2681">
        <v>1</v>
      </c>
    </row>
    <row r="23" spans="1:29" ht="42.75">
      <c r="A23" s="428"/>
      <c r="B23" s="631" t="s">
        <v>2691</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307"/>
      <c r="Q23" s="1813" t="str">
        <f>B23</f>
        <v>环境质量</v>
      </c>
      <c r="R23" s="774" t="s">
        <v>17</v>
      </c>
      <c r="S23" s="775">
        <f>F23</f>
        <v>100</v>
      </c>
      <c r="T23" s="774" t="s">
        <v>17</v>
      </c>
      <c r="U23" s="775">
        <f>H23</f>
        <v>100</v>
      </c>
      <c r="V23" s="774" t="s">
        <v>17</v>
      </c>
      <c r="W23" s="775">
        <f>J23</f>
        <v>100</v>
      </c>
      <c r="X23" s="1816"/>
      <c r="Y23" s="3263"/>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307"/>
      <c r="Q24" s="1813"/>
      <c r="R24" s="774"/>
      <c r="S24" s="775"/>
      <c r="T24" s="774"/>
      <c r="U24" s="775"/>
      <c r="V24" s="774"/>
      <c r="W24" s="775"/>
      <c r="X24" s="1816"/>
      <c r="Y24" s="3263"/>
      <c r="Z24" s="1817"/>
      <c r="AA24" s="1814">
        <v>1</v>
      </c>
      <c r="AB24" s="1814">
        <v>1</v>
      </c>
      <c r="AC24" s="2681">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307"/>
      <c r="Q25" s="1813" t="str">
        <f>B25</f>
        <v>毗邻道路的类型与等级</v>
      </c>
      <c r="R25" s="774" t="s">
        <v>17</v>
      </c>
      <c r="S25" s="775">
        <f>F25</f>
        <v>100</v>
      </c>
      <c r="T25" s="774" t="s">
        <v>17</v>
      </c>
      <c r="U25" s="775">
        <f>H25</f>
        <v>100</v>
      </c>
      <c r="V25" s="774" t="s">
        <v>17</v>
      </c>
      <c r="W25" s="775">
        <f>J25</f>
        <v>100</v>
      </c>
      <c r="X25" s="1816"/>
      <c r="Y25" s="3263"/>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307"/>
      <c r="Q26" s="1813"/>
      <c r="R26" s="774"/>
      <c r="S26" s="775"/>
      <c r="T26" s="774"/>
      <c r="U26" s="775"/>
      <c r="V26" s="774"/>
      <c r="W26" s="775"/>
      <c r="X26" s="1816"/>
      <c r="Y26" s="3263"/>
      <c r="Z26" s="1817"/>
      <c r="AA26" s="1814">
        <v>1</v>
      </c>
      <c r="AB26" s="1814">
        <v>1</v>
      </c>
      <c r="AC26" s="2681">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307"/>
      <c r="Q27" s="1813" t="str">
        <f t="shared" ref="Q27:Q47" si="11">B27</f>
        <v>楼层</v>
      </c>
      <c r="R27" s="774" t="s">
        <v>17</v>
      </c>
      <c r="S27" s="775">
        <f>F27</f>
        <v>100</v>
      </c>
      <c r="T27" s="774" t="s">
        <v>17</v>
      </c>
      <c r="U27" s="775">
        <f>H27</f>
        <v>100</v>
      </c>
      <c r="V27" s="774" t="s">
        <v>17</v>
      </c>
      <c r="W27" s="775">
        <f>J27</f>
        <v>100</v>
      </c>
      <c r="X27" s="1816"/>
      <c r="Y27" s="3263"/>
      <c r="Z27" s="1817" t="str">
        <f>Q27</f>
        <v>楼层</v>
      </c>
      <c r="AA27" s="1814">
        <f t="shared" si="3"/>
        <v>1</v>
      </c>
      <c r="AB27" s="1814">
        <f t="shared" si="4"/>
        <v>1</v>
      </c>
      <c r="AC27" s="2681">
        <f t="shared" si="5"/>
        <v>1</v>
      </c>
    </row>
    <row r="28" spans="1:29" s="117" customFormat="1" ht="15">
      <c r="A28" s="431"/>
      <c r="B28" s="631" t="s">
        <v>2693</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307"/>
      <c r="Q28" s="1798" t="str">
        <f t="shared" si="11"/>
        <v>朝向</v>
      </c>
      <c r="R28" s="770" t="s">
        <v>17</v>
      </c>
      <c r="S28" s="771">
        <f>F28</f>
        <v>100</v>
      </c>
      <c r="T28" s="770" t="s">
        <v>17</v>
      </c>
      <c r="U28" s="771">
        <f>H28</f>
        <v>100</v>
      </c>
      <c r="V28" s="770" t="s">
        <v>17</v>
      </c>
      <c r="W28" s="771">
        <f>J28</f>
        <v>100</v>
      </c>
      <c r="X28" s="772"/>
      <c r="Y28" s="3263"/>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307"/>
      <c r="Q29" s="1813">
        <f t="shared" si="11"/>
        <v>111</v>
      </c>
      <c r="R29" s="774" t="s">
        <v>17</v>
      </c>
      <c r="S29" s="775">
        <f t="shared" ref="S29:S47" si="12">F29</f>
        <v>100</v>
      </c>
      <c r="T29" s="774" t="s">
        <v>17</v>
      </c>
      <c r="U29" s="775">
        <f t="shared" ref="U29:U47" si="13">H29</f>
        <v>100</v>
      </c>
      <c r="V29" s="774" t="s">
        <v>17</v>
      </c>
      <c r="W29" s="775">
        <f t="shared" ref="W29:W47" si="14">J29</f>
        <v>100</v>
      </c>
      <c r="X29" s="1816"/>
      <c r="Y29" s="3263"/>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307"/>
      <c r="Q30" s="1813">
        <f t="shared" si="11"/>
        <v>111</v>
      </c>
      <c r="R30" s="774" t="s">
        <v>17</v>
      </c>
      <c r="S30" s="775">
        <f t="shared" si="12"/>
        <v>100</v>
      </c>
      <c r="T30" s="774" t="s">
        <v>17</v>
      </c>
      <c r="U30" s="775">
        <f t="shared" si="13"/>
        <v>100</v>
      </c>
      <c r="V30" s="774" t="s">
        <v>17</v>
      </c>
      <c r="W30" s="775">
        <f t="shared" si="14"/>
        <v>100</v>
      </c>
      <c r="X30" s="1816"/>
      <c r="Y30" s="3263"/>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307"/>
      <c r="Q31" s="1813">
        <f t="shared" si="11"/>
        <v>111</v>
      </c>
      <c r="R31" s="774" t="s">
        <v>17</v>
      </c>
      <c r="S31" s="775">
        <f t="shared" si="12"/>
        <v>100</v>
      </c>
      <c r="T31" s="774" t="s">
        <v>17</v>
      </c>
      <c r="U31" s="775">
        <f t="shared" si="13"/>
        <v>100</v>
      </c>
      <c r="V31" s="774" t="s">
        <v>17</v>
      </c>
      <c r="W31" s="775">
        <f t="shared" si="14"/>
        <v>100</v>
      </c>
      <c r="X31" s="1816"/>
      <c r="Y31" s="3263"/>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307"/>
      <c r="Q32" s="1813">
        <f t="shared" si="11"/>
        <v>111</v>
      </c>
      <c r="R32" s="774" t="s">
        <v>17</v>
      </c>
      <c r="S32" s="775">
        <f t="shared" si="12"/>
        <v>100</v>
      </c>
      <c r="T32" s="774" t="s">
        <v>17</v>
      </c>
      <c r="U32" s="775">
        <f t="shared" si="13"/>
        <v>100</v>
      </c>
      <c r="V32" s="774" t="s">
        <v>17</v>
      </c>
      <c r="W32" s="775">
        <f t="shared" si="14"/>
        <v>100</v>
      </c>
      <c r="X32" s="1816"/>
      <c r="Y32" s="3263"/>
      <c r="Z32" s="1817">
        <f t="shared" si="15"/>
        <v>111</v>
      </c>
      <c r="AA32" s="1814">
        <f t="shared" si="3"/>
        <v>1</v>
      </c>
      <c r="AB32" s="1814">
        <f t="shared" si="4"/>
        <v>1</v>
      </c>
      <c r="AC32" s="2681">
        <f t="shared" si="5"/>
        <v>1</v>
      </c>
    </row>
    <row r="33" spans="1:29" ht="15">
      <c r="A33" s="440" t="s">
        <v>2564</v>
      </c>
      <c r="B33" s="71" t="s">
        <v>2694</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302" t="s">
        <v>2566</v>
      </c>
      <c r="Q33" s="1813" t="str">
        <f t="shared" si="11"/>
        <v>建筑类型</v>
      </c>
      <c r="R33" s="774" t="s">
        <v>17</v>
      </c>
      <c r="S33" s="775">
        <f t="shared" si="12"/>
        <v>100</v>
      </c>
      <c r="T33" s="774" t="s">
        <v>17</v>
      </c>
      <c r="U33" s="775">
        <f t="shared" si="13"/>
        <v>100</v>
      </c>
      <c r="V33" s="774" t="s">
        <v>17</v>
      </c>
      <c r="W33" s="775">
        <f t="shared" si="14"/>
        <v>100</v>
      </c>
      <c r="X33" s="1816"/>
      <c r="Y33" s="3265" t="s">
        <v>2566</v>
      </c>
      <c r="Z33" s="1817" t="str">
        <f t="shared" si="15"/>
        <v>建筑类型</v>
      </c>
      <c r="AA33" s="1814">
        <f t="shared" si="3"/>
        <v>1</v>
      </c>
      <c r="AB33" s="1814">
        <f t="shared" si="4"/>
        <v>1</v>
      </c>
      <c r="AC33" s="2681">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303"/>
      <c r="Q34" s="776" t="str">
        <f t="shared" si="11"/>
        <v>项目建筑规模</v>
      </c>
      <c r="R34" s="777" t="s">
        <v>17</v>
      </c>
      <c r="S34" s="778" t="e">
        <f t="shared" si="12"/>
        <v>#N/A</v>
      </c>
      <c r="T34" s="777" t="s">
        <v>17</v>
      </c>
      <c r="U34" s="778" t="e">
        <f t="shared" si="13"/>
        <v>#N/A</v>
      </c>
      <c r="V34" s="777" t="s">
        <v>17</v>
      </c>
      <c r="W34" s="778" t="e">
        <f t="shared" si="14"/>
        <v>#N/A</v>
      </c>
      <c r="X34" s="779"/>
      <c r="Y34" s="3265"/>
      <c r="Z34" s="780" t="str">
        <f t="shared" si="15"/>
        <v>项目建筑规模</v>
      </c>
      <c r="AA34" s="1814" t="e">
        <f t="shared" si="3"/>
        <v>#N/A</v>
      </c>
      <c r="AB34" s="1814" t="e">
        <f t="shared" si="4"/>
        <v>#N/A</v>
      </c>
      <c r="AC34" s="2681"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303"/>
      <c r="Q35" s="1813" t="str">
        <f t="shared" si="11"/>
        <v>建筑结构</v>
      </c>
      <c r="R35" s="774" t="s">
        <v>17</v>
      </c>
      <c r="S35" s="775">
        <f t="shared" si="12"/>
        <v>100</v>
      </c>
      <c r="T35" s="774" t="s">
        <v>17</v>
      </c>
      <c r="U35" s="775">
        <f t="shared" si="13"/>
        <v>100</v>
      </c>
      <c r="V35" s="774" t="s">
        <v>17</v>
      </c>
      <c r="W35" s="775">
        <f t="shared" si="14"/>
        <v>100</v>
      </c>
      <c r="X35" s="1816"/>
      <c r="Y35" s="3265"/>
      <c r="Z35" s="1817" t="str">
        <f t="shared" si="15"/>
        <v>建筑结构</v>
      </c>
      <c r="AA35" s="1814">
        <f t="shared" si="3"/>
        <v>1</v>
      </c>
      <c r="AB35" s="1814">
        <f t="shared" si="4"/>
        <v>1</v>
      </c>
      <c r="AC35" s="2681">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303"/>
      <c r="Q36" s="1813" t="str">
        <f t="shared" si="11"/>
        <v>公共部分装修</v>
      </c>
      <c r="R36" s="774" t="s">
        <v>17</v>
      </c>
      <c r="S36" s="775">
        <f t="shared" si="12"/>
        <v>100</v>
      </c>
      <c r="T36" s="774" t="s">
        <v>17</v>
      </c>
      <c r="U36" s="775">
        <f t="shared" si="13"/>
        <v>100</v>
      </c>
      <c r="V36" s="774" t="s">
        <v>17</v>
      </c>
      <c r="W36" s="775">
        <f t="shared" si="14"/>
        <v>100</v>
      </c>
      <c r="X36" s="1816"/>
      <c r="Y36" s="3265"/>
      <c r="Z36" s="1817" t="str">
        <f t="shared" si="15"/>
        <v>公共部分装修</v>
      </c>
      <c r="AA36" s="1814">
        <f t="shared" si="3"/>
        <v>1</v>
      </c>
      <c r="AB36" s="1814">
        <f t="shared" si="4"/>
        <v>1</v>
      </c>
      <c r="AC36" s="2681">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303"/>
      <c r="Q37" s="1813" t="str">
        <f t="shared" si="11"/>
        <v>成新度</v>
      </c>
      <c r="R37" s="774" t="s">
        <v>17</v>
      </c>
      <c r="S37" s="775" t="e">
        <f t="shared" si="12"/>
        <v>#N/A</v>
      </c>
      <c r="T37" s="774" t="s">
        <v>17</v>
      </c>
      <c r="U37" s="775" t="e">
        <f t="shared" si="13"/>
        <v>#N/A</v>
      </c>
      <c r="V37" s="774" t="s">
        <v>17</v>
      </c>
      <c r="W37" s="775" t="e">
        <f t="shared" si="14"/>
        <v>#N/A</v>
      </c>
      <c r="X37" s="1816"/>
      <c r="Y37" s="3265"/>
      <c r="Z37" s="1817" t="str">
        <f t="shared" si="15"/>
        <v>成新度</v>
      </c>
      <c r="AA37" s="1814" t="e">
        <f t="shared" si="3"/>
        <v>#N/A</v>
      </c>
      <c r="AB37" s="1814" t="e">
        <f t="shared" si="4"/>
        <v>#N/A</v>
      </c>
      <c r="AC37" s="2681"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303"/>
      <c r="Q38" s="1798" t="str">
        <f t="shared" si="11"/>
        <v>写字楼等级</v>
      </c>
      <c r="R38" s="770" t="s">
        <v>17</v>
      </c>
      <c r="S38" s="771">
        <f t="shared" si="12"/>
        <v>100</v>
      </c>
      <c r="T38" s="770" t="s">
        <v>17</v>
      </c>
      <c r="U38" s="771">
        <f t="shared" si="13"/>
        <v>100</v>
      </c>
      <c r="V38" s="770" t="s">
        <v>17</v>
      </c>
      <c r="W38" s="771">
        <f t="shared" si="14"/>
        <v>100</v>
      </c>
      <c r="X38" s="772"/>
      <c r="Y38" s="3265"/>
      <c r="Z38" s="55" t="str">
        <f t="shared" si="15"/>
        <v>写字楼等级</v>
      </c>
      <c r="AA38" s="773">
        <f t="shared" si="3"/>
        <v>1</v>
      </c>
      <c r="AB38" s="773">
        <f t="shared" si="4"/>
        <v>1</v>
      </c>
      <c r="AC38" s="2678">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303" t="s">
        <v>2566</v>
      </c>
      <c r="Q39" s="1813" t="str">
        <f t="shared" si="11"/>
        <v>物业管理</v>
      </c>
      <c r="R39" s="774" t="s">
        <v>17</v>
      </c>
      <c r="S39" s="775">
        <f t="shared" si="12"/>
        <v>100</v>
      </c>
      <c r="T39" s="774" t="s">
        <v>17</v>
      </c>
      <c r="U39" s="775">
        <f t="shared" si="13"/>
        <v>100</v>
      </c>
      <c r="V39" s="774" t="s">
        <v>17</v>
      </c>
      <c r="W39" s="775">
        <f t="shared" si="14"/>
        <v>100</v>
      </c>
      <c r="X39" s="1816"/>
      <c r="Y39" s="3265" t="s">
        <v>2566</v>
      </c>
      <c r="Z39" s="1817" t="str">
        <f t="shared" si="15"/>
        <v>物业管理</v>
      </c>
      <c r="AA39" s="1814">
        <f t="shared" si="3"/>
        <v>1</v>
      </c>
      <c r="AB39" s="1814">
        <f t="shared" si="4"/>
        <v>1</v>
      </c>
      <c r="AC39" s="2681">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303"/>
      <c r="Q40" s="1813" t="str">
        <f t="shared" si="11"/>
        <v>市政基础设施</v>
      </c>
      <c r="R40" s="774" t="s">
        <v>17</v>
      </c>
      <c r="S40" s="775">
        <f t="shared" si="12"/>
        <v>100</v>
      </c>
      <c r="T40" s="774" t="s">
        <v>17</v>
      </c>
      <c r="U40" s="775">
        <f t="shared" si="13"/>
        <v>100</v>
      </c>
      <c r="V40" s="774" t="s">
        <v>17</v>
      </c>
      <c r="W40" s="775">
        <f t="shared" si="14"/>
        <v>100</v>
      </c>
      <c r="X40" s="1816"/>
      <c r="Y40" s="3265"/>
      <c r="Z40" s="1817" t="str">
        <f t="shared" si="15"/>
        <v>市政基础设施</v>
      </c>
      <c r="AA40" s="1814">
        <f t="shared" si="3"/>
        <v>1</v>
      </c>
      <c r="AB40" s="1814">
        <f t="shared" si="4"/>
        <v>1</v>
      </c>
      <c r="AC40" s="2681">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303"/>
      <c r="Q41" s="1813" t="str">
        <f t="shared" si="11"/>
        <v>层高</v>
      </c>
      <c r="R41" s="774" t="s">
        <v>17</v>
      </c>
      <c r="S41" s="775">
        <f t="shared" si="12"/>
        <v>100</v>
      </c>
      <c r="T41" s="774" t="s">
        <v>17</v>
      </c>
      <c r="U41" s="775">
        <f t="shared" si="13"/>
        <v>100</v>
      </c>
      <c r="V41" s="774" t="s">
        <v>17</v>
      </c>
      <c r="W41" s="775">
        <f t="shared" si="14"/>
        <v>100</v>
      </c>
      <c r="X41" s="1816"/>
      <c r="Y41" s="3265"/>
      <c r="Z41" s="1817" t="str">
        <f t="shared" si="15"/>
        <v>层高</v>
      </c>
      <c r="AA41" s="1814">
        <f t="shared" si="3"/>
        <v>1</v>
      </c>
      <c r="AB41" s="1814">
        <f t="shared" si="4"/>
        <v>1</v>
      </c>
      <c r="AC41" s="2681">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303"/>
      <c r="Q42" s="776" t="str">
        <f t="shared" si="11"/>
        <v>单套建筑面积</v>
      </c>
      <c r="R42" s="777" t="s">
        <v>17</v>
      </c>
      <c r="S42" s="778">
        <f t="shared" si="12"/>
        <v>100</v>
      </c>
      <c r="T42" s="777" t="s">
        <v>17</v>
      </c>
      <c r="U42" s="778">
        <f t="shared" si="13"/>
        <v>100</v>
      </c>
      <c r="V42" s="777" t="s">
        <v>17</v>
      </c>
      <c r="W42" s="778">
        <f t="shared" si="14"/>
        <v>100</v>
      </c>
      <c r="X42" s="779"/>
      <c r="Y42" s="3265"/>
      <c r="Z42" s="780" t="str">
        <f t="shared" si="15"/>
        <v>单套建筑面积</v>
      </c>
      <c r="AA42" s="1814">
        <f t="shared" si="3"/>
        <v>1</v>
      </c>
      <c r="AB42" s="1814">
        <f t="shared" si="4"/>
        <v>1</v>
      </c>
      <c r="AC42" s="2681">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303"/>
      <c r="Q43" s="1813" t="str">
        <f t="shared" si="11"/>
        <v>内部装修</v>
      </c>
      <c r="R43" s="774" t="s">
        <v>17</v>
      </c>
      <c r="S43" s="775">
        <f t="shared" si="12"/>
        <v>100</v>
      </c>
      <c r="T43" s="774" t="s">
        <v>17</v>
      </c>
      <c r="U43" s="775">
        <f t="shared" si="13"/>
        <v>100</v>
      </c>
      <c r="V43" s="774" t="s">
        <v>17</v>
      </c>
      <c r="W43" s="775">
        <f t="shared" si="14"/>
        <v>100</v>
      </c>
      <c r="X43" s="1816"/>
      <c r="Y43" s="3265"/>
      <c r="Z43" s="1817" t="str">
        <f t="shared" si="15"/>
        <v>内部装修</v>
      </c>
      <c r="AA43" s="1814">
        <f t="shared" si="3"/>
        <v>1</v>
      </c>
      <c r="AB43" s="1814">
        <f t="shared" si="4"/>
        <v>1</v>
      </c>
      <c r="AC43" s="2681">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303"/>
      <c r="Q44" s="1813" t="str">
        <f t="shared" si="11"/>
        <v>内部装修维护情况</v>
      </c>
      <c r="R44" s="774" t="s">
        <v>17</v>
      </c>
      <c r="S44" s="775">
        <f t="shared" si="12"/>
        <v>100</v>
      </c>
      <c r="T44" s="774" t="s">
        <v>17</v>
      </c>
      <c r="U44" s="775">
        <f t="shared" si="13"/>
        <v>100</v>
      </c>
      <c r="V44" s="774" t="s">
        <v>17</v>
      </c>
      <c r="W44" s="775">
        <f t="shared" si="14"/>
        <v>100</v>
      </c>
      <c r="X44" s="1816"/>
      <c r="Y44" s="3265"/>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303"/>
      <c r="Q45" s="1798">
        <f t="shared" si="11"/>
        <v>111</v>
      </c>
      <c r="R45" s="770" t="s">
        <v>17</v>
      </c>
      <c r="S45" s="771">
        <f t="shared" si="12"/>
        <v>100</v>
      </c>
      <c r="T45" s="770" t="s">
        <v>17</v>
      </c>
      <c r="U45" s="771">
        <f t="shared" si="13"/>
        <v>100</v>
      </c>
      <c r="V45" s="770" t="s">
        <v>17</v>
      </c>
      <c r="W45" s="771">
        <f t="shared" si="14"/>
        <v>100</v>
      </c>
      <c r="X45" s="772"/>
      <c r="Y45" s="3265"/>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303"/>
      <c r="Q46" s="1813">
        <f t="shared" si="11"/>
        <v>111</v>
      </c>
      <c r="R46" s="774" t="s">
        <v>17</v>
      </c>
      <c r="S46" s="775">
        <f t="shared" si="12"/>
        <v>100</v>
      </c>
      <c r="T46" s="774" t="s">
        <v>17</v>
      </c>
      <c r="U46" s="775">
        <f t="shared" si="13"/>
        <v>100</v>
      </c>
      <c r="V46" s="774" t="s">
        <v>17</v>
      </c>
      <c r="W46" s="775">
        <f t="shared" si="14"/>
        <v>100</v>
      </c>
      <c r="X46" s="1816"/>
      <c r="Y46" s="3265"/>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04"/>
      <c r="Q47" s="1813">
        <f t="shared" si="11"/>
        <v>111</v>
      </c>
      <c r="R47" s="774" t="s">
        <v>17</v>
      </c>
      <c r="S47" s="775">
        <f t="shared" si="12"/>
        <v>100</v>
      </c>
      <c r="T47" s="774" t="s">
        <v>17</v>
      </c>
      <c r="U47" s="775">
        <f t="shared" si="13"/>
        <v>100</v>
      </c>
      <c r="V47" s="774" t="s">
        <v>17</v>
      </c>
      <c r="W47" s="775">
        <f t="shared" si="14"/>
        <v>100</v>
      </c>
      <c r="X47" s="1816"/>
      <c r="Y47" s="3305"/>
      <c r="Z47" s="1817">
        <f t="shared" si="15"/>
        <v>111</v>
      </c>
      <c r="AA47" s="1814">
        <f t="shared" si="3"/>
        <v>1</v>
      </c>
      <c r="AB47" s="1814">
        <f t="shared" si="4"/>
        <v>1</v>
      </c>
      <c r="AC47" s="2681">
        <f t="shared" si="5"/>
        <v>1</v>
      </c>
    </row>
    <row r="48" spans="1:29" ht="15">
      <c r="A48" s="479" t="s">
        <v>2578</v>
      </c>
      <c r="B48" s="480"/>
      <c r="C48" s="1410" t="s">
        <v>1</v>
      </c>
      <c r="D48" s="1411"/>
      <c r="E48" s="1412"/>
      <c r="F48" s="1413"/>
      <c r="G48" s="1414"/>
      <c r="H48" s="1415"/>
      <c r="I48" s="1412"/>
      <c r="J48" s="485"/>
      <c r="K48" s="783"/>
      <c r="L48" s="1146"/>
      <c r="M48" s="1134"/>
      <c r="N48" s="1134"/>
      <c r="O48" s="1134"/>
      <c r="P48" s="3271" t="str">
        <f>A48</f>
        <v>成交单价（元/平方米）</v>
      </c>
      <c r="Q48" s="3247"/>
      <c r="R48" s="3301">
        <f>E48</f>
        <v>0</v>
      </c>
      <c r="S48" s="3301"/>
      <c r="T48" s="3301">
        <f>G48</f>
        <v>0</v>
      </c>
      <c r="U48" s="3301"/>
      <c r="V48" s="3301">
        <f>I48</f>
        <v>0</v>
      </c>
      <c r="W48" s="3301"/>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71" t="str">
        <f>A49</f>
        <v>比较价值（元/平方米）</v>
      </c>
      <c r="Q49" s="3247"/>
      <c r="R49" s="3301" t="e">
        <f>IF(F1="售价",ROUND(PRODUCT(R48,AA7:AA47),0),ROUND(PRODUCT(R48,AA7:AA47),1))</f>
        <v>#DIV/0!</v>
      </c>
      <c r="S49" s="3301"/>
      <c r="T49" s="3301" t="e">
        <f>IF(F1="售价",ROUND(PRODUCT(T48,AB7:AB47),0),ROUND(PRODUCT(T48,AB7:AB47),1))</f>
        <v>#DIV/0!</v>
      </c>
      <c r="U49" s="3301"/>
      <c r="V49" s="3301" t="e">
        <f>IF(F1="售价",ROUND(PRODUCT(V48,AC7:AC47),0),ROUND(PRODUCT(V48,AC7:AC47),1))</f>
        <v>#DIV/0!</v>
      </c>
      <c r="W49" s="3301"/>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320" t="str">
        <f>A50</f>
        <v>估价对象XX用房的比较价值（楼面单价，元/平方米）</v>
      </c>
      <c r="Q50" s="3321"/>
      <c r="R50" s="3322" t="e">
        <f>IF(F1="售价",ROUND(AVERAGE(R49:V49),0),ROUND(AVERAGE(R49:V49),1))</f>
        <v>#DIV/0!</v>
      </c>
      <c r="S50" s="3322"/>
      <c r="T50" s="3322"/>
      <c r="U50" s="3322"/>
      <c r="V50" s="3322"/>
      <c r="W50" s="3322"/>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8"/>
      <c r="Q58" s="504"/>
    </row>
    <row r="59" spans="1:29" s="508" customFormat="1" ht="15">
      <c r="A59" s="505" t="s">
        <v>2549</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2586</v>
      </c>
      <c r="B61" s="516"/>
      <c r="C61" s="517"/>
      <c r="D61" s="518"/>
      <c r="E61" s="518"/>
      <c r="F61" s="518"/>
      <c r="G61" s="518"/>
      <c r="H61" s="518"/>
      <c r="I61" s="518"/>
      <c r="J61" s="518"/>
      <c r="K61" s="518"/>
      <c r="L61" s="518"/>
      <c r="M61" s="519"/>
      <c r="N61" s="518"/>
      <c r="O61" s="519"/>
      <c r="P61" s="2689"/>
      <c r="Q61" s="504"/>
    </row>
    <row r="62" spans="1:29" s="117" customFormat="1" ht="15">
      <c r="A62" s="521" t="s">
        <v>2551</v>
      </c>
      <c r="B62" s="510"/>
      <c r="C62" s="522" t="s">
        <v>2653</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2589</v>
      </c>
      <c r="B64" s="528" t="s">
        <v>2555</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2700</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2564</v>
      </c>
      <c r="B101" s="528" t="s">
        <v>2613</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2615</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2617</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2618</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2619</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2702</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2621</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119963.53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48" t="s">
        <v>2647</v>
      </c>
      <c r="D4" s="3249"/>
      <c r="E4" s="3250" t="s">
        <v>2648</v>
      </c>
      <c r="F4" s="3251"/>
      <c r="G4" s="3248" t="s">
        <v>2649</v>
      </c>
      <c r="H4" s="3249"/>
      <c r="I4" s="3248" t="s">
        <v>2650</v>
      </c>
      <c r="J4" s="3249"/>
      <c r="K4" s="610" t="s">
        <v>2651</v>
      </c>
      <c r="L4" s="1133"/>
      <c r="M4" s="1134"/>
      <c r="N4" s="1134"/>
      <c r="O4" s="1134"/>
      <c r="P4" s="3252" t="s">
        <v>2652</v>
      </c>
      <c r="Q4" s="3253"/>
      <c r="R4" s="3235" t="s">
        <v>2648</v>
      </c>
      <c r="S4" s="3236"/>
      <c r="T4" s="3235" t="s">
        <v>2649</v>
      </c>
      <c r="U4" s="3236"/>
      <c r="V4" s="3260" t="s">
        <v>2650</v>
      </c>
      <c r="W4" s="3260"/>
      <c r="X4" s="1816"/>
      <c r="Y4" s="3235" t="s">
        <v>2652</v>
      </c>
      <c r="Z4" s="3236"/>
      <c r="AA4" s="3230" t="s">
        <v>2648</v>
      </c>
      <c r="AB4" s="3231" t="s">
        <v>2649</v>
      </c>
      <c r="AC4" s="3230" t="s">
        <v>2650</v>
      </c>
    </row>
    <row r="5" spans="1:29" ht="15">
      <c r="A5" s="404"/>
      <c r="B5" s="405"/>
      <c r="C5" s="3241" t="s">
        <v>2543</v>
      </c>
      <c r="D5" s="3242"/>
      <c r="E5" s="3239" t="s">
        <v>2544</v>
      </c>
      <c r="F5" s="3240"/>
      <c r="G5" s="3241" t="s">
        <v>2545</v>
      </c>
      <c r="H5" s="3242"/>
      <c r="I5" s="3241" t="s">
        <v>2546</v>
      </c>
      <c r="J5" s="3242"/>
      <c r="K5" s="610"/>
      <c r="L5" s="1133"/>
      <c r="M5" s="1134"/>
      <c r="N5" s="1134"/>
      <c r="O5" s="1134"/>
      <c r="P5" s="3254"/>
      <c r="Q5" s="3255"/>
      <c r="R5" s="3237"/>
      <c r="S5" s="3238"/>
      <c r="T5" s="3237"/>
      <c r="U5" s="3238"/>
      <c r="V5" s="3260"/>
      <c r="W5" s="3260"/>
      <c r="X5" s="1816"/>
      <c r="Y5" s="3237"/>
      <c r="Z5" s="3238"/>
      <c r="AA5" s="3231"/>
      <c r="AB5" s="3231"/>
      <c r="AC5" s="3231"/>
    </row>
    <row r="6" spans="1:29" ht="15.75" thickBot="1">
      <c r="A6" s="406"/>
      <c r="B6" s="407"/>
      <c r="C6" s="3243" t="s">
        <v>2547</v>
      </c>
      <c r="D6" s="3244"/>
      <c r="E6" s="3245" t="s">
        <v>2547</v>
      </c>
      <c r="F6" s="3246"/>
      <c r="G6" s="3243" t="s">
        <v>2547</v>
      </c>
      <c r="H6" s="3244"/>
      <c r="I6" s="3243" t="s">
        <v>2547</v>
      </c>
      <c r="J6" s="3244"/>
      <c r="K6" s="610" t="s">
        <v>2548</v>
      </c>
      <c r="L6" s="1133"/>
      <c r="M6" s="1134"/>
      <c r="N6" s="1134"/>
      <c r="O6" s="1134"/>
      <c r="P6" s="3256"/>
      <c r="Q6" s="3257"/>
      <c r="R6" s="3237"/>
      <c r="S6" s="3238"/>
      <c r="T6" s="3258"/>
      <c r="U6" s="3259"/>
      <c r="V6" s="3260"/>
      <c r="W6" s="3260"/>
      <c r="X6" s="1816"/>
      <c r="Y6" s="3258"/>
      <c r="Z6" s="3259"/>
      <c r="AA6" s="3232"/>
      <c r="AB6" s="3232"/>
      <c r="AC6" s="3232"/>
    </row>
    <row r="7" spans="1:29" s="117" customFormat="1" ht="15.75" thickBot="1">
      <c r="A7" s="408" t="s">
        <v>2549</v>
      </c>
      <c r="B7" s="409"/>
      <c r="C7" s="410">
        <f>'数据-取费表'!B2</f>
        <v>43235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3" t="s">
        <v>2550</v>
      </c>
      <c r="Q7" s="3261"/>
      <c r="R7" s="770" t="s">
        <v>17</v>
      </c>
      <c r="S7" s="771">
        <f t="shared" ref="S7:S15" si="0">F7</f>
        <v>0</v>
      </c>
      <c r="T7" s="770" t="s">
        <v>17</v>
      </c>
      <c r="U7" s="771">
        <f t="shared" ref="U7:U15" si="1">H7</f>
        <v>0</v>
      </c>
      <c r="V7" s="770" t="s">
        <v>17</v>
      </c>
      <c r="W7" s="771">
        <f t="shared" ref="W7:W15" si="2">J7</f>
        <v>0</v>
      </c>
      <c r="X7" s="772"/>
      <c r="Y7" s="3233" t="s">
        <v>2550</v>
      </c>
      <c r="Z7" s="3234"/>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3" t="s">
        <v>2553</v>
      </c>
      <c r="Q8" s="3234"/>
      <c r="R8" s="770" t="s">
        <v>17</v>
      </c>
      <c r="S8" s="771">
        <f t="shared" si="0"/>
        <v>0</v>
      </c>
      <c r="T8" s="770" t="s">
        <v>17</v>
      </c>
      <c r="U8" s="771">
        <f t="shared" si="1"/>
        <v>0</v>
      </c>
      <c r="V8" s="770" t="s">
        <v>17</v>
      </c>
      <c r="W8" s="771">
        <f t="shared" si="2"/>
        <v>0</v>
      </c>
      <c r="X8" s="772"/>
      <c r="Y8" s="3233" t="s">
        <v>2553</v>
      </c>
      <c r="Z8" s="3234"/>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47" t="s">
        <v>2556</v>
      </c>
      <c r="Q9" s="1798" t="str">
        <f t="shared" ref="Q9:Q15" si="6">B9</f>
        <v>用途</v>
      </c>
      <c r="R9" s="770" t="s">
        <v>17</v>
      </c>
      <c r="S9" s="771">
        <f t="shared" si="0"/>
        <v>100</v>
      </c>
      <c r="T9" s="770" t="s">
        <v>17</v>
      </c>
      <c r="U9" s="771">
        <f t="shared" si="1"/>
        <v>100</v>
      </c>
      <c r="V9" s="770" t="s">
        <v>17</v>
      </c>
      <c r="W9" s="771">
        <f t="shared" si="2"/>
        <v>100</v>
      </c>
      <c r="X9" s="772"/>
      <c r="Y9" s="310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47"/>
      <c r="Q10" s="1798"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7"/>
      <c r="Q11" s="1798" t="str">
        <f t="shared" si="6"/>
        <v>容积率</v>
      </c>
      <c r="R11" s="770" t="s">
        <v>17</v>
      </c>
      <c r="S11" s="771" t="e">
        <f t="shared" si="0"/>
        <v>#N/A</v>
      </c>
      <c r="T11" s="770" t="s">
        <v>17</v>
      </c>
      <c r="U11" s="771" t="e">
        <f t="shared" si="1"/>
        <v>#N/A</v>
      </c>
      <c r="V11" s="770" t="s">
        <v>17</v>
      </c>
      <c r="W11" s="771" t="e">
        <f t="shared" si="2"/>
        <v>#N/A</v>
      </c>
      <c r="X11" s="772"/>
      <c r="Y11" s="3107"/>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47"/>
      <c r="Q12" s="1798">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47"/>
      <c r="Q13" s="1798">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47"/>
      <c r="Q14" s="1798">
        <f t="shared" si="6"/>
        <v>111</v>
      </c>
      <c r="R14" s="770" t="s">
        <v>17</v>
      </c>
      <c r="S14" s="771">
        <f t="shared" si="0"/>
        <v>100</v>
      </c>
      <c r="T14" s="770" t="s">
        <v>17</v>
      </c>
      <c r="U14" s="771">
        <f t="shared" si="1"/>
        <v>100</v>
      </c>
      <c r="V14" s="770" t="s">
        <v>17</v>
      </c>
      <c r="W14" s="771">
        <f t="shared" si="2"/>
        <v>100</v>
      </c>
      <c r="X14" s="772"/>
      <c r="Y14" s="3107"/>
      <c r="Z14" s="55">
        <f t="shared" si="7"/>
        <v>111</v>
      </c>
      <c r="AA14" s="773">
        <f t="shared" si="3"/>
        <v>1</v>
      </c>
      <c r="AB14" s="773">
        <f t="shared" si="4"/>
        <v>1</v>
      </c>
      <c r="AC14" s="773">
        <f t="shared" si="5"/>
        <v>1</v>
      </c>
    </row>
    <row r="15" spans="1:29" ht="57">
      <c r="A15" s="440" t="s">
        <v>2560</v>
      </c>
      <c r="B15" s="69" t="s">
        <v>2704</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62" t="s">
        <v>2561</v>
      </c>
      <c r="Q15" s="1813" t="str">
        <f t="shared" si="6"/>
        <v>产业集聚程度</v>
      </c>
      <c r="R15" s="774" t="s">
        <v>17</v>
      </c>
      <c r="S15" s="775">
        <f t="shared" si="0"/>
        <v>100</v>
      </c>
      <c r="T15" s="774" t="s">
        <v>17</v>
      </c>
      <c r="U15" s="775">
        <f t="shared" si="1"/>
        <v>100</v>
      </c>
      <c r="V15" s="774" t="s">
        <v>17</v>
      </c>
      <c r="W15" s="775">
        <f t="shared" si="2"/>
        <v>100</v>
      </c>
      <c r="X15" s="1816"/>
      <c r="Y15" s="3262"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63"/>
      <c r="Q16" s="1813"/>
      <c r="R16" s="774"/>
      <c r="S16" s="775"/>
      <c r="T16" s="774"/>
      <c r="U16" s="775"/>
      <c r="V16" s="774"/>
      <c r="W16" s="775"/>
      <c r="X16" s="1816"/>
      <c r="Y16" s="3263"/>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63"/>
      <c r="Q17" s="1813" t="str">
        <f>B17</f>
        <v>交通便捷度</v>
      </c>
      <c r="R17" s="774" t="s">
        <v>17</v>
      </c>
      <c r="S17" s="775">
        <f>F17</f>
        <v>100</v>
      </c>
      <c r="T17" s="774" t="s">
        <v>17</v>
      </c>
      <c r="U17" s="775">
        <f>H17</f>
        <v>100</v>
      </c>
      <c r="V17" s="774" t="s">
        <v>17</v>
      </c>
      <c r="W17" s="775">
        <f>J17</f>
        <v>100</v>
      </c>
      <c r="X17" s="1816"/>
      <c r="Y17" s="326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63"/>
      <c r="Q18" s="1813"/>
      <c r="R18" s="774"/>
      <c r="S18" s="775"/>
      <c r="T18" s="774"/>
      <c r="U18" s="775"/>
      <c r="V18" s="774"/>
      <c r="W18" s="775"/>
      <c r="X18" s="1816"/>
      <c r="Y18" s="3263"/>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63"/>
      <c r="Q19" s="1813" t="str">
        <f>B19</f>
        <v>公共配套设施</v>
      </c>
      <c r="R19" s="774" t="s">
        <v>17</v>
      </c>
      <c r="S19" s="775">
        <f>F19</f>
        <v>100</v>
      </c>
      <c r="T19" s="774" t="s">
        <v>17</v>
      </c>
      <c r="U19" s="775">
        <f>H19</f>
        <v>100</v>
      </c>
      <c r="V19" s="774" t="s">
        <v>17</v>
      </c>
      <c r="W19" s="775">
        <f>J19</f>
        <v>100</v>
      </c>
      <c r="X19" s="1816"/>
      <c r="Y19" s="326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63"/>
      <c r="Q20" s="1813"/>
      <c r="R20" s="774"/>
      <c r="S20" s="775"/>
      <c r="T20" s="774"/>
      <c r="U20" s="775"/>
      <c r="V20" s="774"/>
      <c r="W20" s="775"/>
      <c r="X20" s="1816"/>
      <c r="Y20" s="3263"/>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63"/>
      <c r="Q21" s="1813" t="str">
        <f>B21</f>
        <v>基础设施水平</v>
      </c>
      <c r="R21" s="774" t="s">
        <v>17</v>
      </c>
      <c r="S21" s="775">
        <f>F21</f>
        <v>100</v>
      </c>
      <c r="T21" s="774" t="s">
        <v>17</v>
      </c>
      <c r="U21" s="775">
        <f>H21</f>
        <v>100</v>
      </c>
      <c r="V21" s="774" t="s">
        <v>17</v>
      </c>
      <c r="W21" s="775">
        <f>J21</f>
        <v>100</v>
      </c>
      <c r="X21" s="1816"/>
      <c r="Y21" s="326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63"/>
      <c r="Q22" s="1813"/>
      <c r="R22" s="774"/>
      <c r="S22" s="775"/>
      <c r="T22" s="774"/>
      <c r="U22" s="775"/>
      <c r="V22" s="774"/>
      <c r="W22" s="775"/>
      <c r="X22" s="1816"/>
      <c r="Y22" s="3263"/>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63"/>
      <c r="Q23" s="1813" t="str">
        <f>B23</f>
        <v>环境质量</v>
      </c>
      <c r="R23" s="774" t="s">
        <v>17</v>
      </c>
      <c r="S23" s="775">
        <f>F23</f>
        <v>100</v>
      </c>
      <c r="T23" s="774" t="s">
        <v>17</v>
      </c>
      <c r="U23" s="775">
        <f>H23</f>
        <v>100</v>
      </c>
      <c r="V23" s="774" t="s">
        <v>17</v>
      </c>
      <c r="W23" s="775">
        <f>J23</f>
        <v>100</v>
      </c>
      <c r="X23" s="1816"/>
      <c r="Y23" s="3263"/>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63"/>
      <c r="Q24" s="1813"/>
      <c r="R24" s="774"/>
      <c r="S24" s="775"/>
      <c r="T24" s="774"/>
      <c r="U24" s="775"/>
      <c r="V24" s="774"/>
      <c r="W24" s="775"/>
      <c r="X24" s="1816"/>
      <c r="Y24" s="326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63"/>
      <c r="Q25" s="1813">
        <f>B25</f>
        <v>111</v>
      </c>
      <c r="R25" s="774" t="s">
        <v>17</v>
      </c>
      <c r="S25" s="775">
        <f>F25</f>
        <v>100</v>
      </c>
      <c r="T25" s="774" t="s">
        <v>17</v>
      </c>
      <c r="U25" s="775">
        <f>H25</f>
        <v>100</v>
      </c>
      <c r="V25" s="774" t="s">
        <v>17</v>
      </c>
      <c r="W25" s="775">
        <f>J25</f>
        <v>100</v>
      </c>
      <c r="X25" s="1816"/>
      <c r="Y25" s="326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63"/>
      <c r="Q26" s="1813">
        <f t="shared" ref="Q26:Q40" si="11">B26</f>
        <v>111</v>
      </c>
      <c r="R26" s="774" t="s">
        <v>17</v>
      </c>
      <c r="S26" s="775">
        <f>F26</f>
        <v>100</v>
      </c>
      <c r="T26" s="774" t="s">
        <v>17</v>
      </c>
      <c r="U26" s="775">
        <f>H26</f>
        <v>100</v>
      </c>
      <c r="V26" s="774" t="s">
        <v>17</v>
      </c>
      <c r="W26" s="775">
        <f>J26</f>
        <v>100</v>
      </c>
      <c r="X26" s="1816"/>
      <c r="Y26" s="326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63"/>
      <c r="Q27" s="1798">
        <f t="shared" si="11"/>
        <v>111</v>
      </c>
      <c r="R27" s="770" t="s">
        <v>17</v>
      </c>
      <c r="S27" s="771">
        <f>F27</f>
        <v>100</v>
      </c>
      <c r="T27" s="770" t="s">
        <v>17</v>
      </c>
      <c r="U27" s="771">
        <f>H27</f>
        <v>100</v>
      </c>
      <c r="V27" s="770" t="s">
        <v>17</v>
      </c>
      <c r="W27" s="771">
        <f>J27</f>
        <v>100</v>
      </c>
      <c r="X27" s="772"/>
      <c r="Y27" s="326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63"/>
      <c r="Q28" s="1813">
        <f t="shared" si="11"/>
        <v>111</v>
      </c>
      <c r="R28" s="774" t="s">
        <v>17</v>
      </c>
      <c r="S28" s="775">
        <f t="shared" ref="S28:S40" si="12">F28</f>
        <v>100</v>
      </c>
      <c r="T28" s="774" t="s">
        <v>17</v>
      </c>
      <c r="U28" s="775">
        <f t="shared" ref="U28:U40" si="13">H28</f>
        <v>100</v>
      </c>
      <c r="V28" s="774" t="s">
        <v>17</v>
      </c>
      <c r="W28" s="775">
        <f t="shared" ref="W28:W40" si="14">J28</f>
        <v>100</v>
      </c>
      <c r="X28" s="1816"/>
      <c r="Y28" s="3263"/>
      <c r="Z28" s="1817">
        <f t="shared" ref="Z28:Z40" si="15">Q28</f>
        <v>111</v>
      </c>
      <c r="AA28" s="1814">
        <f t="shared" si="3"/>
        <v>1</v>
      </c>
      <c r="AB28" s="1814">
        <f t="shared" si="4"/>
        <v>1</v>
      </c>
      <c r="AC28" s="1814">
        <f t="shared" si="5"/>
        <v>1</v>
      </c>
    </row>
    <row r="29" spans="1:29" ht="15">
      <c r="A29" s="466" t="s">
        <v>2564</v>
      </c>
      <c r="B29" s="71" t="s">
        <v>2694</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64" t="s">
        <v>2566</v>
      </c>
      <c r="Q29" s="1813" t="str">
        <f t="shared" si="11"/>
        <v>建筑类型</v>
      </c>
      <c r="R29" s="774" t="s">
        <v>17</v>
      </c>
      <c r="S29" s="775">
        <f t="shared" si="12"/>
        <v>100</v>
      </c>
      <c r="T29" s="774" t="s">
        <v>17</v>
      </c>
      <c r="U29" s="775">
        <f t="shared" si="13"/>
        <v>100</v>
      </c>
      <c r="V29" s="774" t="s">
        <v>17</v>
      </c>
      <c r="W29" s="775">
        <f t="shared" si="14"/>
        <v>100</v>
      </c>
      <c r="X29" s="1816"/>
      <c r="Y29" s="3265"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65"/>
      <c r="Q30" s="776" t="str">
        <f t="shared" si="11"/>
        <v>项目建筑规模</v>
      </c>
      <c r="R30" s="777" t="s">
        <v>17</v>
      </c>
      <c r="S30" s="778" t="e">
        <f t="shared" si="12"/>
        <v>#N/A</v>
      </c>
      <c r="T30" s="777" t="s">
        <v>17</v>
      </c>
      <c r="U30" s="778" t="e">
        <f t="shared" si="13"/>
        <v>#N/A</v>
      </c>
      <c r="V30" s="777" t="s">
        <v>17</v>
      </c>
      <c r="W30" s="778" t="e">
        <f t="shared" si="14"/>
        <v>#N/A</v>
      </c>
      <c r="X30" s="779"/>
      <c r="Y30" s="3265"/>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65"/>
      <c r="Q31" s="1813" t="str">
        <f t="shared" si="11"/>
        <v>建筑结构</v>
      </c>
      <c r="R31" s="774" t="s">
        <v>17</v>
      </c>
      <c r="S31" s="775">
        <f t="shared" si="12"/>
        <v>100</v>
      </c>
      <c r="T31" s="774" t="s">
        <v>17</v>
      </c>
      <c r="U31" s="775">
        <f t="shared" si="13"/>
        <v>100</v>
      </c>
      <c r="V31" s="774" t="s">
        <v>17</v>
      </c>
      <c r="W31" s="775">
        <f t="shared" si="14"/>
        <v>100</v>
      </c>
      <c r="X31" s="1816"/>
      <c r="Y31" s="3265"/>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65"/>
      <c r="Q32" s="1813" t="str">
        <f t="shared" si="11"/>
        <v>公共部分装修</v>
      </c>
      <c r="R32" s="774" t="s">
        <v>17</v>
      </c>
      <c r="S32" s="775">
        <f t="shared" si="12"/>
        <v>100</v>
      </c>
      <c r="T32" s="774" t="s">
        <v>17</v>
      </c>
      <c r="U32" s="775">
        <f t="shared" si="13"/>
        <v>100</v>
      </c>
      <c r="V32" s="774" t="s">
        <v>17</v>
      </c>
      <c r="W32" s="775">
        <f t="shared" si="14"/>
        <v>100</v>
      </c>
      <c r="X32" s="1816"/>
      <c r="Y32" s="3265"/>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65"/>
      <c r="Q33" s="1813" t="str">
        <f t="shared" si="11"/>
        <v>成新度</v>
      </c>
      <c r="R33" s="774" t="s">
        <v>17</v>
      </c>
      <c r="S33" s="775" t="e">
        <f t="shared" si="12"/>
        <v>#N/A</v>
      </c>
      <c r="T33" s="774" t="s">
        <v>17</v>
      </c>
      <c r="U33" s="775" t="e">
        <f t="shared" si="13"/>
        <v>#N/A</v>
      </c>
      <c r="V33" s="774" t="s">
        <v>17</v>
      </c>
      <c r="W33" s="775" t="e">
        <f t="shared" si="14"/>
        <v>#N/A</v>
      </c>
      <c r="X33" s="1816"/>
      <c r="Y33" s="3265"/>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65"/>
      <c r="Q34" s="1798" t="str">
        <f t="shared" si="11"/>
        <v>物业管理</v>
      </c>
      <c r="R34" s="770" t="s">
        <v>17</v>
      </c>
      <c r="S34" s="771">
        <f t="shared" si="12"/>
        <v>100</v>
      </c>
      <c r="T34" s="770" t="s">
        <v>17</v>
      </c>
      <c r="U34" s="771">
        <f t="shared" si="13"/>
        <v>100</v>
      </c>
      <c r="V34" s="770" t="s">
        <v>17</v>
      </c>
      <c r="W34" s="771">
        <f t="shared" si="14"/>
        <v>100</v>
      </c>
      <c r="X34" s="772"/>
      <c r="Y34" s="3265"/>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65" t="s">
        <v>2566</v>
      </c>
      <c r="Q35" s="1813" t="str">
        <f t="shared" si="11"/>
        <v>市政基础设施</v>
      </c>
      <c r="R35" s="774" t="s">
        <v>17</v>
      </c>
      <c r="S35" s="775">
        <f t="shared" si="12"/>
        <v>100</v>
      </c>
      <c r="T35" s="774" t="s">
        <v>17</v>
      </c>
      <c r="U35" s="775">
        <f t="shared" si="13"/>
        <v>100</v>
      </c>
      <c r="V35" s="774" t="s">
        <v>17</v>
      </c>
      <c r="W35" s="775">
        <f t="shared" si="14"/>
        <v>100</v>
      </c>
      <c r="X35" s="1816"/>
      <c r="Y35" s="3265"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65"/>
      <c r="Q36" s="1813" t="str">
        <f t="shared" si="11"/>
        <v>内部装修</v>
      </c>
      <c r="R36" s="774" t="s">
        <v>17</v>
      </c>
      <c r="S36" s="775">
        <f t="shared" si="12"/>
        <v>100</v>
      </c>
      <c r="T36" s="774" t="s">
        <v>17</v>
      </c>
      <c r="U36" s="775">
        <f t="shared" si="13"/>
        <v>100</v>
      </c>
      <c r="V36" s="774" t="s">
        <v>17</v>
      </c>
      <c r="W36" s="775">
        <f t="shared" si="14"/>
        <v>100</v>
      </c>
      <c r="X36" s="1816"/>
      <c r="Y36" s="3265"/>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65"/>
      <c r="Q37" s="1813" t="str">
        <f t="shared" si="11"/>
        <v>内部装修状况</v>
      </c>
      <c r="R37" s="774" t="s">
        <v>17</v>
      </c>
      <c r="S37" s="775">
        <f t="shared" si="12"/>
        <v>100</v>
      </c>
      <c r="T37" s="774" t="s">
        <v>17</v>
      </c>
      <c r="U37" s="775">
        <f t="shared" si="13"/>
        <v>100</v>
      </c>
      <c r="V37" s="774" t="s">
        <v>17</v>
      </c>
      <c r="W37" s="775">
        <f t="shared" si="14"/>
        <v>100</v>
      </c>
      <c r="X37" s="1816"/>
      <c r="Y37" s="326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65"/>
      <c r="Q38" s="776">
        <f t="shared" si="11"/>
        <v>111</v>
      </c>
      <c r="R38" s="777" t="s">
        <v>17</v>
      </c>
      <c r="S38" s="778">
        <f t="shared" si="12"/>
        <v>100</v>
      </c>
      <c r="T38" s="777" t="s">
        <v>17</v>
      </c>
      <c r="U38" s="778">
        <f t="shared" si="13"/>
        <v>100</v>
      </c>
      <c r="V38" s="777" t="s">
        <v>17</v>
      </c>
      <c r="W38" s="778">
        <f t="shared" si="14"/>
        <v>100</v>
      </c>
      <c r="X38" s="779"/>
      <c r="Y38" s="326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65"/>
      <c r="Q39" s="1813">
        <f t="shared" si="11"/>
        <v>111</v>
      </c>
      <c r="R39" s="774" t="s">
        <v>17</v>
      </c>
      <c r="S39" s="775">
        <f t="shared" si="12"/>
        <v>100</v>
      </c>
      <c r="T39" s="774" t="s">
        <v>17</v>
      </c>
      <c r="U39" s="775">
        <f t="shared" si="13"/>
        <v>100</v>
      </c>
      <c r="V39" s="774" t="s">
        <v>17</v>
      </c>
      <c r="W39" s="775">
        <f t="shared" si="14"/>
        <v>100</v>
      </c>
      <c r="X39" s="1816"/>
      <c r="Y39" s="3265"/>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05"/>
      <c r="Q40" s="1813">
        <f t="shared" si="11"/>
        <v>111</v>
      </c>
      <c r="R40" s="774" t="s">
        <v>17</v>
      </c>
      <c r="S40" s="775">
        <f t="shared" si="12"/>
        <v>100</v>
      </c>
      <c r="T40" s="774" t="s">
        <v>17</v>
      </c>
      <c r="U40" s="775">
        <f t="shared" si="13"/>
        <v>100</v>
      </c>
      <c r="V40" s="774" t="s">
        <v>17</v>
      </c>
      <c r="W40" s="775">
        <f t="shared" si="14"/>
        <v>100</v>
      </c>
      <c r="X40" s="1816"/>
      <c r="Y40" s="3305"/>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47" t="str">
        <f>A41</f>
        <v>成交单价（元/平方米）</v>
      </c>
      <c r="Q41" s="3247"/>
      <c r="R41" s="3301">
        <f>E41</f>
        <v>0</v>
      </c>
      <c r="S41" s="3301"/>
      <c r="T41" s="3301">
        <f>G41</f>
        <v>0</v>
      </c>
      <c r="U41" s="3301"/>
      <c r="V41" s="3301">
        <f>I41</f>
        <v>0</v>
      </c>
      <c r="W41" s="3301"/>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47" t="str">
        <f>A42</f>
        <v>比较价值（元/平方米）</v>
      </c>
      <c r="Q42" s="3247"/>
      <c r="R42" s="3301" t="e">
        <f>IF(F1="售价",ROUND(PRODUCT(R41,AA7:AA40),0),ROUND(PRODUCT(R41,AA7:AA40),1))</f>
        <v>#DIV/0!</v>
      </c>
      <c r="S42" s="3301"/>
      <c r="T42" s="3301" t="e">
        <f>IF(F1="售价",ROUND(PRODUCT(T41,AB7:AB40),0),ROUND(PRODUCT(T41,AB7:AB40),1))</f>
        <v>#DIV/0!</v>
      </c>
      <c r="U42" s="3301"/>
      <c r="V42" s="3301" t="e">
        <f>IF(F1="售价",ROUND(PRODUCT(V41,AC7:AC40),0),ROUND(PRODUCT(V41,AC7:AC40),1))</f>
        <v>#DIV/0!</v>
      </c>
      <c r="W42" s="3301"/>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67" t="str">
        <f>A43</f>
        <v>估价对象XX用房的比较价值（楼面单价，元/平方米）</v>
      </c>
      <c r="Q43" s="3268"/>
      <c r="R43" s="3300" t="e">
        <f>IF(F1="售价",ROUND(AVERAGE(R42:V42),0),ROUND(AVERAGE(R42:V42),1))</f>
        <v>#DIV/0!</v>
      </c>
      <c r="S43" s="3300"/>
      <c r="T43" s="3300"/>
      <c r="U43" s="3300"/>
      <c r="V43" s="3300"/>
      <c r="W43" s="330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48" t="s">
        <v>2647</v>
      </c>
      <c r="D4" s="3249"/>
      <c r="E4" s="3250" t="s">
        <v>2648</v>
      </c>
      <c r="F4" s="3251"/>
      <c r="G4" s="3248" t="s">
        <v>2649</v>
      </c>
      <c r="H4" s="3249"/>
      <c r="I4" s="3248" t="s">
        <v>2650</v>
      </c>
      <c r="J4" s="3249"/>
      <c r="K4" s="610" t="s">
        <v>2651</v>
      </c>
      <c r="L4" s="1133"/>
      <c r="M4" s="1134"/>
      <c r="N4" s="1134"/>
      <c r="O4" s="1134"/>
      <c r="P4" s="3252" t="s">
        <v>2652</v>
      </c>
      <c r="Q4" s="3253"/>
      <c r="R4" s="3235" t="s">
        <v>2648</v>
      </c>
      <c r="S4" s="3236"/>
      <c r="T4" s="3235" t="s">
        <v>2649</v>
      </c>
      <c r="U4" s="3236"/>
      <c r="V4" s="3260" t="s">
        <v>2650</v>
      </c>
      <c r="W4" s="3260"/>
      <c r="X4" s="1816"/>
      <c r="Y4" s="3235" t="s">
        <v>2652</v>
      </c>
      <c r="Z4" s="3236"/>
      <c r="AA4" s="3230" t="s">
        <v>2648</v>
      </c>
      <c r="AB4" s="3231" t="s">
        <v>2649</v>
      </c>
      <c r="AC4" s="3230" t="s">
        <v>2650</v>
      </c>
    </row>
    <row r="5" spans="1:29" ht="15">
      <c r="A5" s="404"/>
      <c r="B5" s="405"/>
      <c r="C5" s="3241" t="s">
        <v>2543</v>
      </c>
      <c r="D5" s="3242"/>
      <c r="E5" s="3239" t="s">
        <v>2544</v>
      </c>
      <c r="F5" s="3240"/>
      <c r="G5" s="3241" t="s">
        <v>2545</v>
      </c>
      <c r="H5" s="3242"/>
      <c r="I5" s="3241" t="s">
        <v>2546</v>
      </c>
      <c r="J5" s="3242"/>
      <c r="K5" s="610"/>
      <c r="L5" s="1133"/>
      <c r="M5" s="1134"/>
      <c r="N5" s="1134"/>
      <c r="O5" s="1134"/>
      <c r="P5" s="3254"/>
      <c r="Q5" s="3255"/>
      <c r="R5" s="3237"/>
      <c r="S5" s="3238"/>
      <c r="T5" s="3237"/>
      <c r="U5" s="3238"/>
      <c r="V5" s="3260"/>
      <c r="W5" s="3260"/>
      <c r="X5" s="1816"/>
      <c r="Y5" s="3237"/>
      <c r="Z5" s="3238"/>
      <c r="AA5" s="3231"/>
      <c r="AB5" s="3231"/>
      <c r="AC5" s="3231"/>
    </row>
    <row r="6" spans="1:29" ht="15.75" thickBot="1">
      <c r="A6" s="406"/>
      <c r="B6" s="407"/>
      <c r="C6" s="3243" t="s">
        <v>2547</v>
      </c>
      <c r="D6" s="3244"/>
      <c r="E6" s="3245" t="s">
        <v>2547</v>
      </c>
      <c r="F6" s="3246"/>
      <c r="G6" s="3243" t="s">
        <v>2547</v>
      </c>
      <c r="H6" s="3244"/>
      <c r="I6" s="3243" t="s">
        <v>2547</v>
      </c>
      <c r="J6" s="3244"/>
      <c r="K6" s="610" t="s">
        <v>2548</v>
      </c>
      <c r="L6" s="1133"/>
      <c r="M6" s="1134"/>
      <c r="N6" s="1134"/>
      <c r="O6" s="1134"/>
      <c r="P6" s="3256"/>
      <c r="Q6" s="3257"/>
      <c r="R6" s="3237"/>
      <c r="S6" s="3238"/>
      <c r="T6" s="3258"/>
      <c r="U6" s="3259"/>
      <c r="V6" s="3260"/>
      <c r="W6" s="3260"/>
      <c r="X6" s="1816"/>
      <c r="Y6" s="3258"/>
      <c r="Z6" s="3259"/>
      <c r="AA6" s="3232"/>
      <c r="AB6" s="3232"/>
      <c r="AC6" s="3232"/>
    </row>
    <row r="7" spans="1:29" s="117" customFormat="1" ht="15.75" thickBot="1">
      <c r="A7" s="408" t="s">
        <v>2549</v>
      </c>
      <c r="B7" s="409"/>
      <c r="C7" s="410">
        <f>'数据-取费表'!B2</f>
        <v>43235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3" t="s">
        <v>2550</v>
      </c>
      <c r="Q7" s="3261"/>
      <c r="R7" s="770" t="s">
        <v>17</v>
      </c>
      <c r="S7" s="771">
        <f t="shared" ref="S7:S14" si="0">F7</f>
        <v>0</v>
      </c>
      <c r="T7" s="770" t="s">
        <v>17</v>
      </c>
      <c r="U7" s="771">
        <f t="shared" ref="U7:U14" si="1">H7</f>
        <v>0</v>
      </c>
      <c r="V7" s="770" t="s">
        <v>17</v>
      </c>
      <c r="W7" s="771">
        <f t="shared" ref="W7:W14" si="2">J7</f>
        <v>0</v>
      </c>
      <c r="X7" s="772"/>
      <c r="Y7" s="3233" t="s">
        <v>2550</v>
      </c>
      <c r="Z7" s="3234"/>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3" t="s">
        <v>2553</v>
      </c>
      <c r="Q8" s="3234"/>
      <c r="R8" s="770" t="s">
        <v>17</v>
      </c>
      <c r="S8" s="771">
        <f t="shared" si="0"/>
        <v>0</v>
      </c>
      <c r="T8" s="770" t="s">
        <v>17</v>
      </c>
      <c r="U8" s="771">
        <f t="shared" si="1"/>
        <v>0</v>
      </c>
      <c r="V8" s="770" t="s">
        <v>17</v>
      </c>
      <c r="W8" s="771">
        <f t="shared" si="2"/>
        <v>0</v>
      </c>
      <c r="X8" s="772"/>
      <c r="Y8" s="3233" t="s">
        <v>2553</v>
      </c>
      <c r="Z8" s="3234"/>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7" t="s">
        <v>2556</v>
      </c>
      <c r="Q9" s="1798" t="str">
        <f t="shared" ref="Q9:Q14" si="6">B9</f>
        <v>用途</v>
      </c>
      <c r="R9" s="770" t="s">
        <v>17</v>
      </c>
      <c r="S9" s="771">
        <f t="shared" si="0"/>
        <v>100</v>
      </c>
      <c r="T9" s="770" t="s">
        <v>17</v>
      </c>
      <c r="U9" s="771">
        <f t="shared" si="1"/>
        <v>100</v>
      </c>
      <c r="V9" s="770" t="s">
        <v>17</v>
      </c>
      <c r="W9" s="771">
        <f t="shared" si="2"/>
        <v>100</v>
      </c>
      <c r="X9" s="772"/>
      <c r="Y9" s="3107"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7"/>
      <c r="Q10" s="1798"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7"/>
      <c r="Q11" s="1798">
        <f t="shared" si="6"/>
        <v>111</v>
      </c>
      <c r="R11" s="770" t="s">
        <v>17</v>
      </c>
      <c r="S11" s="771">
        <f t="shared" si="0"/>
        <v>100</v>
      </c>
      <c r="T11" s="770" t="s">
        <v>17</v>
      </c>
      <c r="U11" s="771">
        <f t="shared" si="1"/>
        <v>100</v>
      </c>
      <c r="V11" s="770" t="s">
        <v>17</v>
      </c>
      <c r="W11" s="771">
        <f t="shared" si="2"/>
        <v>100</v>
      </c>
      <c r="X11" s="772"/>
      <c r="Y11" s="31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7"/>
      <c r="Q12" s="1798">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7"/>
      <c r="Q13" s="1798">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85.5">
      <c r="A14" s="401" t="s">
        <v>2560</v>
      </c>
      <c r="B14" s="629" t="s">
        <v>2710</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62" t="s">
        <v>2561</v>
      </c>
      <c r="Q14" s="1813" t="str">
        <f t="shared" si="6"/>
        <v>交通便捷度</v>
      </c>
      <c r="R14" s="774" t="s">
        <v>17</v>
      </c>
      <c r="S14" s="775">
        <f t="shared" si="0"/>
        <v>100</v>
      </c>
      <c r="T14" s="774" t="s">
        <v>17</v>
      </c>
      <c r="U14" s="775">
        <f t="shared" si="1"/>
        <v>100</v>
      </c>
      <c r="V14" s="774" t="s">
        <v>17</v>
      </c>
      <c r="W14" s="775">
        <f t="shared" si="2"/>
        <v>100</v>
      </c>
      <c r="X14" s="1816"/>
      <c r="Y14" s="3262"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63"/>
      <c r="Q15" s="1813"/>
      <c r="R15" s="774"/>
      <c r="S15" s="775"/>
      <c r="T15" s="774"/>
      <c r="U15" s="775"/>
      <c r="V15" s="774"/>
      <c r="W15" s="775"/>
      <c r="X15" s="1816"/>
      <c r="Y15" s="3263"/>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63"/>
      <c r="Q16" s="1813" t="str">
        <f>B16</f>
        <v>公共配套设施</v>
      </c>
      <c r="R16" s="774" t="s">
        <v>17</v>
      </c>
      <c r="S16" s="775">
        <f>F16</f>
        <v>100</v>
      </c>
      <c r="T16" s="774" t="s">
        <v>17</v>
      </c>
      <c r="U16" s="775">
        <f>H16</f>
        <v>100</v>
      </c>
      <c r="V16" s="774" t="s">
        <v>17</v>
      </c>
      <c r="W16" s="775">
        <f>J16</f>
        <v>100</v>
      </c>
      <c r="X16" s="1816"/>
      <c r="Y16" s="3263"/>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63"/>
      <c r="Q17" s="1813"/>
      <c r="R17" s="774"/>
      <c r="S17" s="775"/>
      <c r="T17" s="774"/>
      <c r="U17" s="775"/>
      <c r="V17" s="774"/>
      <c r="W17" s="775"/>
      <c r="X17" s="1816"/>
      <c r="Y17" s="3263"/>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63"/>
      <c r="Q18" s="1813" t="str">
        <f>B18</f>
        <v>基础设施水平</v>
      </c>
      <c r="R18" s="774" t="s">
        <v>17</v>
      </c>
      <c r="S18" s="775">
        <f>F18</f>
        <v>100</v>
      </c>
      <c r="T18" s="774" t="s">
        <v>17</v>
      </c>
      <c r="U18" s="775">
        <f>H18</f>
        <v>100</v>
      </c>
      <c r="V18" s="774" t="s">
        <v>17</v>
      </c>
      <c r="W18" s="775">
        <f>J18</f>
        <v>100</v>
      </c>
      <c r="X18" s="1816"/>
      <c r="Y18" s="3263"/>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63"/>
      <c r="Q19" s="1813"/>
      <c r="R19" s="774"/>
      <c r="S19" s="775"/>
      <c r="T19" s="774"/>
      <c r="U19" s="775"/>
      <c r="V19" s="774"/>
      <c r="W19" s="775"/>
      <c r="X19" s="1816"/>
      <c r="Y19" s="3263"/>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63"/>
      <c r="Q20" s="1813" t="str">
        <f>B20</f>
        <v>自然及人文环境</v>
      </c>
      <c r="R20" s="774" t="s">
        <v>17</v>
      </c>
      <c r="S20" s="775">
        <f>F20</f>
        <v>100</v>
      </c>
      <c r="T20" s="774" t="s">
        <v>17</v>
      </c>
      <c r="U20" s="775">
        <f>H20</f>
        <v>100</v>
      </c>
      <c r="V20" s="774" t="s">
        <v>17</v>
      </c>
      <c r="W20" s="775">
        <f>J20</f>
        <v>100</v>
      </c>
      <c r="X20" s="1816"/>
      <c r="Y20" s="326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63"/>
      <c r="Q21" s="1813"/>
      <c r="R21" s="774"/>
      <c r="S21" s="775"/>
      <c r="T21" s="774"/>
      <c r="U21" s="775"/>
      <c r="V21" s="774"/>
      <c r="W21" s="775"/>
      <c r="X21" s="1816"/>
      <c r="Y21" s="3263"/>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63"/>
      <c r="Q22" s="1813" t="str">
        <f>B22</f>
        <v>楼层</v>
      </c>
      <c r="R22" s="774" t="s">
        <v>17</v>
      </c>
      <c r="S22" s="775">
        <f>F22</f>
        <v>100</v>
      </c>
      <c r="T22" s="774" t="s">
        <v>17</v>
      </c>
      <c r="U22" s="775">
        <f>H22</f>
        <v>100</v>
      </c>
      <c r="V22" s="774" t="s">
        <v>17</v>
      </c>
      <c r="W22" s="775">
        <f>J22</f>
        <v>100</v>
      </c>
      <c r="X22" s="1816"/>
      <c r="Y22" s="326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63"/>
      <c r="Q23" s="1813">
        <f>B23</f>
        <v>111</v>
      </c>
      <c r="R23" s="774" t="s">
        <v>17</v>
      </c>
      <c r="S23" s="775">
        <f>F23</f>
        <v>100</v>
      </c>
      <c r="T23" s="774" t="s">
        <v>17</v>
      </c>
      <c r="U23" s="775">
        <f>H23</f>
        <v>100</v>
      </c>
      <c r="V23" s="774" t="s">
        <v>17</v>
      </c>
      <c r="W23" s="775">
        <f>J23</f>
        <v>100</v>
      </c>
      <c r="X23" s="1816"/>
      <c r="Y23" s="326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63"/>
      <c r="Q24" s="1813">
        <f t="shared" ref="Q24:Q36" si="11">B24</f>
        <v>111</v>
      </c>
      <c r="R24" s="774" t="s">
        <v>17</v>
      </c>
      <c r="S24" s="775">
        <f>F24</f>
        <v>100</v>
      </c>
      <c r="T24" s="774" t="s">
        <v>17</v>
      </c>
      <c r="U24" s="775">
        <f>H24</f>
        <v>100</v>
      </c>
      <c r="V24" s="774" t="s">
        <v>17</v>
      </c>
      <c r="W24" s="775">
        <f>J24</f>
        <v>100</v>
      </c>
      <c r="X24" s="1816"/>
      <c r="Y24" s="326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63"/>
      <c r="Q25" s="1798">
        <f t="shared" si="11"/>
        <v>111</v>
      </c>
      <c r="R25" s="770" t="s">
        <v>17</v>
      </c>
      <c r="S25" s="771">
        <f>F25</f>
        <v>100</v>
      </c>
      <c r="T25" s="770" t="s">
        <v>17</v>
      </c>
      <c r="U25" s="771">
        <f>H25</f>
        <v>100</v>
      </c>
      <c r="V25" s="770" t="s">
        <v>17</v>
      </c>
      <c r="W25" s="771">
        <f>J25</f>
        <v>100</v>
      </c>
      <c r="X25" s="772"/>
      <c r="Y25" s="3263"/>
      <c r="Z25" s="55">
        <f>Q25</f>
        <v>111</v>
      </c>
      <c r="AA25" s="1814">
        <f>D25/F25</f>
        <v>1</v>
      </c>
      <c r="AB25" s="1814">
        <f>D25/H25</f>
        <v>1</v>
      </c>
      <c r="AC25" s="1814">
        <f>D25/J25</f>
        <v>1</v>
      </c>
    </row>
    <row r="26" spans="1:29" ht="15">
      <c r="A26" s="652" t="s">
        <v>2564</v>
      </c>
      <c r="B26" s="70" t="s">
        <v>2713</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4"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65"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65"/>
      <c r="Q27" s="776" t="str">
        <f t="shared" si="11"/>
        <v>项目停车位配比</v>
      </c>
      <c r="R27" s="777" t="s">
        <v>17</v>
      </c>
      <c r="S27" s="778">
        <f t="shared" si="12"/>
        <v>100</v>
      </c>
      <c r="T27" s="777" t="s">
        <v>17</v>
      </c>
      <c r="U27" s="778">
        <f t="shared" si="13"/>
        <v>100</v>
      </c>
      <c r="V27" s="777" t="s">
        <v>17</v>
      </c>
      <c r="W27" s="778">
        <f t="shared" si="14"/>
        <v>100</v>
      </c>
      <c r="X27" s="779"/>
      <c r="Y27" s="3265"/>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65"/>
      <c r="Q28" s="1813" t="str">
        <f t="shared" si="11"/>
        <v>公共部分装修</v>
      </c>
      <c r="R28" s="774" t="s">
        <v>17</v>
      </c>
      <c r="S28" s="775">
        <f t="shared" si="12"/>
        <v>100</v>
      </c>
      <c r="T28" s="774" t="s">
        <v>17</v>
      </c>
      <c r="U28" s="775">
        <f t="shared" si="13"/>
        <v>100</v>
      </c>
      <c r="V28" s="774" t="s">
        <v>17</v>
      </c>
      <c r="W28" s="775">
        <f t="shared" si="14"/>
        <v>100</v>
      </c>
      <c r="X28" s="1816"/>
      <c r="Y28" s="3265"/>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65"/>
      <c r="Q29" s="1813" t="str">
        <f t="shared" si="11"/>
        <v>成新率</v>
      </c>
      <c r="R29" s="774" t="s">
        <v>17</v>
      </c>
      <c r="S29" s="775" t="e">
        <f t="shared" si="12"/>
        <v>#N/A</v>
      </c>
      <c r="T29" s="774" t="s">
        <v>17</v>
      </c>
      <c r="U29" s="775" t="e">
        <f t="shared" si="13"/>
        <v>#N/A</v>
      </c>
      <c r="V29" s="774" t="s">
        <v>17</v>
      </c>
      <c r="W29" s="775" t="e">
        <f t="shared" si="14"/>
        <v>#N/A</v>
      </c>
      <c r="X29" s="1816"/>
      <c r="Y29" s="3265"/>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65"/>
      <c r="Q30" s="1813" t="str">
        <f t="shared" si="11"/>
        <v>物业等级</v>
      </c>
      <c r="R30" s="774" t="s">
        <v>17</v>
      </c>
      <c r="S30" s="775">
        <f t="shared" si="12"/>
        <v>100</v>
      </c>
      <c r="T30" s="774" t="s">
        <v>17</v>
      </c>
      <c r="U30" s="775">
        <f t="shared" si="13"/>
        <v>100</v>
      </c>
      <c r="V30" s="774" t="s">
        <v>17</v>
      </c>
      <c r="W30" s="775">
        <f t="shared" si="14"/>
        <v>100</v>
      </c>
      <c r="X30" s="1816"/>
      <c r="Y30" s="3265"/>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65"/>
      <c r="Q31" s="1798" t="str">
        <f t="shared" si="11"/>
        <v>停车位面积</v>
      </c>
      <c r="R31" s="770" t="s">
        <v>17</v>
      </c>
      <c r="S31" s="771" t="e">
        <f t="shared" si="12"/>
        <v>#N/A</v>
      </c>
      <c r="T31" s="770" t="s">
        <v>17</v>
      </c>
      <c r="U31" s="771" t="e">
        <f t="shared" si="13"/>
        <v>#N/A</v>
      </c>
      <c r="V31" s="770" t="s">
        <v>17</v>
      </c>
      <c r="W31" s="771" t="e">
        <f t="shared" si="14"/>
        <v>#N/A</v>
      </c>
      <c r="X31" s="772"/>
      <c r="Y31" s="3265"/>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65" t="s">
        <v>2566</v>
      </c>
      <c r="Q32" s="1813" t="str">
        <f t="shared" si="11"/>
        <v>车位类型</v>
      </c>
      <c r="R32" s="774" t="s">
        <v>17</v>
      </c>
      <c r="S32" s="775">
        <f t="shared" si="12"/>
        <v>100</v>
      </c>
      <c r="T32" s="774" t="s">
        <v>17</v>
      </c>
      <c r="U32" s="775">
        <f t="shared" si="13"/>
        <v>100</v>
      </c>
      <c r="V32" s="774" t="s">
        <v>17</v>
      </c>
      <c r="W32" s="775">
        <f t="shared" si="14"/>
        <v>100</v>
      </c>
      <c r="X32" s="1816"/>
      <c r="Y32" s="3265"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65"/>
      <c r="Q33" s="1813" t="str">
        <f t="shared" si="11"/>
        <v>是否直接入户</v>
      </c>
      <c r="R33" s="774" t="s">
        <v>17</v>
      </c>
      <c r="S33" s="775">
        <f t="shared" si="12"/>
        <v>100</v>
      </c>
      <c r="T33" s="774" t="s">
        <v>17</v>
      </c>
      <c r="U33" s="775">
        <f t="shared" si="13"/>
        <v>100</v>
      </c>
      <c r="V33" s="774" t="s">
        <v>17</v>
      </c>
      <c r="W33" s="775">
        <f t="shared" si="14"/>
        <v>100</v>
      </c>
      <c r="X33" s="1816"/>
      <c r="Y33" s="326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65"/>
      <c r="Q34" s="1813">
        <f t="shared" si="11"/>
        <v>111</v>
      </c>
      <c r="R34" s="774" t="s">
        <v>17</v>
      </c>
      <c r="S34" s="775">
        <f t="shared" si="12"/>
        <v>100</v>
      </c>
      <c r="T34" s="774" t="s">
        <v>17</v>
      </c>
      <c r="U34" s="775">
        <f t="shared" si="13"/>
        <v>100</v>
      </c>
      <c r="V34" s="774" t="s">
        <v>17</v>
      </c>
      <c r="W34" s="775">
        <f t="shared" si="14"/>
        <v>100</v>
      </c>
      <c r="X34" s="1816"/>
      <c r="Y34" s="326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65"/>
      <c r="Q35" s="776">
        <f t="shared" si="11"/>
        <v>111</v>
      </c>
      <c r="R35" s="777" t="s">
        <v>17</v>
      </c>
      <c r="S35" s="778">
        <f t="shared" si="12"/>
        <v>100</v>
      </c>
      <c r="T35" s="777" t="s">
        <v>17</v>
      </c>
      <c r="U35" s="778">
        <f t="shared" si="13"/>
        <v>100</v>
      </c>
      <c r="V35" s="777" t="s">
        <v>17</v>
      </c>
      <c r="W35" s="778">
        <f t="shared" si="14"/>
        <v>100</v>
      </c>
      <c r="X35" s="779"/>
      <c r="Y35" s="326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65"/>
      <c r="Q36" s="1813">
        <f t="shared" si="11"/>
        <v>111</v>
      </c>
      <c r="R36" s="774" t="s">
        <v>17</v>
      </c>
      <c r="S36" s="775">
        <f t="shared" si="12"/>
        <v>100</v>
      </c>
      <c r="T36" s="774" t="s">
        <v>17</v>
      </c>
      <c r="U36" s="775">
        <f t="shared" si="13"/>
        <v>100</v>
      </c>
      <c r="V36" s="774" t="s">
        <v>17</v>
      </c>
      <c r="W36" s="775">
        <f t="shared" si="14"/>
        <v>100</v>
      </c>
      <c r="X36" s="1816"/>
      <c r="Y36" s="3265"/>
      <c r="Z36" s="1817">
        <f t="shared" si="15"/>
        <v>111</v>
      </c>
      <c r="AA36" s="1814">
        <f t="shared" si="3"/>
        <v>1</v>
      </c>
      <c r="AB36" s="1814">
        <f t="shared" si="4"/>
        <v>1</v>
      </c>
      <c r="AC36" s="1814">
        <f t="shared" si="5"/>
        <v>1</v>
      </c>
    </row>
    <row r="37" spans="1:29" ht="15">
      <c r="A37" s="479" t="s">
        <v>2721</v>
      </c>
      <c r="B37" s="2702" t="s">
        <v>2722</v>
      </c>
      <c r="C37" s="1410" t="s">
        <v>1</v>
      </c>
      <c r="D37" s="1411"/>
      <c r="E37" s="1412"/>
      <c r="F37" s="1413"/>
      <c r="G37" s="1414"/>
      <c r="H37" s="1415"/>
      <c r="I37" s="1412"/>
      <c r="J37" s="1415"/>
      <c r="K37" s="619"/>
      <c r="L37" s="1146"/>
      <c r="M37" s="1147"/>
      <c r="N37" s="1134"/>
      <c r="O37" s="1147"/>
      <c r="P37" s="3247" t="str">
        <f>A37</f>
        <v>成交单价</v>
      </c>
      <c r="Q37" s="3247"/>
      <c r="R37" s="3301">
        <f>E37</f>
        <v>0</v>
      </c>
      <c r="S37" s="3301"/>
      <c r="T37" s="3301">
        <f>G37</f>
        <v>0</v>
      </c>
      <c r="U37" s="3301"/>
      <c r="V37" s="3301">
        <f>I37</f>
        <v>0</v>
      </c>
      <c r="W37" s="3301"/>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7" t="str">
        <f>A38</f>
        <v>比较价值（元/平方米）</v>
      </c>
      <c r="Q38" s="3247"/>
      <c r="R38" s="3301" t="e">
        <f>IF(F1="售价",ROUND(PRODUCT(R37,AA7:AA36),0),ROUND(PRODUCT(R37,AA7:AA36),1))</f>
        <v>#DIV/0!</v>
      </c>
      <c r="S38" s="3301"/>
      <c r="T38" s="3301" t="e">
        <f>IF(F1="售价",ROUND(PRODUCT(T37,AB7:AB36),0),ROUND(PRODUCT(T37,AB7:AB36),1))</f>
        <v>#DIV/0!</v>
      </c>
      <c r="U38" s="3301"/>
      <c r="V38" s="3301" t="e">
        <f>IF(F1="售价",ROUND(PRODUCT(V37,AC7:AC36),0),ROUND(PRODUCT(V37,AC7:AC36),1))</f>
        <v>#DIV/0!</v>
      </c>
      <c r="W38" s="3301"/>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67" t="str">
        <f>A39</f>
        <v>估价对象XX用房的比较价值（楼面单价，元/平方米）</v>
      </c>
      <c r="Q39" s="3268"/>
      <c r="R39" s="3300" t="e">
        <f>IF(F1="售价",ROUND(AVERAGE(R38:V38),0),ROUND(AVERAGE(R38:V38),1))</f>
        <v>#DIV/0!</v>
      </c>
      <c r="S39" s="3300"/>
      <c r="T39" s="3300"/>
      <c r="U39" s="3300"/>
      <c r="V39" s="3300"/>
      <c r="W39" s="330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48" t="s">
        <v>2647</v>
      </c>
      <c r="D4" s="3249"/>
      <c r="E4" s="3250" t="s">
        <v>2648</v>
      </c>
      <c r="F4" s="3251"/>
      <c r="G4" s="3248" t="s">
        <v>2649</v>
      </c>
      <c r="H4" s="3249"/>
      <c r="I4" s="3248" t="s">
        <v>2650</v>
      </c>
      <c r="J4" s="3249"/>
      <c r="K4" s="610" t="s">
        <v>2651</v>
      </c>
      <c r="L4" s="1133"/>
      <c r="M4" s="1134"/>
      <c r="N4" s="1134"/>
      <c r="O4" s="1134"/>
      <c r="P4" s="3252" t="s">
        <v>2652</v>
      </c>
      <c r="Q4" s="3253"/>
      <c r="R4" s="3235" t="s">
        <v>2648</v>
      </c>
      <c r="S4" s="3236"/>
      <c r="T4" s="3235" t="s">
        <v>2649</v>
      </c>
      <c r="U4" s="3236"/>
      <c r="V4" s="3260" t="s">
        <v>2650</v>
      </c>
      <c r="W4" s="3260"/>
      <c r="X4" s="1816"/>
      <c r="Y4" s="3235" t="s">
        <v>2652</v>
      </c>
      <c r="Z4" s="3236"/>
      <c r="AA4" s="3230" t="s">
        <v>2648</v>
      </c>
      <c r="AB4" s="3231" t="s">
        <v>2649</v>
      </c>
      <c r="AC4" s="3230" t="s">
        <v>2650</v>
      </c>
    </row>
    <row r="5" spans="1:29" ht="15">
      <c r="A5" s="404"/>
      <c r="B5" s="405"/>
      <c r="C5" s="3241" t="s">
        <v>2543</v>
      </c>
      <c r="D5" s="3242"/>
      <c r="E5" s="3239" t="s">
        <v>2544</v>
      </c>
      <c r="F5" s="3240"/>
      <c r="G5" s="3241" t="s">
        <v>2545</v>
      </c>
      <c r="H5" s="3242"/>
      <c r="I5" s="3241" t="s">
        <v>2546</v>
      </c>
      <c r="J5" s="3242"/>
      <c r="K5" s="610"/>
      <c r="L5" s="1133"/>
      <c r="M5" s="1134"/>
      <c r="N5" s="1134"/>
      <c r="O5" s="1134"/>
      <c r="P5" s="3254"/>
      <c r="Q5" s="3255"/>
      <c r="R5" s="3237"/>
      <c r="S5" s="3238"/>
      <c r="T5" s="3237"/>
      <c r="U5" s="3238"/>
      <c r="V5" s="3260"/>
      <c r="W5" s="3260"/>
      <c r="X5" s="1816"/>
      <c r="Y5" s="3237"/>
      <c r="Z5" s="3238"/>
      <c r="AA5" s="3231"/>
      <c r="AB5" s="3231"/>
      <c r="AC5" s="3231"/>
    </row>
    <row r="6" spans="1:29" ht="15.75" thickBot="1">
      <c r="A6" s="406"/>
      <c r="B6" s="407"/>
      <c r="C6" s="3243" t="s">
        <v>2547</v>
      </c>
      <c r="D6" s="3244"/>
      <c r="E6" s="3245" t="s">
        <v>2547</v>
      </c>
      <c r="F6" s="3246"/>
      <c r="G6" s="3243" t="s">
        <v>2547</v>
      </c>
      <c r="H6" s="3244"/>
      <c r="I6" s="3243" t="s">
        <v>2547</v>
      </c>
      <c r="J6" s="3244"/>
      <c r="K6" s="610" t="s">
        <v>2548</v>
      </c>
      <c r="L6" s="1133"/>
      <c r="M6" s="1134"/>
      <c r="N6" s="1134"/>
      <c r="O6" s="1134"/>
      <c r="P6" s="3256"/>
      <c r="Q6" s="3257"/>
      <c r="R6" s="3237"/>
      <c r="S6" s="3238"/>
      <c r="T6" s="3258"/>
      <c r="U6" s="3259"/>
      <c r="V6" s="3260"/>
      <c r="W6" s="3260"/>
      <c r="X6" s="1816"/>
      <c r="Y6" s="3258"/>
      <c r="Z6" s="3259"/>
      <c r="AA6" s="3232"/>
      <c r="AB6" s="3232"/>
      <c r="AC6" s="3232"/>
    </row>
    <row r="7" spans="1:29" s="117" customFormat="1" ht="15.75" thickBot="1">
      <c r="A7" s="408" t="s">
        <v>2549</v>
      </c>
      <c r="B7" s="409"/>
      <c r="C7" s="410">
        <f>'数据-取费表'!B2</f>
        <v>43235</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33" t="s">
        <v>2550</v>
      </c>
      <c r="Q7" s="3261"/>
      <c r="R7" s="770" t="s">
        <v>17</v>
      </c>
      <c r="S7" s="771">
        <f t="shared" ref="S7:S14" si="0">F7</f>
        <v>0</v>
      </c>
      <c r="T7" s="770" t="s">
        <v>17</v>
      </c>
      <c r="U7" s="771">
        <f t="shared" ref="U7:U14" si="1">H7</f>
        <v>0</v>
      </c>
      <c r="V7" s="770" t="s">
        <v>17</v>
      </c>
      <c r="W7" s="771">
        <f t="shared" ref="W7:W14" si="2">J7</f>
        <v>0</v>
      </c>
      <c r="X7" s="772"/>
      <c r="Y7" s="3233" t="s">
        <v>2550</v>
      </c>
      <c r="Z7" s="3234"/>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3" t="s">
        <v>2553</v>
      </c>
      <c r="Q8" s="3234"/>
      <c r="R8" s="770" t="s">
        <v>17</v>
      </c>
      <c r="S8" s="771">
        <f t="shared" si="0"/>
        <v>0</v>
      </c>
      <c r="T8" s="770" t="s">
        <v>17</v>
      </c>
      <c r="U8" s="771">
        <f t="shared" si="1"/>
        <v>0</v>
      </c>
      <c r="V8" s="770" t="s">
        <v>17</v>
      </c>
      <c r="W8" s="771">
        <f t="shared" si="2"/>
        <v>0</v>
      </c>
      <c r="X8" s="772"/>
      <c r="Y8" s="3233" t="s">
        <v>2553</v>
      </c>
      <c r="Z8" s="3234"/>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7" t="s">
        <v>2556</v>
      </c>
      <c r="Q9" s="1798" t="str">
        <f t="shared" ref="Q9:Q14" si="6">B9</f>
        <v>用途</v>
      </c>
      <c r="R9" s="770" t="s">
        <v>17</v>
      </c>
      <c r="S9" s="771">
        <f t="shared" si="0"/>
        <v>100</v>
      </c>
      <c r="T9" s="770" t="s">
        <v>17</v>
      </c>
      <c r="U9" s="771">
        <f t="shared" si="1"/>
        <v>100</v>
      </c>
      <c r="V9" s="770" t="s">
        <v>17</v>
      </c>
      <c r="W9" s="771">
        <f t="shared" si="2"/>
        <v>100</v>
      </c>
      <c r="X9" s="772"/>
      <c r="Y9" s="3107"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7"/>
      <c r="Q10" s="1798"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7"/>
      <c r="Q11" s="1798">
        <f t="shared" si="6"/>
        <v>111</v>
      </c>
      <c r="R11" s="770" t="s">
        <v>17</v>
      </c>
      <c r="S11" s="771">
        <f t="shared" si="0"/>
        <v>100</v>
      </c>
      <c r="T11" s="770" t="s">
        <v>17</v>
      </c>
      <c r="U11" s="771">
        <f t="shared" si="1"/>
        <v>100</v>
      </c>
      <c r="V11" s="770" t="s">
        <v>17</v>
      </c>
      <c r="W11" s="771">
        <f t="shared" si="2"/>
        <v>100</v>
      </c>
      <c r="X11" s="772"/>
      <c r="Y11" s="3107"/>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7"/>
      <c r="Q12" s="1798">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47"/>
      <c r="Q13" s="1798">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85.5">
      <c r="A14" s="440" t="s">
        <v>2560</v>
      </c>
      <c r="B14" s="69" t="s">
        <v>2710</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62" t="s">
        <v>2561</v>
      </c>
      <c r="Q14" s="1813" t="str">
        <f t="shared" si="6"/>
        <v>交通便捷度</v>
      </c>
      <c r="R14" s="774" t="s">
        <v>17</v>
      </c>
      <c r="S14" s="775">
        <f t="shared" si="0"/>
        <v>100</v>
      </c>
      <c r="T14" s="774" t="s">
        <v>17</v>
      </c>
      <c r="U14" s="775">
        <f t="shared" si="1"/>
        <v>100</v>
      </c>
      <c r="V14" s="774" t="s">
        <v>17</v>
      </c>
      <c r="W14" s="775">
        <f t="shared" si="2"/>
        <v>100</v>
      </c>
      <c r="X14" s="1816"/>
      <c r="Y14" s="3262"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63"/>
      <c r="Q15" s="1813"/>
      <c r="R15" s="774"/>
      <c r="S15" s="775"/>
      <c r="T15" s="774"/>
      <c r="U15" s="775"/>
      <c r="V15" s="774"/>
      <c r="W15" s="775"/>
      <c r="X15" s="1816"/>
      <c r="Y15" s="3263"/>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63"/>
      <c r="Q16" s="1813" t="str">
        <f>B16</f>
        <v>公共配套设施</v>
      </c>
      <c r="R16" s="774" t="s">
        <v>17</v>
      </c>
      <c r="S16" s="775">
        <f>F16</f>
        <v>100</v>
      </c>
      <c r="T16" s="774" t="s">
        <v>17</v>
      </c>
      <c r="U16" s="775">
        <f>H16</f>
        <v>100</v>
      </c>
      <c r="V16" s="774" t="s">
        <v>17</v>
      </c>
      <c r="W16" s="775">
        <f>J16</f>
        <v>100</v>
      </c>
      <c r="X16" s="1816"/>
      <c r="Y16" s="3263"/>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63"/>
      <c r="Q17" s="1813"/>
      <c r="R17" s="774"/>
      <c r="S17" s="775"/>
      <c r="T17" s="774"/>
      <c r="U17" s="775"/>
      <c r="V17" s="774"/>
      <c r="W17" s="775"/>
      <c r="X17" s="1816"/>
      <c r="Y17" s="3263"/>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63"/>
      <c r="Q18" s="1813" t="str">
        <f>B18</f>
        <v>基础设施水平</v>
      </c>
      <c r="R18" s="774" t="s">
        <v>17</v>
      </c>
      <c r="S18" s="775">
        <f>F18</f>
        <v>100</v>
      </c>
      <c r="T18" s="774" t="s">
        <v>17</v>
      </c>
      <c r="U18" s="775">
        <f>H18</f>
        <v>100</v>
      </c>
      <c r="V18" s="774" t="s">
        <v>17</v>
      </c>
      <c r="W18" s="775">
        <f>J18</f>
        <v>100</v>
      </c>
      <c r="X18" s="1816"/>
      <c r="Y18" s="3263"/>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63"/>
      <c r="Q19" s="1813"/>
      <c r="R19" s="774"/>
      <c r="S19" s="775"/>
      <c r="T19" s="774"/>
      <c r="U19" s="775"/>
      <c r="V19" s="774"/>
      <c r="W19" s="775"/>
      <c r="X19" s="1816"/>
      <c r="Y19" s="3263"/>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63"/>
      <c r="Q20" s="1813" t="str">
        <f>B20</f>
        <v>自然及人文环境</v>
      </c>
      <c r="R20" s="774" t="s">
        <v>17</v>
      </c>
      <c r="S20" s="775">
        <f>F20</f>
        <v>100</v>
      </c>
      <c r="T20" s="774" t="s">
        <v>17</v>
      </c>
      <c r="U20" s="775">
        <f>H20</f>
        <v>100</v>
      </c>
      <c r="V20" s="774" t="s">
        <v>17</v>
      </c>
      <c r="W20" s="775">
        <f>J20</f>
        <v>100</v>
      </c>
      <c r="X20" s="1816"/>
      <c r="Y20" s="326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63"/>
      <c r="Q21" s="1813"/>
      <c r="R21" s="774"/>
      <c r="S21" s="775"/>
      <c r="T21" s="774"/>
      <c r="U21" s="775"/>
      <c r="V21" s="774"/>
      <c r="W21" s="775"/>
      <c r="X21" s="1816"/>
      <c r="Y21" s="3263"/>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63"/>
      <c r="Q22" s="1813" t="str">
        <f>B22</f>
        <v>楼层</v>
      </c>
      <c r="R22" s="774" t="s">
        <v>17</v>
      </c>
      <c r="S22" s="775">
        <f>F22</f>
        <v>100</v>
      </c>
      <c r="T22" s="774" t="s">
        <v>17</v>
      </c>
      <c r="U22" s="775">
        <f>H22</f>
        <v>100</v>
      </c>
      <c r="V22" s="774" t="s">
        <v>17</v>
      </c>
      <c r="W22" s="775">
        <f>J22</f>
        <v>100</v>
      </c>
      <c r="X22" s="1816"/>
      <c r="Y22" s="3263"/>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63"/>
      <c r="Q23" s="1813">
        <f>B23</f>
        <v>111</v>
      </c>
      <c r="R23" s="774" t="s">
        <v>17</v>
      </c>
      <c r="S23" s="775">
        <f>F23</f>
        <v>100</v>
      </c>
      <c r="T23" s="774" t="s">
        <v>17</v>
      </c>
      <c r="U23" s="775">
        <f>H23</f>
        <v>100</v>
      </c>
      <c r="V23" s="774" t="s">
        <v>17</v>
      </c>
      <c r="W23" s="775">
        <f>J23</f>
        <v>100</v>
      </c>
      <c r="X23" s="1816"/>
      <c r="Y23" s="3263"/>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63"/>
      <c r="Q24" s="1813">
        <f t="shared" ref="Q24:Q34" si="11">B24</f>
        <v>111</v>
      </c>
      <c r="R24" s="774" t="s">
        <v>17</v>
      </c>
      <c r="S24" s="775">
        <f>F24</f>
        <v>100</v>
      </c>
      <c r="T24" s="774" t="s">
        <v>17</v>
      </c>
      <c r="U24" s="775">
        <f>H24</f>
        <v>100</v>
      </c>
      <c r="V24" s="774" t="s">
        <v>17</v>
      </c>
      <c r="W24" s="775">
        <f>J24</f>
        <v>100</v>
      </c>
      <c r="X24" s="1816"/>
      <c r="Y24" s="3263"/>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63"/>
      <c r="Q25" s="1798">
        <f t="shared" si="11"/>
        <v>111</v>
      </c>
      <c r="R25" s="770" t="s">
        <v>17</v>
      </c>
      <c r="S25" s="771">
        <f>F25</f>
        <v>100</v>
      </c>
      <c r="T25" s="770" t="s">
        <v>17</v>
      </c>
      <c r="U25" s="771">
        <f>H25</f>
        <v>100</v>
      </c>
      <c r="V25" s="770" t="s">
        <v>17</v>
      </c>
      <c r="W25" s="771">
        <f>J25</f>
        <v>100</v>
      </c>
      <c r="X25" s="772"/>
      <c r="Y25" s="3263"/>
      <c r="Z25" s="55">
        <f>Q25</f>
        <v>111</v>
      </c>
      <c r="AA25" s="1814">
        <f>D25/F25</f>
        <v>1</v>
      </c>
      <c r="AB25" s="1814">
        <f>D25/H25</f>
        <v>1</v>
      </c>
      <c r="AC25" s="1814">
        <f>D25/J25</f>
        <v>1</v>
      </c>
    </row>
    <row r="26" spans="1:29" ht="15">
      <c r="A26" s="466" t="s">
        <v>2564</v>
      </c>
      <c r="B26" s="71" t="s">
        <v>2715</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64"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65"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65"/>
      <c r="Q27" s="776" t="str">
        <f t="shared" si="11"/>
        <v>成新率</v>
      </c>
      <c r="R27" s="777" t="s">
        <v>17</v>
      </c>
      <c r="S27" s="778" t="e">
        <f t="shared" si="12"/>
        <v>#N/A</v>
      </c>
      <c r="T27" s="777" t="s">
        <v>17</v>
      </c>
      <c r="U27" s="778" t="e">
        <f t="shared" si="13"/>
        <v>#N/A</v>
      </c>
      <c r="V27" s="777" t="s">
        <v>17</v>
      </c>
      <c r="W27" s="778" t="e">
        <f t="shared" si="14"/>
        <v>#N/A</v>
      </c>
      <c r="X27" s="779"/>
      <c r="Y27" s="3265"/>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65"/>
      <c r="Q28" s="1813" t="str">
        <f t="shared" si="11"/>
        <v>物业等级</v>
      </c>
      <c r="R28" s="774" t="s">
        <v>17</v>
      </c>
      <c r="S28" s="775">
        <f t="shared" si="12"/>
        <v>100</v>
      </c>
      <c r="T28" s="774" t="s">
        <v>17</v>
      </c>
      <c r="U28" s="775">
        <f t="shared" si="13"/>
        <v>100</v>
      </c>
      <c r="V28" s="774" t="s">
        <v>17</v>
      </c>
      <c r="W28" s="775">
        <f t="shared" si="14"/>
        <v>100</v>
      </c>
      <c r="X28" s="1816"/>
      <c r="Y28" s="3265"/>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65"/>
      <c r="Q29" s="1813" t="str">
        <f t="shared" si="11"/>
        <v>有无电梯</v>
      </c>
      <c r="R29" s="774" t="s">
        <v>17</v>
      </c>
      <c r="S29" s="775">
        <f t="shared" si="12"/>
        <v>100</v>
      </c>
      <c r="T29" s="774" t="s">
        <v>17</v>
      </c>
      <c r="U29" s="775">
        <f t="shared" si="13"/>
        <v>100</v>
      </c>
      <c r="V29" s="774" t="s">
        <v>17</v>
      </c>
      <c r="W29" s="775">
        <f t="shared" si="14"/>
        <v>100</v>
      </c>
      <c r="X29" s="1816"/>
      <c r="Y29" s="3265"/>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65"/>
      <c r="Q30" s="1813" t="str">
        <f t="shared" si="11"/>
        <v>建筑面积</v>
      </c>
      <c r="R30" s="774" t="s">
        <v>17</v>
      </c>
      <c r="S30" s="775" t="e">
        <f t="shared" si="12"/>
        <v>#N/A</v>
      </c>
      <c r="T30" s="774" t="s">
        <v>17</v>
      </c>
      <c r="U30" s="775" t="e">
        <f t="shared" si="13"/>
        <v>#N/A</v>
      </c>
      <c r="V30" s="774" t="s">
        <v>17</v>
      </c>
      <c r="W30" s="775" t="e">
        <f t="shared" si="14"/>
        <v>#N/A</v>
      </c>
      <c r="X30" s="1816"/>
      <c r="Y30" s="3265"/>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65"/>
      <c r="Q31" s="1798" t="str">
        <f t="shared" si="11"/>
        <v>是否封闭</v>
      </c>
      <c r="R31" s="770" t="s">
        <v>17</v>
      </c>
      <c r="S31" s="771">
        <f t="shared" si="12"/>
        <v>100</v>
      </c>
      <c r="T31" s="770" t="s">
        <v>17</v>
      </c>
      <c r="U31" s="771">
        <f t="shared" si="13"/>
        <v>100</v>
      </c>
      <c r="V31" s="770" t="s">
        <v>17</v>
      </c>
      <c r="W31" s="771">
        <f t="shared" si="14"/>
        <v>100</v>
      </c>
      <c r="X31" s="772"/>
      <c r="Y31" s="3265"/>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65" t="s">
        <v>2566</v>
      </c>
      <c r="Q32" s="1813">
        <f t="shared" si="11"/>
        <v>111</v>
      </c>
      <c r="R32" s="774" t="s">
        <v>17</v>
      </c>
      <c r="S32" s="775">
        <f t="shared" si="12"/>
        <v>100</v>
      </c>
      <c r="T32" s="774" t="s">
        <v>17</v>
      </c>
      <c r="U32" s="775">
        <f t="shared" si="13"/>
        <v>100</v>
      </c>
      <c r="V32" s="774" t="s">
        <v>17</v>
      </c>
      <c r="W32" s="775">
        <f t="shared" si="14"/>
        <v>100</v>
      </c>
      <c r="X32" s="1816"/>
      <c r="Y32" s="3265"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65"/>
      <c r="Q33" s="1813">
        <f t="shared" si="11"/>
        <v>111</v>
      </c>
      <c r="R33" s="774" t="s">
        <v>17</v>
      </c>
      <c r="S33" s="775">
        <f t="shared" si="12"/>
        <v>100</v>
      </c>
      <c r="T33" s="774" t="s">
        <v>17</v>
      </c>
      <c r="U33" s="775">
        <f t="shared" si="13"/>
        <v>100</v>
      </c>
      <c r="V33" s="774" t="s">
        <v>17</v>
      </c>
      <c r="W33" s="775">
        <f t="shared" si="14"/>
        <v>100</v>
      </c>
      <c r="X33" s="1816"/>
      <c r="Y33" s="3265"/>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65"/>
      <c r="Q34" s="1813">
        <f t="shared" si="11"/>
        <v>111</v>
      </c>
      <c r="R34" s="774" t="s">
        <v>17</v>
      </c>
      <c r="S34" s="775">
        <f t="shared" si="12"/>
        <v>100</v>
      </c>
      <c r="T34" s="774" t="s">
        <v>17</v>
      </c>
      <c r="U34" s="775">
        <f t="shared" si="13"/>
        <v>100</v>
      </c>
      <c r="V34" s="774" t="s">
        <v>17</v>
      </c>
      <c r="W34" s="775">
        <f t="shared" si="14"/>
        <v>100</v>
      </c>
      <c r="X34" s="1816"/>
      <c r="Y34" s="3265"/>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47" t="str">
        <f>A35</f>
        <v>成交单价（元/平方米）</v>
      </c>
      <c r="Q35" s="3247"/>
      <c r="R35" s="3301">
        <f>E35</f>
        <v>0</v>
      </c>
      <c r="S35" s="3301"/>
      <c r="T35" s="3301">
        <f>G35</f>
        <v>0</v>
      </c>
      <c r="U35" s="3301"/>
      <c r="V35" s="3301">
        <f>I35</f>
        <v>0</v>
      </c>
      <c r="W35" s="3301"/>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47" t="str">
        <f>A36</f>
        <v>比较价值（元/平方米）</v>
      </c>
      <c r="Q36" s="3247"/>
      <c r="R36" s="3301" t="e">
        <f>IF(F1="售价",ROUND(PRODUCT(R35,AA7:AA34),0),ROUND(PRODUCT(R35,AA7:AA34),1))</f>
        <v>#DIV/0!</v>
      </c>
      <c r="S36" s="3301"/>
      <c r="T36" s="3301" t="e">
        <f>IF(F1="售价",ROUND(PRODUCT(T35,AB7:AB34),0),ROUND(PRODUCT(T35,AB7:AB34),1))</f>
        <v>#DIV/0!</v>
      </c>
      <c r="U36" s="3301"/>
      <c r="V36" s="3301" t="e">
        <f>IF(F1="售价",ROUND(PRODUCT(V35,AC7:AC34),0),ROUND(PRODUCT(V35,AC7:AC34),1))</f>
        <v>#DIV/0!</v>
      </c>
      <c r="W36" s="3301"/>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67" t="str">
        <f>A37</f>
        <v>估价对象XX用房的比较价值（楼面单价，元/平方米）</v>
      </c>
      <c r="Q37" s="3268"/>
      <c r="R37" s="3300" t="e">
        <f>IF(F1="售价",ROUND(AVERAGE(R36:V36),0),ROUND(AVERAGE(R36:V36),1))</f>
        <v>#DIV/0!</v>
      </c>
      <c r="S37" s="3300"/>
      <c r="T37" s="3300"/>
      <c r="U37" s="3300"/>
      <c r="V37" s="3300"/>
      <c r="W37" s="330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48" t="s">
        <v>2647</v>
      </c>
      <c r="D4" s="3249"/>
      <c r="E4" s="3250" t="s">
        <v>2648</v>
      </c>
      <c r="F4" s="3251"/>
      <c r="G4" s="3248" t="s">
        <v>2649</v>
      </c>
      <c r="H4" s="3249"/>
      <c r="I4" s="3248" t="s">
        <v>2650</v>
      </c>
      <c r="J4" s="3249"/>
      <c r="K4" s="610" t="s">
        <v>2651</v>
      </c>
      <c r="L4" s="1133"/>
      <c r="M4" s="1134"/>
      <c r="N4" s="1134"/>
      <c r="O4" s="1134"/>
      <c r="P4" s="3252" t="s">
        <v>2652</v>
      </c>
      <c r="Q4" s="3253"/>
      <c r="R4" s="3235" t="s">
        <v>2648</v>
      </c>
      <c r="S4" s="3236"/>
      <c r="T4" s="3235" t="s">
        <v>2649</v>
      </c>
      <c r="U4" s="3236"/>
      <c r="V4" s="3260" t="s">
        <v>2650</v>
      </c>
      <c r="W4" s="3260"/>
      <c r="X4" s="1816"/>
      <c r="Y4" s="3235" t="s">
        <v>2652</v>
      </c>
      <c r="Z4" s="3236"/>
      <c r="AA4" s="3230" t="s">
        <v>2648</v>
      </c>
      <c r="AB4" s="3231" t="s">
        <v>2649</v>
      </c>
      <c r="AC4" s="3230" t="s">
        <v>2650</v>
      </c>
    </row>
    <row r="5" spans="1:29" ht="15">
      <c r="A5" s="404"/>
      <c r="B5" s="405"/>
      <c r="C5" s="3241" t="s">
        <v>2543</v>
      </c>
      <c r="D5" s="3242"/>
      <c r="E5" s="3239" t="s">
        <v>2544</v>
      </c>
      <c r="F5" s="3240"/>
      <c r="G5" s="3241" t="s">
        <v>2545</v>
      </c>
      <c r="H5" s="3242"/>
      <c r="I5" s="3241" t="s">
        <v>2546</v>
      </c>
      <c r="J5" s="3242"/>
      <c r="K5" s="610"/>
      <c r="L5" s="1133"/>
      <c r="M5" s="1134"/>
      <c r="N5" s="1134"/>
      <c r="O5" s="1134"/>
      <c r="P5" s="3254"/>
      <c r="Q5" s="3255"/>
      <c r="R5" s="3237"/>
      <c r="S5" s="3238"/>
      <c r="T5" s="3237"/>
      <c r="U5" s="3238"/>
      <c r="V5" s="3260"/>
      <c r="W5" s="3260"/>
      <c r="X5" s="1816"/>
      <c r="Y5" s="3237"/>
      <c r="Z5" s="3238"/>
      <c r="AA5" s="3231"/>
      <c r="AB5" s="3231"/>
      <c r="AC5" s="3231"/>
    </row>
    <row r="6" spans="1:29" ht="15.75" thickBot="1">
      <c r="A6" s="406"/>
      <c r="B6" s="407"/>
      <c r="C6" s="3323" t="s">
        <v>2796</v>
      </c>
      <c r="D6" s="3324"/>
      <c r="E6" s="3325" t="s">
        <v>2796</v>
      </c>
      <c r="F6" s="3326"/>
      <c r="G6" s="3323" t="s">
        <v>2796</v>
      </c>
      <c r="H6" s="3324"/>
      <c r="I6" s="3323" t="s">
        <v>2796</v>
      </c>
      <c r="J6" s="3324"/>
      <c r="K6" s="610" t="s">
        <v>2548</v>
      </c>
      <c r="L6" s="1133"/>
      <c r="M6" s="1134"/>
      <c r="N6" s="1134"/>
      <c r="O6" s="1134"/>
      <c r="P6" s="3256"/>
      <c r="Q6" s="3257"/>
      <c r="R6" s="3237"/>
      <c r="S6" s="3238"/>
      <c r="T6" s="3258"/>
      <c r="U6" s="3259"/>
      <c r="V6" s="3260"/>
      <c r="W6" s="3260"/>
      <c r="X6" s="1816"/>
      <c r="Y6" s="3258"/>
      <c r="Z6" s="3259"/>
      <c r="AA6" s="3232"/>
      <c r="AB6" s="3232"/>
      <c r="AC6" s="3232"/>
    </row>
    <row r="7" spans="1:29" s="117" customFormat="1" ht="15.75" thickBot="1">
      <c r="A7" s="408" t="s">
        <v>2549</v>
      </c>
      <c r="B7" s="409"/>
      <c r="C7" s="410">
        <f>'数据-取费表'!B2</f>
        <v>43235</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33" t="s">
        <v>2550</v>
      </c>
      <c r="Q7" s="3261"/>
      <c r="R7" s="770" t="s">
        <v>17</v>
      </c>
      <c r="S7" s="771">
        <f t="shared" ref="S7:S15" si="0">F7</f>
        <v>0</v>
      </c>
      <c r="T7" s="770" t="s">
        <v>17</v>
      </c>
      <c r="U7" s="771">
        <f t="shared" ref="U7:U15" si="1">H7</f>
        <v>0</v>
      </c>
      <c r="V7" s="770" t="s">
        <v>17</v>
      </c>
      <c r="W7" s="771">
        <f t="shared" ref="W7:W15" si="2">J7</f>
        <v>0</v>
      </c>
      <c r="X7" s="772"/>
      <c r="Y7" s="3233" t="s">
        <v>2550</v>
      </c>
      <c r="Z7" s="3234"/>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3" t="s">
        <v>2553</v>
      </c>
      <c r="Q8" s="3234"/>
      <c r="R8" s="770" t="s">
        <v>17</v>
      </c>
      <c r="S8" s="771">
        <f t="shared" si="0"/>
        <v>0</v>
      </c>
      <c r="T8" s="770" t="s">
        <v>17</v>
      </c>
      <c r="U8" s="771">
        <f t="shared" si="1"/>
        <v>0</v>
      </c>
      <c r="V8" s="770" t="s">
        <v>17</v>
      </c>
      <c r="W8" s="771">
        <f t="shared" si="2"/>
        <v>0</v>
      </c>
      <c r="X8" s="772"/>
      <c r="Y8" s="3233" t="s">
        <v>2553</v>
      </c>
      <c r="Z8" s="3234"/>
      <c r="AA8" s="773" t="e">
        <f t="shared" ref="AA8:AA40" si="3">D8/F8</f>
        <v>#DIV/0!</v>
      </c>
      <c r="AB8" s="773" t="e">
        <f t="shared" ref="AB8:AB40" si="4">D8/H8</f>
        <v>#DIV/0!</v>
      </c>
      <c r="AC8" s="773" t="e">
        <f t="shared" ref="AC8:AC40" si="5">D8/J8</f>
        <v>#DIV/0!</v>
      </c>
    </row>
    <row r="9" spans="1:29" s="117" customFormat="1">
      <c r="A9" s="415" t="s">
        <v>2554</v>
      </c>
      <c r="B9" s="71" t="s">
        <v>2555</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47" t="s">
        <v>2556</v>
      </c>
      <c r="Q9" s="1798" t="str">
        <f t="shared" ref="Q9:Q15" si="6">B9</f>
        <v>用途</v>
      </c>
      <c r="R9" s="770" t="s">
        <v>17</v>
      </c>
      <c r="S9" s="771">
        <f t="shared" si="0"/>
        <v>100</v>
      </c>
      <c r="T9" s="770" t="s">
        <v>17</v>
      </c>
      <c r="U9" s="771">
        <f t="shared" si="1"/>
        <v>100</v>
      </c>
      <c r="V9" s="770" t="s">
        <v>17</v>
      </c>
      <c r="W9" s="771">
        <f t="shared" si="2"/>
        <v>100</v>
      </c>
      <c r="X9" s="772"/>
      <c r="Y9" s="3107"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247"/>
      <c r="Q10" s="1798" t="str">
        <f t="shared" si="6"/>
        <v>土地使用年限（年）</v>
      </c>
      <c r="R10" s="770" t="s">
        <v>17</v>
      </c>
      <c r="S10" s="771">
        <f t="shared" si="0"/>
        <v>107</v>
      </c>
      <c r="T10" s="770" t="s">
        <v>17</v>
      </c>
      <c r="U10" s="771">
        <f t="shared" si="1"/>
        <v>107</v>
      </c>
      <c r="V10" s="770" t="s">
        <v>17</v>
      </c>
      <c r="W10" s="771">
        <f t="shared" si="2"/>
        <v>107</v>
      </c>
      <c r="X10" s="772"/>
      <c r="Y10" s="3107"/>
      <c r="Z10" s="55" t="str">
        <f t="shared" si="7"/>
        <v>土地使用年限（年）</v>
      </c>
      <c r="AA10" s="773">
        <f t="shared" si="3"/>
        <v>0.93457943925233644</v>
      </c>
      <c r="AB10" s="773">
        <f t="shared" si="4"/>
        <v>0.93457943925233644</v>
      </c>
      <c r="AC10" s="773">
        <f t="shared" si="5"/>
        <v>0.93457943925233644</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7"/>
      <c r="Q11" s="1798" t="str">
        <f t="shared" si="6"/>
        <v>容积率</v>
      </c>
      <c r="R11" s="770" t="s">
        <v>17</v>
      </c>
      <c r="S11" s="771" t="e">
        <f t="shared" si="0"/>
        <v>#N/A</v>
      </c>
      <c r="T11" s="770" t="s">
        <v>17</v>
      </c>
      <c r="U11" s="771" t="e">
        <f t="shared" si="1"/>
        <v>#N/A</v>
      </c>
      <c r="V11" s="770" t="s">
        <v>17</v>
      </c>
      <c r="W11" s="771" t="e">
        <f t="shared" si="2"/>
        <v>#N/A</v>
      </c>
      <c r="X11" s="772"/>
      <c r="Y11" s="3107"/>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7"/>
      <c r="Q12" s="1798">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7"/>
      <c r="Q13" s="1798">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7"/>
      <c r="Q14" s="1798">
        <f t="shared" si="6"/>
        <v>111</v>
      </c>
      <c r="R14" s="770" t="s">
        <v>17</v>
      </c>
      <c r="S14" s="771">
        <f t="shared" si="0"/>
        <v>100</v>
      </c>
      <c r="T14" s="770" t="s">
        <v>17</v>
      </c>
      <c r="U14" s="771">
        <f t="shared" si="1"/>
        <v>100</v>
      </c>
      <c r="V14" s="770" t="s">
        <v>17</v>
      </c>
      <c r="W14" s="771">
        <f t="shared" si="2"/>
        <v>100</v>
      </c>
      <c r="X14" s="772"/>
      <c r="Y14" s="3107"/>
      <c r="Z14" s="55">
        <f t="shared" si="7"/>
        <v>111</v>
      </c>
      <c r="AA14" s="773">
        <f t="shared" si="3"/>
        <v>1</v>
      </c>
      <c r="AB14" s="773">
        <f t="shared" si="4"/>
        <v>1</v>
      </c>
      <c r="AC14" s="773">
        <f t="shared" si="5"/>
        <v>1</v>
      </c>
    </row>
    <row r="15" spans="1:29" ht="57">
      <c r="A15" s="440" t="s">
        <v>2560</v>
      </c>
      <c r="B15" s="629" t="s">
        <v>2797</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62" t="s">
        <v>2561</v>
      </c>
      <c r="Q15" s="1813" t="str">
        <f t="shared" si="6"/>
        <v>产业集聚程度</v>
      </c>
      <c r="R15" s="774" t="s">
        <v>17</v>
      </c>
      <c r="S15" s="775">
        <f t="shared" si="0"/>
        <v>100</v>
      </c>
      <c r="T15" s="774" t="s">
        <v>17</v>
      </c>
      <c r="U15" s="775">
        <f t="shared" si="1"/>
        <v>100</v>
      </c>
      <c r="V15" s="774" t="s">
        <v>17</v>
      </c>
      <c r="W15" s="775">
        <f t="shared" si="2"/>
        <v>100</v>
      </c>
      <c r="X15" s="1816"/>
      <c r="Y15" s="3262"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63"/>
      <c r="Q16" s="1813"/>
      <c r="R16" s="774"/>
      <c r="S16" s="775"/>
      <c r="T16" s="774"/>
      <c r="U16" s="775"/>
      <c r="V16" s="774"/>
      <c r="W16" s="775"/>
      <c r="X16" s="1816"/>
      <c r="Y16" s="3263"/>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63"/>
      <c r="Q17" s="1813" t="str">
        <f>B17</f>
        <v>交通便捷度</v>
      </c>
      <c r="R17" s="774" t="s">
        <v>17</v>
      </c>
      <c r="S17" s="775">
        <f>F17</f>
        <v>100</v>
      </c>
      <c r="T17" s="774" t="s">
        <v>17</v>
      </c>
      <c r="U17" s="775">
        <f>H17</f>
        <v>100</v>
      </c>
      <c r="V17" s="774" t="s">
        <v>17</v>
      </c>
      <c r="W17" s="775">
        <f>J17</f>
        <v>100</v>
      </c>
      <c r="X17" s="1816"/>
      <c r="Y17" s="3263"/>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63"/>
      <c r="Q18" s="1813"/>
      <c r="R18" s="774"/>
      <c r="S18" s="775"/>
      <c r="T18" s="774"/>
      <c r="U18" s="775"/>
      <c r="V18" s="774"/>
      <c r="W18" s="775"/>
      <c r="X18" s="1816"/>
      <c r="Y18" s="3263"/>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63"/>
      <c r="Q19" s="1813" t="str">
        <f t="shared" ref="Q19:Q33" si="8">B19</f>
        <v>区域土地利用方向</v>
      </c>
      <c r="R19" s="774" t="s">
        <v>17</v>
      </c>
      <c r="S19" s="775">
        <f>F19</f>
        <v>100</v>
      </c>
      <c r="T19" s="774" t="s">
        <v>17</v>
      </c>
      <c r="U19" s="775">
        <f>H19</f>
        <v>100</v>
      </c>
      <c r="V19" s="774" t="s">
        <v>17</v>
      </c>
      <c r="W19" s="775">
        <f>J19</f>
        <v>100</v>
      </c>
      <c r="X19" s="1816"/>
      <c r="Y19" s="3263"/>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63"/>
      <c r="Q20" s="1813"/>
      <c r="R20" s="774"/>
      <c r="S20" s="775"/>
      <c r="T20" s="774"/>
      <c r="U20" s="775"/>
      <c r="V20" s="774"/>
      <c r="W20" s="775"/>
      <c r="X20" s="1816"/>
      <c r="Y20" s="3263"/>
      <c r="Z20" s="1817"/>
      <c r="AA20" s="1814"/>
      <c r="AB20" s="1814"/>
      <c r="AC20" s="1814"/>
    </row>
    <row r="21" spans="1:29" ht="71.25">
      <c r="A21" s="404"/>
      <c r="B21" s="631" t="s">
        <v>2798</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63"/>
      <c r="Q21" s="1813" t="str">
        <f t="shared" si="8"/>
        <v>环境状况</v>
      </c>
      <c r="R21" s="774" t="s">
        <v>17</v>
      </c>
      <c r="S21" s="775">
        <f>F21</f>
        <v>100</v>
      </c>
      <c r="T21" s="774" t="s">
        <v>17</v>
      </c>
      <c r="U21" s="775">
        <f>H21</f>
        <v>100</v>
      </c>
      <c r="V21" s="774" t="s">
        <v>17</v>
      </c>
      <c r="W21" s="775">
        <f>J21</f>
        <v>100</v>
      </c>
      <c r="X21" s="1816"/>
      <c r="Y21" s="3263"/>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63"/>
      <c r="Q22" s="1813"/>
      <c r="R22" s="774"/>
      <c r="S22" s="775"/>
      <c r="T22" s="774"/>
      <c r="U22" s="775"/>
      <c r="V22" s="774"/>
      <c r="W22" s="775"/>
      <c r="X22" s="1816"/>
      <c r="Y22" s="3263"/>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63"/>
      <c r="Q23" s="1798" t="str">
        <f t="shared" si="8"/>
        <v>公共配套设施</v>
      </c>
      <c r="R23" s="770" t="s">
        <v>17</v>
      </c>
      <c r="S23" s="771">
        <f>F23</f>
        <v>100</v>
      </c>
      <c r="T23" s="770" t="s">
        <v>17</v>
      </c>
      <c r="U23" s="771">
        <f>H23</f>
        <v>100</v>
      </c>
      <c r="V23" s="770" t="s">
        <v>17</v>
      </c>
      <c r="W23" s="771">
        <f>J23</f>
        <v>100</v>
      </c>
      <c r="X23" s="772"/>
      <c r="Y23" s="3263"/>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63"/>
      <c r="Q24" s="1798"/>
      <c r="R24" s="770"/>
      <c r="S24" s="771"/>
      <c r="T24" s="770"/>
      <c r="U24" s="771"/>
      <c r="V24" s="770"/>
      <c r="W24" s="771"/>
      <c r="X24" s="772"/>
      <c r="Y24" s="3263"/>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63"/>
      <c r="Q25" s="1798" t="str">
        <f t="shared" ref="Q25" si="9">B25</f>
        <v>基础设施水平</v>
      </c>
      <c r="R25" s="770" t="s">
        <v>17</v>
      </c>
      <c r="S25" s="771">
        <f>F25</f>
        <v>100</v>
      </c>
      <c r="T25" s="770" t="s">
        <v>17</v>
      </c>
      <c r="U25" s="771">
        <f>H25</f>
        <v>100</v>
      </c>
      <c r="V25" s="770" t="s">
        <v>17</v>
      </c>
      <c r="W25" s="771">
        <f>J25</f>
        <v>100</v>
      </c>
      <c r="X25" s="772"/>
      <c r="Y25" s="3263"/>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63"/>
      <c r="Q26" s="1798"/>
      <c r="R26" s="770"/>
      <c r="S26" s="771"/>
      <c r="T26" s="770"/>
      <c r="U26" s="771"/>
      <c r="V26" s="770"/>
      <c r="W26" s="771"/>
      <c r="X26" s="772"/>
      <c r="Y26" s="3263"/>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6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63"/>
      <c r="Z27" s="1817" t="str">
        <f t="shared" ref="Z27:Z40" si="13">Q27</f>
        <v>临街状况</v>
      </c>
      <c r="AA27" s="1814">
        <f t="shared" si="3"/>
        <v>1</v>
      </c>
      <c r="AB27" s="1814">
        <f t="shared" si="4"/>
        <v>1</v>
      </c>
      <c r="AC27" s="1814">
        <f t="shared" si="5"/>
        <v>1</v>
      </c>
    </row>
    <row r="28" spans="1:29" ht="27">
      <c r="A28" s="428"/>
      <c r="B28" s="633" t="s">
        <v>2692</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63"/>
      <c r="Q28" s="1813" t="str">
        <f t="shared" si="8"/>
        <v>毗邻道路的类型与等级</v>
      </c>
      <c r="R28" s="774" t="s">
        <v>17</v>
      </c>
      <c r="S28" s="775">
        <f t="shared" si="10"/>
        <v>100</v>
      </c>
      <c r="T28" s="774" t="s">
        <v>17</v>
      </c>
      <c r="U28" s="775">
        <f t="shared" si="11"/>
        <v>100</v>
      </c>
      <c r="V28" s="774" t="s">
        <v>17</v>
      </c>
      <c r="W28" s="775">
        <f t="shared" si="12"/>
        <v>100</v>
      </c>
      <c r="X28" s="1816"/>
      <c r="Y28" s="3263"/>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63"/>
      <c r="Q29" s="1813"/>
      <c r="R29" s="774"/>
      <c r="S29" s="775"/>
      <c r="T29" s="774"/>
      <c r="U29" s="775"/>
      <c r="V29" s="774"/>
      <c r="W29" s="775"/>
      <c r="X29" s="1816"/>
      <c r="Y29" s="3263"/>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63"/>
      <c r="Q30" s="1813" t="str">
        <f t="shared" si="8"/>
        <v>土地级别</v>
      </c>
      <c r="R30" s="774" t="s">
        <v>17</v>
      </c>
      <c r="S30" s="775">
        <f t="shared" si="10"/>
        <v>100</v>
      </c>
      <c r="T30" s="774" t="s">
        <v>17</v>
      </c>
      <c r="U30" s="775">
        <f t="shared" si="11"/>
        <v>100</v>
      </c>
      <c r="V30" s="774" t="s">
        <v>17</v>
      </c>
      <c r="W30" s="775">
        <f t="shared" si="12"/>
        <v>100</v>
      </c>
      <c r="X30" s="1816"/>
      <c r="Y30" s="3263"/>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63"/>
      <c r="Q31" s="1813">
        <f t="shared" si="8"/>
        <v>111</v>
      </c>
      <c r="R31" s="774" t="s">
        <v>17</v>
      </c>
      <c r="S31" s="775">
        <f t="shared" si="10"/>
        <v>100</v>
      </c>
      <c r="T31" s="774" t="s">
        <v>17</v>
      </c>
      <c r="U31" s="775">
        <f t="shared" si="11"/>
        <v>100</v>
      </c>
      <c r="V31" s="774" t="s">
        <v>17</v>
      </c>
      <c r="W31" s="775">
        <f t="shared" si="12"/>
        <v>100</v>
      </c>
      <c r="X31" s="1816"/>
      <c r="Y31" s="3263"/>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4" t="s">
        <v>2566</v>
      </c>
      <c r="Q32" s="1813">
        <f t="shared" si="8"/>
        <v>111</v>
      </c>
      <c r="R32" s="774" t="s">
        <v>17</v>
      </c>
      <c r="S32" s="775">
        <f t="shared" si="10"/>
        <v>100</v>
      </c>
      <c r="T32" s="774" t="s">
        <v>17</v>
      </c>
      <c r="U32" s="775">
        <f t="shared" si="11"/>
        <v>100</v>
      </c>
      <c r="V32" s="774" t="s">
        <v>17</v>
      </c>
      <c r="W32" s="775">
        <f t="shared" si="12"/>
        <v>100</v>
      </c>
      <c r="X32" s="1816"/>
      <c r="Y32" s="3265" t="s">
        <v>2566</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65"/>
      <c r="Q33" s="1813">
        <f t="shared" si="8"/>
        <v>111</v>
      </c>
      <c r="R33" s="777" t="s">
        <v>17</v>
      </c>
      <c r="S33" s="778">
        <f t="shared" si="10"/>
        <v>100</v>
      </c>
      <c r="T33" s="777" t="s">
        <v>17</v>
      </c>
      <c r="U33" s="778">
        <f t="shared" si="11"/>
        <v>100</v>
      </c>
      <c r="V33" s="777" t="s">
        <v>17</v>
      </c>
      <c r="W33" s="778">
        <f t="shared" si="12"/>
        <v>100</v>
      </c>
      <c r="X33" s="779"/>
      <c r="Y33" s="3265"/>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65"/>
      <c r="Q34" s="1813" t="str">
        <f>B34</f>
        <v>宗地面积</v>
      </c>
      <c r="R34" s="774" t="s">
        <v>17</v>
      </c>
      <c r="S34" s="775" t="e">
        <f t="shared" si="10"/>
        <v>#N/A</v>
      </c>
      <c r="T34" s="774" t="s">
        <v>17</v>
      </c>
      <c r="U34" s="775" t="e">
        <f t="shared" si="11"/>
        <v>#N/A</v>
      </c>
      <c r="V34" s="774" t="s">
        <v>17</v>
      </c>
      <c r="W34" s="775" t="e">
        <f t="shared" si="12"/>
        <v>#N/A</v>
      </c>
      <c r="X34" s="1816"/>
      <c r="Y34" s="3265"/>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65"/>
      <c r="Q35" s="1813" t="str">
        <f t="shared" ref="Q35:Q40" si="14">B35</f>
        <v>宗地形状</v>
      </c>
      <c r="R35" s="774" t="s">
        <v>17</v>
      </c>
      <c r="S35" s="775">
        <f t="shared" si="10"/>
        <v>100</v>
      </c>
      <c r="T35" s="774" t="s">
        <v>17</v>
      </c>
      <c r="U35" s="775">
        <f t="shared" si="11"/>
        <v>100</v>
      </c>
      <c r="V35" s="774" t="s">
        <v>17</v>
      </c>
      <c r="W35" s="775">
        <f t="shared" si="12"/>
        <v>100</v>
      </c>
      <c r="X35" s="1816"/>
      <c r="Y35" s="3265"/>
      <c r="Z35" s="1817" t="str">
        <f t="shared" si="13"/>
        <v>宗地形状</v>
      </c>
      <c r="AA35" s="1814">
        <f t="shared" si="3"/>
        <v>1</v>
      </c>
      <c r="AB35" s="1814">
        <f t="shared" si="4"/>
        <v>1</v>
      </c>
      <c r="AC35" s="1814">
        <f t="shared" si="5"/>
        <v>1</v>
      </c>
    </row>
    <row r="36" spans="1:29" s="117" customFormat="1" ht="15">
      <c r="A36" s="473"/>
      <c r="B36" s="422" t="s">
        <v>2755</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65"/>
      <c r="Q36" s="1813" t="str">
        <f t="shared" si="14"/>
        <v>宗地开发程度</v>
      </c>
      <c r="R36" s="770" t="s">
        <v>17</v>
      </c>
      <c r="S36" s="771">
        <f t="shared" si="10"/>
        <v>100</v>
      </c>
      <c r="T36" s="770" t="s">
        <v>17</v>
      </c>
      <c r="U36" s="771">
        <f t="shared" si="11"/>
        <v>100</v>
      </c>
      <c r="V36" s="770" t="s">
        <v>17</v>
      </c>
      <c r="W36" s="771">
        <f t="shared" si="12"/>
        <v>100</v>
      </c>
      <c r="X36" s="772"/>
      <c r="Y36" s="3265"/>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65" t="s">
        <v>2566</v>
      </c>
      <c r="Q37" s="1813" t="str">
        <f t="shared" si="14"/>
        <v>工程地质条件</v>
      </c>
      <c r="R37" s="774" t="s">
        <v>17</v>
      </c>
      <c r="S37" s="775">
        <f t="shared" si="10"/>
        <v>100</v>
      </c>
      <c r="T37" s="774" t="s">
        <v>17</v>
      </c>
      <c r="U37" s="775">
        <f t="shared" si="11"/>
        <v>100</v>
      </c>
      <c r="V37" s="774" t="s">
        <v>17</v>
      </c>
      <c r="W37" s="775">
        <f t="shared" si="12"/>
        <v>100</v>
      </c>
      <c r="X37" s="1816"/>
      <c r="Y37" s="3265"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65"/>
      <c r="Q38" s="1813">
        <f t="shared" si="14"/>
        <v>111</v>
      </c>
      <c r="R38" s="774" t="s">
        <v>17</v>
      </c>
      <c r="S38" s="775">
        <f t="shared" si="10"/>
        <v>100</v>
      </c>
      <c r="T38" s="774" t="s">
        <v>17</v>
      </c>
      <c r="U38" s="775">
        <f t="shared" si="11"/>
        <v>100</v>
      </c>
      <c r="V38" s="774" t="s">
        <v>17</v>
      </c>
      <c r="W38" s="775">
        <f t="shared" si="12"/>
        <v>100</v>
      </c>
      <c r="X38" s="1816"/>
      <c r="Y38" s="326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65"/>
      <c r="Q39" s="1813">
        <f t="shared" si="14"/>
        <v>111</v>
      </c>
      <c r="R39" s="774" t="s">
        <v>17</v>
      </c>
      <c r="S39" s="775">
        <f t="shared" si="10"/>
        <v>100</v>
      </c>
      <c r="T39" s="774" t="s">
        <v>17</v>
      </c>
      <c r="U39" s="775">
        <f t="shared" si="11"/>
        <v>100</v>
      </c>
      <c r="V39" s="774" t="s">
        <v>17</v>
      </c>
      <c r="W39" s="775">
        <f t="shared" si="12"/>
        <v>100</v>
      </c>
      <c r="X39" s="1816"/>
      <c r="Y39" s="3265"/>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65"/>
      <c r="Q40" s="1813">
        <f t="shared" si="14"/>
        <v>111</v>
      </c>
      <c r="R40" s="777" t="s">
        <v>17</v>
      </c>
      <c r="S40" s="778">
        <f t="shared" si="10"/>
        <v>100</v>
      </c>
      <c r="T40" s="777" t="s">
        <v>17</v>
      </c>
      <c r="U40" s="778">
        <f t="shared" si="11"/>
        <v>100</v>
      </c>
      <c r="V40" s="777" t="s">
        <v>17</v>
      </c>
      <c r="W40" s="778">
        <f t="shared" si="12"/>
        <v>100</v>
      </c>
      <c r="X40" s="779"/>
      <c r="Y40" s="3265"/>
      <c r="Z40" s="780">
        <f t="shared" si="13"/>
        <v>111</v>
      </c>
      <c r="AA40" s="1814">
        <f t="shared" si="3"/>
        <v>1</v>
      </c>
      <c r="AB40" s="1814">
        <f t="shared" si="4"/>
        <v>1</v>
      </c>
      <c r="AC40" s="1814">
        <f t="shared" si="5"/>
        <v>1</v>
      </c>
    </row>
    <row r="41" spans="1:29" ht="15">
      <c r="A41" s="479" t="s">
        <v>2721</v>
      </c>
      <c r="B41" s="2711" t="s">
        <v>2799</v>
      </c>
      <c r="C41" s="682" t="s">
        <v>1</v>
      </c>
      <c r="D41" s="481"/>
      <c r="E41" s="482"/>
      <c r="F41" s="483"/>
      <c r="G41" s="484"/>
      <c r="H41" s="485"/>
      <c r="I41" s="482"/>
      <c r="J41" s="485"/>
      <c r="K41" s="783"/>
      <c r="L41" s="1146"/>
      <c r="M41" s="1134"/>
      <c r="N41" s="1134"/>
      <c r="O41" s="1147"/>
      <c r="P41" s="3247" t="str">
        <f>A41</f>
        <v>成交单价</v>
      </c>
      <c r="Q41" s="3247"/>
      <c r="R41" s="3260">
        <f>E41</f>
        <v>0</v>
      </c>
      <c r="S41" s="3260"/>
      <c r="T41" s="3260">
        <f>G41</f>
        <v>0</v>
      </c>
      <c r="U41" s="3260"/>
      <c r="V41" s="3260">
        <f>I41</f>
        <v>0</v>
      </c>
      <c r="W41" s="3260"/>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47" t="str">
        <f>A42</f>
        <v>比较价值（元/平方米）</v>
      </c>
      <c r="Q42" s="3247"/>
      <c r="R42" s="3266" t="e">
        <f>ROUND(PRODUCT(R41,AA7:AA40),0)</f>
        <v>#DIV/0!</v>
      </c>
      <c r="S42" s="3266"/>
      <c r="T42" s="3266" t="e">
        <f>ROUND(PRODUCT(T41,AB7:AB40),0)</f>
        <v>#DIV/0!</v>
      </c>
      <c r="U42" s="3266"/>
      <c r="V42" s="3266" t="e">
        <f>ROUND(PRODUCT(V41,AC7:AC40),0)</f>
        <v>#DIV/0!</v>
      </c>
      <c r="W42" s="3266"/>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67" t="str">
        <f>A43</f>
        <v>估价对象XX用房的比较价值（楼面单价，元/平方米）</v>
      </c>
      <c r="Q43" s="3268"/>
      <c r="R43" s="3269" t="e">
        <f>ROUND(AVERAGE(R42:V42),0)</f>
        <v>#DIV/0!</v>
      </c>
      <c r="S43" s="3269"/>
      <c r="T43" s="3269"/>
      <c r="U43" s="3269"/>
      <c r="V43" s="3269"/>
      <c r="W43" s="326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12" t="s">
        <v>2760</v>
      </c>
      <c r="D50" s="2713" t="s">
        <v>2761</v>
      </c>
      <c r="E50" s="686" t="s">
        <v>2762</v>
      </c>
      <c r="F50" s="687" t="s">
        <v>2763</v>
      </c>
      <c r="G50" s="3248" t="s">
        <v>2764</v>
      </c>
      <c r="H50" s="3270"/>
      <c r="I50" s="1817" t="s">
        <v>2800</v>
      </c>
      <c r="J50" s="1817">
        <f>项目基本情况!F35</f>
        <v>0</v>
      </c>
      <c r="K50" s="2715" t="s">
        <v>2766</v>
      </c>
      <c r="L50" s="1109"/>
      <c r="M50" s="1147"/>
      <c r="N50" s="1147"/>
      <c r="O50" s="1147"/>
    </row>
    <row r="51" spans="1:17" s="692" customFormat="1">
      <c r="A51" s="688" t="s">
        <v>2767</v>
      </c>
      <c r="B51" s="689" t="e">
        <f>C43</f>
        <v>#DIV/0!</v>
      </c>
      <c r="C51" s="690">
        <v>1</v>
      </c>
      <c r="D51" s="1166">
        <v>1</v>
      </c>
      <c r="E51" s="690">
        <f>'数据-汇总表'!E8+'数据-汇总表'!E9</f>
        <v>85551.93</v>
      </c>
      <c r="F51" s="691" t="e">
        <f t="shared" ref="F51:F60" si="15">ROUND(B51*E51/10000,0)</f>
        <v>#DIV/0!</v>
      </c>
      <c r="G51" s="3271"/>
      <c r="H51" s="3247"/>
      <c r="I51" s="945">
        <v>1</v>
      </c>
      <c r="J51" s="945">
        <v>1</v>
      </c>
      <c r="K51" s="1148"/>
      <c r="L51" s="944"/>
      <c r="M51" s="944"/>
      <c r="N51" s="944"/>
      <c r="O51" s="944"/>
    </row>
    <row r="52" spans="1:17" s="692" customFormat="1">
      <c r="A52" s="693" t="s">
        <v>2768</v>
      </c>
      <c r="B52" s="262" t="e">
        <f>ROUND($C$43*C52*D52,0)</f>
        <v>#DIV/0!</v>
      </c>
      <c r="C52" s="200">
        <f t="shared" ref="C52:C60" si="16">IF($C$50="北京市系数",I52,J52)</f>
        <v>0.7</v>
      </c>
      <c r="D52" s="1167">
        <v>0.25</v>
      </c>
      <c r="E52" s="694"/>
      <c r="F52" s="691" t="e">
        <f t="shared" si="15"/>
        <v>#DIV/0!</v>
      </c>
      <c r="G52" s="3272" t="s">
        <v>2769</v>
      </c>
      <c r="H52" s="1107" t="str">
        <f>项目基本情况!B37</f>
        <v>七级</v>
      </c>
      <c r="I52" s="945">
        <f>SUMIF(修正!A45:A56,H52,修正!B45:B56)</f>
        <v>0.7</v>
      </c>
      <c r="J52" s="946"/>
      <c r="K52" s="1147"/>
      <c r="L52" s="944"/>
      <c r="M52" s="944"/>
      <c r="N52" s="944"/>
      <c r="O52" s="944"/>
    </row>
    <row r="53" spans="1:17" s="692" customFormat="1">
      <c r="A53" s="693" t="s">
        <v>2770</v>
      </c>
      <c r="B53" s="262" t="e">
        <f t="shared" ref="B53:B60" si="17">ROUND($C$43*C53*D53,0)</f>
        <v>#DIV/0!</v>
      </c>
      <c r="C53" s="200">
        <f t="shared" si="16"/>
        <v>0.4</v>
      </c>
      <c r="D53" s="1167">
        <v>0.25</v>
      </c>
      <c r="E53" s="694"/>
      <c r="F53" s="691" t="e">
        <f t="shared" si="15"/>
        <v>#DIV/0!</v>
      </c>
      <c r="G53" s="3272"/>
      <c r="H53" s="1107" t="str">
        <f>项目基本情况!B37</f>
        <v>七级</v>
      </c>
      <c r="I53" s="945">
        <f>SUMIF(修正!A45:A56,H53,修正!C45:C56)</f>
        <v>0.4</v>
      </c>
      <c r="J53" s="946"/>
      <c r="K53" s="1148"/>
      <c r="L53" s="944"/>
      <c r="M53" s="944"/>
      <c r="N53" s="944"/>
      <c r="O53" s="944"/>
    </row>
    <row r="54" spans="1:17" s="692" customFormat="1">
      <c r="A54" s="693" t="s">
        <v>2771</v>
      </c>
      <c r="B54" s="262" t="e">
        <f t="shared" si="17"/>
        <v>#DIV/0!</v>
      </c>
      <c r="C54" s="200">
        <f t="shared" si="16"/>
        <v>0.28000000000000003</v>
      </c>
      <c r="D54" s="1167">
        <v>0.25</v>
      </c>
      <c r="E54" s="694"/>
      <c r="F54" s="691" t="e">
        <f t="shared" si="15"/>
        <v>#DIV/0!</v>
      </c>
      <c r="G54" s="3272"/>
      <c r="H54" s="1107" t="str">
        <f>项目基本情况!B37</f>
        <v>七级</v>
      </c>
      <c r="I54" s="945">
        <f>SUMIF(修正!A45:A56,H54,修正!D45:D56)</f>
        <v>0.28000000000000003</v>
      </c>
      <c r="J54" s="946"/>
      <c r="K54" s="1147"/>
      <c r="L54" s="944"/>
      <c r="M54" s="944"/>
      <c r="N54" s="944"/>
      <c r="O54" s="944"/>
    </row>
    <row r="55" spans="1:17" s="692" customFormat="1">
      <c r="A55" s="693" t="s">
        <v>2772</v>
      </c>
      <c r="B55" s="262" t="e">
        <f t="shared" si="17"/>
        <v>#DIV/0!</v>
      </c>
      <c r="C55" s="200">
        <f t="shared" si="16"/>
        <v>0.25</v>
      </c>
      <c r="D55" s="1167">
        <v>0.25</v>
      </c>
      <c r="E55" s="694"/>
      <c r="F55" s="691" t="e">
        <f t="shared" si="15"/>
        <v>#DIV/0!</v>
      </c>
      <c r="G55" s="3272"/>
      <c r="H55" s="1107" t="str">
        <f>项目基本情况!B37</f>
        <v>七级</v>
      </c>
      <c r="I55" s="945">
        <f>SUMIF(修正!A45:A56,H55,修正!E45:E56)</f>
        <v>0.25</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6"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0.2</v>
      </c>
      <c r="D59" s="1167">
        <v>0.25</v>
      </c>
      <c r="E59" s="261">
        <f>'数据-汇总表'!E14</f>
        <v>16275.06</v>
      </c>
      <c r="F59" s="691" t="e">
        <f t="shared" si="15"/>
        <v>#DIV/0!</v>
      </c>
      <c r="G59" s="2716" t="s">
        <v>2769</v>
      </c>
      <c r="H59" s="1107" t="str">
        <f>项目基本情况!B37</f>
        <v>七级</v>
      </c>
      <c r="I59" s="945">
        <f>SUMIF(修正!A45:A56,H59,修正!H45:H56)</f>
        <v>0.2</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17"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1029</v>
      </c>
      <c r="E61" s="696">
        <f>IF(B41="楼面地价",SUM(E51:E60),'数据-汇总表'!D3)</f>
        <v>24498.84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8" t="s">
        <v>2782</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3" t="s">
        <v>2801</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5"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2803</v>
      </c>
      <c r="B1" s="241"/>
      <c r="C1" s="245" t="s">
        <v>2804</v>
      </c>
      <c r="D1" s="388">
        <f>SUM(D29:D30,D33:D39)</f>
        <v>0</v>
      </c>
      <c r="E1" s="2724"/>
      <c r="F1" s="2724"/>
      <c r="G1" s="2724"/>
      <c r="H1" s="2724"/>
      <c r="I1" s="2724"/>
      <c r="J1" s="2724"/>
      <c r="K1" s="1373"/>
      <c r="L1" s="2725" t="s">
        <v>2805</v>
      </c>
      <c r="M1" s="1083">
        <f>SUMPRODUCT((区片价!B5:B9=I2)*(区片价!C3:F3=E2)*(区片价!C5:F9))</f>
        <v>0</v>
      </c>
      <c r="N1" s="1086">
        <f>SUMPRODUCT((因素修正幅度!B5:B9=I2)*(因素修正幅度!C3:F3=E2)*(因素修正幅度!C5:F9))</f>
        <v>0</v>
      </c>
      <c r="O1" s="2726"/>
      <c r="P1" s="2726"/>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t="e">
        <f>C26</f>
        <v>#DIV/0!</v>
      </c>
      <c r="C2" s="2728" t="s">
        <v>2812</v>
      </c>
      <c r="D2" s="2729" t="s">
        <v>2813</v>
      </c>
      <c r="E2" s="2730"/>
      <c r="F2" s="2729" t="s">
        <v>2814</v>
      </c>
      <c r="G2" s="2731">
        <f>IF(E2="商业",项目基本情况!B37,IF(E2="办公",项目基本情况!C37,IF(E2="住宅",项目基本情况!D37,项目基本情况!E37)))</f>
        <v>0</v>
      </c>
      <c r="H2" s="2729" t="s">
        <v>2815</v>
      </c>
      <c r="I2" s="2731">
        <f>IF(E2="商业",项目基本情况!B38,IF(E2="办公",项目基本情况!C38,IF(E2="住宅",项目基本情况!D38,项目基本情况!E38)))</f>
        <v>0</v>
      </c>
      <c r="J2" s="2732"/>
      <c r="K2" s="1373"/>
      <c r="L2" s="2733"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2817</v>
      </c>
      <c r="B3" s="248" t="e">
        <f>ROUND(B2*10000/D1,0)</f>
        <v>#DIV/0!</v>
      </c>
      <c r="C3" s="2728" t="s">
        <v>2818</v>
      </c>
      <c r="D3" s="2729" t="s">
        <v>2819</v>
      </c>
      <c r="E3" s="2734"/>
      <c r="F3" s="2735" t="s">
        <v>2820</v>
      </c>
      <c r="G3" s="916">
        <f>IF(F3="宗地容积率",'数据-汇总表'!I4,IF(F3="估价对象容积率",'数据-汇总表'!I6,'数据-汇总表'!I7))</f>
        <v>3.49</v>
      </c>
      <c r="H3" s="198" t="s">
        <v>2821</v>
      </c>
      <c r="I3" s="947"/>
      <c r="J3" s="2732" t="s">
        <v>2822</v>
      </c>
      <c r="K3" s="1373"/>
      <c r="L3" s="2733"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41"/>
      <c r="B4" s="3342"/>
      <c r="C4" s="3342"/>
      <c r="D4" s="3343"/>
      <c r="E4" s="3343"/>
      <c r="F4" s="3343"/>
      <c r="G4" s="3343"/>
      <c r="H4" s="3343"/>
      <c r="I4" s="3343"/>
      <c r="J4" s="3344"/>
      <c r="K4" s="1373"/>
      <c r="L4" s="2733"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2825</v>
      </c>
      <c r="C5" s="917" t="e">
        <f>ROUND(IF(E2="商业",IF(F16="增加",C6*C7+C16,C6*C7-C16),IF(E2="住宅",IF(F16="增加",C6*C12+C16,C6*C12-C16),IF(F16="增加",C6+C16,C6-C16))),0)</f>
        <v>#DIV/0!</v>
      </c>
      <c r="D5" s="1790">
        <f>ROUND(IF(E2="商业",IF(F16="增加",C6+C16,C6-C16)),0)</f>
        <v>0</v>
      </c>
      <c r="E5" s="2738"/>
      <c r="F5" s="2738"/>
      <c r="G5" s="2739"/>
      <c r="H5" s="2739"/>
      <c r="I5" s="2739"/>
      <c r="J5" s="2740"/>
      <c r="K5" s="2741"/>
      <c r="L5" s="2733"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2827</v>
      </c>
      <c r="B6" s="2747" t="s">
        <v>2828</v>
      </c>
      <c r="C6" s="918">
        <f>SUMIF(L1:L12,G2,M1:M12)</f>
        <v>0</v>
      </c>
      <c r="D6" s="2748" t="s">
        <v>2829</v>
      </c>
      <c r="E6" s="2749"/>
      <c r="F6" s="2749"/>
      <c r="G6" s="2750"/>
      <c r="H6" s="2750"/>
      <c r="I6" s="2750"/>
      <c r="J6" s="2751"/>
      <c r="K6" s="1845"/>
      <c r="L6" s="2733"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327" t="str">
        <f>IF(E2="商业",IF(C8="不临58条商业街","",2),"")</f>
        <v/>
      </c>
      <c r="B7" s="2752" t="s">
        <v>2831</v>
      </c>
      <c r="C7" s="919" t="e">
        <f>IF(C8="不临58条商业街",1,ROUND(1+(1.6*E8+1.2*E9+0.8*E10+0.4*E11)*C9,4))</f>
        <v>#DIV/0!</v>
      </c>
      <c r="D7" s="2753" t="s">
        <v>2832</v>
      </c>
      <c r="E7" s="948"/>
      <c r="F7" s="2754"/>
      <c r="G7" s="2755"/>
      <c r="H7" s="2755"/>
      <c r="I7" s="2755"/>
      <c r="J7" s="2756"/>
      <c r="K7" s="1845"/>
      <c r="L7" s="2733"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2834</v>
      </c>
      <c r="X7" s="1607">
        <f>G2</f>
        <v>0</v>
      </c>
      <c r="Y7" s="1607" t="s">
        <v>2835</v>
      </c>
      <c r="Z7" s="1608">
        <f>G3</f>
        <v>3.49</v>
      </c>
      <c r="AA7" s="1609"/>
      <c r="AB7" s="1609"/>
      <c r="AC7" s="1610"/>
      <c r="AD7" s="1611"/>
      <c r="AE7" s="1611"/>
      <c r="AF7" s="1611"/>
      <c r="AG7" s="1611"/>
      <c r="AH7" s="1611"/>
      <c r="AI7" s="1611"/>
      <c r="AJ7" s="1612"/>
    </row>
    <row r="8" spans="1:36" ht="15">
      <c r="A8" s="3328"/>
      <c r="B8" s="198" t="s">
        <v>2836</v>
      </c>
      <c r="C8" s="2757"/>
      <c r="D8" s="920" t="s">
        <v>139</v>
      </c>
      <c r="E8" s="921" t="e">
        <f>ROUND(C11/E7,4)</f>
        <v>#DIV/0!</v>
      </c>
      <c r="F8" s="2758" t="s">
        <v>2837</v>
      </c>
      <c r="G8" s="2759"/>
      <c r="H8" s="2759"/>
      <c r="I8" s="2759"/>
      <c r="J8" s="2760"/>
      <c r="K8" s="1373"/>
      <c r="L8" s="2733"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38" t="s">
        <v>2839</v>
      </c>
      <c r="X8" s="3339"/>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328"/>
      <c r="B9" s="198" t="s">
        <v>2852</v>
      </c>
      <c r="C9" s="922">
        <f>SUMIF(修正!C59:C119,C8,修正!E59:E119)</f>
        <v>0</v>
      </c>
      <c r="D9" s="200" t="s">
        <v>140</v>
      </c>
      <c r="E9" s="200" t="e">
        <f>ROUND(C11/E7,4)</f>
        <v>#DIV/0!</v>
      </c>
      <c r="F9" s="2758" t="s">
        <v>2853</v>
      </c>
      <c r="G9" s="2759"/>
      <c r="H9" s="2759"/>
      <c r="I9" s="2759"/>
      <c r="J9" s="2760"/>
      <c r="K9" s="1373"/>
      <c r="L9" s="2733"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40"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28"/>
      <c r="B10" s="198" t="s">
        <v>2857</v>
      </c>
      <c r="C10" s="200">
        <f>SUMIF(修正!C59:C119,C8,修正!F59:F119)</f>
        <v>0</v>
      </c>
      <c r="D10" s="200" t="s">
        <v>141</v>
      </c>
      <c r="E10" s="200" t="e">
        <f>ROUND(C11/E7,4)</f>
        <v>#DIV/0!</v>
      </c>
      <c r="F10" s="2758" t="s">
        <v>2858</v>
      </c>
      <c r="G10" s="2759"/>
      <c r="H10" s="2759"/>
      <c r="I10" s="2759"/>
      <c r="J10" s="2760"/>
      <c r="K10" s="1373"/>
      <c r="L10" s="2733"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4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28"/>
      <c r="B11" s="2761" t="s">
        <v>2860</v>
      </c>
      <c r="C11" s="923">
        <f>C10/4</f>
        <v>0</v>
      </c>
      <c r="D11" s="923" t="s">
        <v>142</v>
      </c>
      <c r="E11" s="923" t="e">
        <f>ROUND(C11/E7,4)</f>
        <v>#DIV/0!</v>
      </c>
      <c r="F11" s="2762" t="s">
        <v>2861</v>
      </c>
      <c r="G11" s="2763"/>
      <c r="H11" s="2763"/>
      <c r="I11" s="2763"/>
      <c r="J11" s="2764"/>
      <c r="K11" s="1373"/>
      <c r="L11" s="2733"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40" t="s">
        <v>2863</v>
      </c>
      <c r="X11" s="1617" t="s">
        <v>2864</v>
      </c>
      <c r="Y11" s="1618">
        <f>$G$3</f>
        <v>3.49</v>
      </c>
      <c r="Z11" s="1618">
        <f t="shared" ref="Z11:AJ11" si="3">$G$3</f>
        <v>3.49</v>
      </c>
      <c r="AA11" s="1618">
        <f t="shared" si="3"/>
        <v>3.49</v>
      </c>
      <c r="AB11" s="1618">
        <f t="shared" si="3"/>
        <v>3.49</v>
      </c>
      <c r="AC11" s="1618">
        <f t="shared" si="3"/>
        <v>3.49</v>
      </c>
      <c r="AD11" s="1618">
        <f t="shared" si="3"/>
        <v>3.49</v>
      </c>
      <c r="AE11" s="1618">
        <f t="shared" si="3"/>
        <v>3.49</v>
      </c>
      <c r="AF11" s="1618">
        <f t="shared" si="3"/>
        <v>3.49</v>
      </c>
      <c r="AG11" s="1618">
        <f t="shared" si="3"/>
        <v>3.49</v>
      </c>
      <c r="AH11" s="1618">
        <f t="shared" si="3"/>
        <v>3.49</v>
      </c>
      <c r="AI11" s="1618">
        <f t="shared" si="3"/>
        <v>3.49</v>
      </c>
      <c r="AJ11" s="1618">
        <f t="shared" si="3"/>
        <v>3.49</v>
      </c>
    </row>
    <row r="12" spans="1:36" ht="25.5" thickBot="1">
      <c r="A12" s="3327" t="s">
        <v>2865</v>
      </c>
      <c r="B12" s="2765" t="s">
        <v>2866</v>
      </c>
      <c r="C12" s="919">
        <f>ROUND(C15*D15*E15*F15*G15*H15*I15*J15,4)</f>
        <v>1</v>
      </c>
      <c r="D12" s="2766" t="s">
        <v>2867</v>
      </c>
      <c r="E12" s="2767"/>
      <c r="F12" s="2767"/>
      <c r="G12" s="2768"/>
      <c r="H12" s="2768"/>
      <c r="I12" s="2768"/>
      <c r="J12" s="2769"/>
      <c r="K12" s="1373"/>
      <c r="L12" s="2770"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40"/>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45"/>
      <c r="B13" s="2771" t="s">
        <v>2870</v>
      </c>
      <c r="C13" s="2772" t="s">
        <v>2871</v>
      </c>
      <c r="D13" s="1811" t="s">
        <v>2872</v>
      </c>
      <c r="E13" s="1811" t="s">
        <v>2873</v>
      </c>
      <c r="F13" s="30" t="s">
        <v>2874</v>
      </c>
      <c r="G13" s="2773" t="s">
        <v>2875</v>
      </c>
      <c r="H13" s="2773" t="s">
        <v>2875</v>
      </c>
      <c r="I13" s="2773" t="s">
        <v>2875</v>
      </c>
      <c r="J13" s="2774" t="s">
        <v>2875</v>
      </c>
      <c r="K13" s="1373"/>
      <c r="L13" s="1373"/>
      <c r="M13" s="1373"/>
      <c r="N13" s="1373"/>
      <c r="O13" s="1373"/>
      <c r="P13" s="1373"/>
      <c r="Q13" s="1373"/>
      <c r="R13" s="1605">
        <v>12</v>
      </c>
      <c r="S13" s="1606"/>
      <c r="T13" s="1605" t="e">
        <f t="shared" si="0"/>
        <v>#DIV/0!</v>
      </c>
      <c r="U13" s="1606"/>
      <c r="V13" s="1605" t="e">
        <f t="shared" si="1"/>
        <v>#DIV/0!</v>
      </c>
      <c r="W13" s="3340"/>
      <c r="X13" s="1619"/>
      <c r="Y13" s="1616">
        <f>(-0.163*(Y12^2)-0.59*Y12+7617)*(10^(-4))/Y11</f>
        <v>0.21825214899713466</v>
      </c>
      <c r="Z13" s="1616">
        <f t="shared" ref="Z13:AJ13" si="5">(-0.163*(Z12^2)-0.59*Z12+7617)*(10^(-4))/Z11</f>
        <v>0.21825214899713466</v>
      </c>
      <c r="AA13" s="1616">
        <f t="shared" si="5"/>
        <v>0.21825214899713466</v>
      </c>
      <c r="AB13" s="1616">
        <f t="shared" si="5"/>
        <v>0.21825214899713466</v>
      </c>
      <c r="AC13" s="1616">
        <f t="shared" si="5"/>
        <v>0.21825214899713466</v>
      </c>
      <c r="AD13" s="1616">
        <f t="shared" si="5"/>
        <v>0.21825214899713466</v>
      </c>
      <c r="AE13" s="1616">
        <f t="shared" si="5"/>
        <v>0.21825214899713466</v>
      </c>
      <c r="AF13" s="1616">
        <f t="shared" si="5"/>
        <v>0.21825214899713466</v>
      </c>
      <c r="AG13" s="1616">
        <f t="shared" si="5"/>
        <v>0.21825214899713466</v>
      </c>
      <c r="AH13" s="1616">
        <f t="shared" si="5"/>
        <v>0.21825214899713466</v>
      </c>
      <c r="AI13" s="1616">
        <f t="shared" si="5"/>
        <v>0.21825214899713466</v>
      </c>
      <c r="AJ13" s="1616">
        <f t="shared" si="5"/>
        <v>0.21825214899713466</v>
      </c>
    </row>
    <row r="14" spans="1:36" ht="15">
      <c r="A14" s="3345"/>
      <c r="B14" s="2775"/>
      <c r="C14" s="2776"/>
      <c r="D14" s="2777"/>
      <c r="E14" s="2777"/>
      <c r="F14" s="2778"/>
      <c r="G14" s="2779" t="s">
        <v>2876</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46"/>
      <c r="B15" s="2783" t="s">
        <v>2877</v>
      </c>
      <c r="C15" s="229">
        <f>IF(C14="有",1.1,1)</f>
        <v>1</v>
      </c>
      <c r="D15" s="229">
        <f>IF(D14="有",1.1,1)</f>
        <v>1</v>
      </c>
      <c r="E15" s="229">
        <f>IF(E14="有",1.1,1)</f>
        <v>1</v>
      </c>
      <c r="F15" s="229">
        <f>IF(F14="500米范围内",1.2,IF(F14="500-1000米",1.1,1))</f>
        <v>1</v>
      </c>
      <c r="G15" s="949">
        <v>1</v>
      </c>
      <c r="H15" s="949">
        <v>1</v>
      </c>
      <c r="I15" s="949">
        <v>1</v>
      </c>
      <c r="J15" s="950">
        <v>1</v>
      </c>
      <c r="K15" s="1373"/>
      <c r="L15" s="2784" t="s">
        <v>2813</v>
      </c>
      <c r="M15" s="920" t="s">
        <v>2878</v>
      </c>
      <c r="N15" s="920" t="s">
        <v>2879</v>
      </c>
      <c r="O15" s="920" t="s">
        <v>2880</v>
      </c>
      <c r="P15" s="2785" t="s">
        <v>2881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27" t="s">
        <v>2882</v>
      </c>
      <c r="B16" s="2752" t="s">
        <v>2883</v>
      </c>
      <c r="C16" s="1804" t="e">
        <f>ROUND(SUM(G17:J17)/C17,0)</f>
        <v>#DIV/0!</v>
      </c>
      <c r="D16" s="2786" t="s">
        <v>2884</v>
      </c>
      <c r="E16" s="2787"/>
      <c r="F16" s="2788"/>
      <c r="G16" s="2789"/>
      <c r="H16" s="2789"/>
      <c r="I16" s="2789"/>
      <c r="J16" s="2790"/>
      <c r="K16" s="1373"/>
      <c r="L16" s="2791" t="s">
        <v>2885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28"/>
      <c r="B17" s="2792" t="s">
        <v>2886</v>
      </c>
      <c r="C17" s="924">
        <f>SUMPRODUCT((修正!A2:A5=E2)*(修正!B1:M1=G2)*(修正!B2:M5))</f>
        <v>0</v>
      </c>
      <c r="D17" s="2793"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2890</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2891</v>
      </c>
      <c r="C19" s="927" t="e">
        <f>ROUND(IF(H19="按公示增长率计算",SUMPRODUCT((地价!A3:A22=YEAR(G19)&amp;"-"&amp;ROUNDUP(MONTH(G19)/3,0))*(地价!X2:AB2=E2)*(地价!X3:AB22)),IF(H19="地价指数",M20/M19,(1+I19)^O19)),4)</f>
        <v>#DIV/0!</v>
      </c>
      <c r="D19" s="2804" t="s">
        <v>2892</v>
      </c>
      <c r="E19" s="928">
        <v>41640</v>
      </c>
      <c r="F19" s="2804" t="s">
        <v>2893</v>
      </c>
      <c r="G19" s="929">
        <f>'数据-取费表'!B2</f>
        <v>43235</v>
      </c>
      <c r="H19" s="2805" t="s">
        <v>2894</v>
      </c>
      <c r="I19" s="930" t="str">
        <f>IF(H19="季度增幅（自定义）",SUMIF(N21:N24,E2,O21:O24),"")</f>
        <v/>
      </c>
      <c r="J19" s="2802"/>
      <c r="K19" s="1380"/>
      <c r="L19" s="2806" t="s">
        <v>2895</v>
      </c>
      <c r="M19" s="1737">
        <f>ROUND(SUMIF(地价!B2:F2,E2,地价!B22:F22),0)</f>
        <v>0</v>
      </c>
      <c r="N19" s="2807" t="s">
        <v>2896</v>
      </c>
      <c r="O19" s="931">
        <f>ROUNDDOWN(DATEDIF(E19,G19,"M")/3,0)</f>
        <v>17</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2897</v>
      </c>
      <c r="C20" s="932" t="e">
        <f>ROUND(POWER(1+G20,J20-I20)*(POWER(1+G20,I20)-1)/(POWER(1+G20,J20)-1),4)</f>
        <v>#DIV/0!</v>
      </c>
      <c r="D20" s="2813" t="s">
        <v>2898</v>
      </c>
      <c r="E20" s="1771">
        <f ca="1">存贷款利率!D4/100</f>
        <v>4.3499999999999997E-2</v>
      </c>
      <c r="F20" s="2813" t="s">
        <v>2889</v>
      </c>
      <c r="G20" s="937">
        <f>SUMIF(M15:P15,E2,M17:P17)</f>
        <v>0</v>
      </c>
      <c r="H20" s="2813" t="s">
        <v>2899</v>
      </c>
      <c r="I20" s="938" t="e">
        <f>SUMIF('数据-取费表'!C6:C15,E2,'数据-取费表'!F6:F15)/COUNTIF('数据-取费表'!C6:C15,E2)</f>
        <v>#DIV/0!</v>
      </c>
      <c r="J20" s="939">
        <f>IF(E2="住宅",70,IF(E2="商业",40,50))</f>
        <v>50</v>
      </c>
      <c r="K20" s="1380"/>
      <c r="L20" s="2814" t="s">
        <v>2900</v>
      </c>
      <c r="M20" s="1738">
        <f>ROUND(SUMPRODUCT((地价!A4:A22=YEAR(G19)&amp;"-"&amp;ROUNDUP(MONTH(G19)/3,0))*(地价!B2:F2=E2)*(地价!B4:F22)),0)</f>
        <v>0</v>
      </c>
      <c r="N20" s="2815" t="s">
        <v>2901</v>
      </c>
      <c r="O20" s="2816" t="s">
        <v>2902</v>
      </c>
      <c r="P20" s="2817" t="s">
        <v>2903</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2904</v>
      </c>
      <c r="C21" s="940">
        <f>IF(B21="容积率修正",IF(G3&lt;=10,D22,J22),C23)</f>
        <v>0</v>
      </c>
      <c r="D21" s="2820"/>
      <c r="E21" s="2820"/>
      <c r="F21" s="2820"/>
      <c r="G21" s="2820"/>
      <c r="H21" s="2820"/>
      <c r="I21" s="2820"/>
      <c r="J21" s="2821"/>
      <c r="K21" s="1380"/>
      <c r="N21" s="2822" t="s">
        <v>2905</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5" customFormat="1" ht="14.25">
      <c r="A22" s="2671" t="s">
        <v>2906</v>
      </c>
      <c r="B22" s="2823" t="s">
        <v>2907</v>
      </c>
      <c r="C22" s="1813" t="s">
        <v>2908</v>
      </c>
      <c r="D22" s="1813">
        <f>IF(E22=G22,F22,IF(G3&lt;=10,ROUND(F22+(H22-F22)*(G3-E22)/(G22-E22),4),"——"))</f>
        <v>0</v>
      </c>
      <c r="E22" s="916">
        <f>ROUNDDOWN(G3,1)</f>
        <v>3.4</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2" t="s">
        <v>2909</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71" t="s">
        <v>2910</v>
      </c>
      <c r="B23" s="2824" t="s">
        <v>2911</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2912</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2913</v>
      </c>
      <c r="C24" s="927">
        <f>SUMIF(A45:A88,E2,B45:B88)</f>
        <v>0</v>
      </c>
      <c r="D24" s="2800"/>
      <c r="E24" s="2830"/>
      <c r="F24" s="2830"/>
      <c r="G24" s="2830"/>
      <c r="H24" s="2830"/>
      <c r="I24" s="2830"/>
      <c r="J24" s="2831"/>
      <c r="K24" s="1380"/>
      <c r="N24" s="2832" t="s">
        <v>2914</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2915</v>
      </c>
      <c r="C25" s="933"/>
      <c r="D25" s="2755"/>
      <c r="E25" s="2755"/>
      <c r="F25" s="2834"/>
      <c r="G25" s="2755"/>
      <c r="H25" s="2755"/>
      <c r="I25" s="2755"/>
      <c r="J25" s="2756"/>
      <c r="K25" s="1373"/>
      <c r="N25" s="2835" t="s">
        <v>2916</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6"/>
      <c r="B26" s="2823" t="s">
        <v>2917</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2918</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2919</v>
      </c>
      <c r="C28" s="2847" t="s">
        <v>2920</v>
      </c>
      <c r="D28" s="2847" t="s">
        <v>2921</v>
      </c>
      <c r="E28" s="2848" t="s">
        <v>2922</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2923</v>
      </c>
      <c r="C29" s="206" t="e">
        <f>ROUND(C5*C18*C19*C20*C21*C24,0)</f>
        <v>#DIV/0!</v>
      </c>
      <c r="D29" s="2852"/>
      <c r="E29" s="945" t="e">
        <f>ROUND(C29*D29/10000,0)</f>
        <v>#DIV/0!</v>
      </c>
      <c r="F29" s="2853" t="s">
        <v>2924</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2925</v>
      </c>
      <c r="C30" s="229" t="e">
        <f>ROUND(IF(E2="工业",C29*M39,C29*M38),0)</f>
        <v>#DIV/0!</v>
      </c>
      <c r="D30" s="2858"/>
      <c r="E30" s="945" t="e">
        <f>ROUND(C30*D30/10000,0)</f>
        <v>#DIV/0!</v>
      </c>
      <c r="F30" s="2859" t="s">
        <v>2926</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2927</v>
      </c>
      <c r="C31" s="2864" t="s">
        <v>2928</v>
      </c>
      <c r="D31" s="2768"/>
      <c r="E31" s="2864"/>
      <c r="F31" s="2864"/>
      <c r="G31" s="2766" t="s">
        <v>2929</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2920</v>
      </c>
      <c r="D32" s="498" t="s">
        <v>2921</v>
      </c>
      <c r="E32" s="498" t="s">
        <v>2922</v>
      </c>
      <c r="F32" s="388" t="s">
        <v>2930</v>
      </c>
      <c r="G32" s="2867" t="s">
        <v>2920</v>
      </c>
      <c r="H32" s="2867" t="s">
        <v>2921</v>
      </c>
      <c r="I32" s="2867"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335" t="s">
        <v>2931</v>
      </c>
      <c r="B33" s="2868" t="s">
        <v>2932</v>
      </c>
      <c r="C33" s="206" t="e">
        <f>ROUND(D5*C19*C20*C24*F33,0)</f>
        <v>#DIV/0!</v>
      </c>
      <c r="D33" s="2852"/>
      <c r="E33" s="200" t="e">
        <f>ROUND(C33*D33/10000,0)</f>
        <v>#DIV/0!</v>
      </c>
      <c r="F33" s="200">
        <f>SUMIF(修正!A45:A56,G2,修正!B45:B56)</f>
        <v>0</v>
      </c>
      <c r="G33" s="200" t="e">
        <f t="shared" ref="G33:G39"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36"/>
      <c r="B34" s="2772" t="s">
        <v>2933</v>
      </c>
      <c r="C34" s="206" t="e">
        <f>ROUND(D5*C19*C20*C24*F34,0)</f>
        <v>#DIV/0!</v>
      </c>
      <c r="D34" s="285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36"/>
      <c r="B35" s="2772" t="s">
        <v>2934</v>
      </c>
      <c r="C35" s="206" t="e">
        <f>ROUND(D5*C19*C20*C24*F35,0)</f>
        <v>#DIV/0!</v>
      </c>
      <c r="D35" s="2852"/>
      <c r="E35" s="200" t="e">
        <f t="shared" si="7"/>
        <v>#DIV/0!</v>
      </c>
      <c r="F35" s="200">
        <f>SUMIF(修正!A45:A56,G2,修正!D45:D56)</f>
        <v>0</v>
      </c>
      <c r="G35" s="200" t="e">
        <f t="shared" si="6"/>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337"/>
      <c r="B36" s="2772" t="s">
        <v>2935</v>
      </c>
      <c r="C36" s="206" t="e">
        <f>ROUND(D5*C19*C20*C24*F36,0)</f>
        <v>#DIV/0!</v>
      </c>
      <c r="D36" s="2852"/>
      <c r="E36" s="200" t="e">
        <f t="shared" si="7"/>
        <v>#DIV/0!</v>
      </c>
      <c r="F36" s="200">
        <f>SUMIF(修正!A45:A56,G2,修正!E45:E56)</f>
        <v>0</v>
      </c>
      <c r="G36" s="200" t="e">
        <f t="shared" si="6"/>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2936</v>
      </c>
      <c r="C37" s="200" t="e">
        <f>ROUND(C5*C19*C20*C24*F37,0)</f>
        <v>#DIV/0!</v>
      </c>
      <c r="D37" s="2852"/>
      <c r="E37" s="200" t="e">
        <f t="shared" si="7"/>
        <v>#DIV/0!</v>
      </c>
      <c r="F37" s="206">
        <f>SUMIF(修正!A45:A56,G2,修正!F45:F56)</f>
        <v>0</v>
      </c>
      <c r="G37" s="200" t="e">
        <f t="shared" si="6"/>
        <v>#DIV/0!</v>
      </c>
      <c r="H37" s="200">
        <f t="shared" si="8"/>
        <v>0</v>
      </c>
      <c r="I37" s="200" t="e">
        <f t="shared" si="9"/>
        <v>#DIV/0!</v>
      </c>
      <c r="J37" s="2869"/>
      <c r="K37" s="1373"/>
      <c r="L37" s="2871" t="s">
        <v>2937</v>
      </c>
      <c r="M37" s="2872"/>
      <c r="N37" s="1373"/>
      <c r="O37" s="1373"/>
      <c r="P37" s="1373"/>
      <c r="Q37" s="1373"/>
      <c r="R37" s="1373"/>
      <c r="S37" s="1373"/>
      <c r="T37" s="1373"/>
      <c r="U37" s="1373"/>
      <c r="V37" s="1373"/>
      <c r="W37" s="1373"/>
      <c r="X37" s="1373"/>
      <c r="Y37" s="1373"/>
      <c r="Z37" s="1374"/>
    </row>
    <row r="38" spans="1:37">
      <c r="A38" s="2870"/>
      <c r="B38" s="2772" t="s">
        <v>2938</v>
      </c>
      <c r="C38" s="200" t="e">
        <f>ROUND(C5*C19*C20*C24*F38,0)</f>
        <v>#DIV/0!</v>
      </c>
      <c r="D38" s="2852"/>
      <c r="E38" s="200" t="e">
        <f t="shared" si="7"/>
        <v>#DIV/0!</v>
      </c>
      <c r="F38" s="206">
        <f>SUMIF(修正!A45:A56,G2,修正!G45:G56)</f>
        <v>0</v>
      </c>
      <c r="G38" s="200" t="e">
        <f t="shared" si="6"/>
        <v>#DIV/0!</v>
      </c>
      <c r="H38" s="200">
        <f t="shared" si="8"/>
        <v>0</v>
      </c>
      <c r="I38" s="200" t="e">
        <f t="shared" si="9"/>
        <v>#DIV/0!</v>
      </c>
      <c r="J38" s="2869"/>
      <c r="K38" s="1373"/>
      <c r="L38" s="1890" t="s">
        <v>2939</v>
      </c>
      <c r="M38" s="2873">
        <v>0.25</v>
      </c>
      <c r="N38" s="1373"/>
      <c r="O38" s="1373"/>
      <c r="P38" s="1373"/>
      <c r="Q38" s="1373"/>
      <c r="R38" s="1373"/>
      <c r="S38" s="1373"/>
      <c r="T38" s="1373"/>
      <c r="U38" s="1373"/>
      <c r="V38" s="1373"/>
      <c r="W38" s="1373"/>
      <c r="X38" s="1373"/>
      <c r="Y38" s="1373"/>
      <c r="Z38" s="1374"/>
    </row>
    <row r="39" spans="1:37" ht="13.5" thickBot="1">
      <c r="A39" s="2856"/>
      <c r="B39" s="2874" t="s">
        <v>2940</v>
      </c>
      <c r="C39" s="229" t="e">
        <f>ROUND(C5*C19*C20*C24*F39,0)</f>
        <v>#DIV/0!</v>
      </c>
      <c r="D39" s="2858"/>
      <c r="E39" s="229" t="e">
        <f t="shared" si="7"/>
        <v>#DIV/0!</v>
      </c>
      <c r="F39" s="935">
        <f>SUMIF(修正!A45:A56,G2,修正!H45:H56)</f>
        <v>0</v>
      </c>
      <c r="G39" s="229" t="e">
        <f t="shared" si="6"/>
        <v>#DIV/0!</v>
      </c>
      <c r="H39" s="229">
        <f t="shared" si="8"/>
        <v>0</v>
      </c>
      <c r="I39" s="229" t="e">
        <f t="shared" si="9"/>
        <v>#DIV/0!</v>
      </c>
      <c r="J39" s="2875"/>
      <c r="K39" s="1373"/>
      <c r="L39" s="2876" t="s">
        <v>2881</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2941</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2942</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2943</v>
      </c>
      <c r="B47" s="1812" t="s">
        <v>2944</v>
      </c>
      <c r="C47" s="1812" t="s">
        <v>2945</v>
      </c>
      <c r="D47" s="1812" t="s">
        <v>2946</v>
      </c>
      <c r="E47" s="819" t="s">
        <v>2947</v>
      </c>
      <c r="F47" s="2886" t="s">
        <v>2948</v>
      </c>
      <c r="G47" s="1812" t="s">
        <v>754</v>
      </c>
      <c r="H47" s="2887" t="s">
        <v>2949</v>
      </c>
      <c r="I47" s="1812"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5" t="s">
        <v>2951</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2952</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2953</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2954</v>
      </c>
      <c r="B51" s="2890" t="s">
        <v>2955</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2956</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2957</v>
      </c>
      <c r="B53" s="2891" t="s">
        <v>2958</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2959</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2960</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2961</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2962</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2943</v>
      </c>
      <c r="B58" s="1812"/>
      <c r="C58" s="1812" t="s">
        <v>2945</v>
      </c>
      <c r="D58" s="1812" t="s">
        <v>2946</v>
      </c>
      <c r="E58" s="819" t="s">
        <v>2947</v>
      </c>
      <c r="F58" s="2886" t="s">
        <v>2963</v>
      </c>
      <c r="G58" s="1812" t="s">
        <v>754</v>
      </c>
      <c r="H58" s="2887" t="s">
        <v>2949</v>
      </c>
      <c r="I58" s="1812"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5" t="s">
        <v>2964</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2952</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2953</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2954</v>
      </c>
      <c r="B62" s="2890" t="s">
        <v>2955</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2956</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2957</v>
      </c>
      <c r="B64" s="2891" t="s">
        <v>2958</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2959</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2960</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2961</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2965</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2943</v>
      </c>
      <c r="B69" s="1812"/>
      <c r="C69" s="1812" t="s">
        <v>2945</v>
      </c>
      <c r="D69" s="1812" t="s">
        <v>2946</v>
      </c>
      <c r="E69" s="819" t="s">
        <v>2947</v>
      </c>
      <c r="F69" s="2886" t="s">
        <v>2963</v>
      </c>
      <c r="G69" s="1812" t="s">
        <v>754</v>
      </c>
      <c r="H69" s="2887" t="s">
        <v>2949</v>
      </c>
      <c r="I69" s="1812"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5" t="s">
        <v>2966</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2952</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2953</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2967</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2959</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2960</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2957</v>
      </c>
      <c r="B76" s="2891" t="s">
        <v>2958</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2961</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2968</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2969</v>
      </c>
      <c r="B79" s="2882">
        <f>1+E81</f>
        <v>1</v>
      </c>
      <c r="C79" s="814"/>
      <c r="D79" s="814"/>
      <c r="E79" s="815"/>
      <c r="F79" s="2884"/>
      <c r="G79" s="6"/>
      <c r="H79" s="6"/>
      <c r="I79" s="6"/>
      <c r="J79" s="7"/>
      <c r="K79" s="7"/>
      <c r="L79" s="7"/>
      <c r="M79" s="7"/>
      <c r="N79" s="7"/>
      <c r="Z79" s="2727"/>
      <c r="AA79" s="2803"/>
      <c r="AG79" s="1375"/>
      <c r="AK79" s="2803"/>
    </row>
    <row r="80" spans="1:37" ht="24.75">
      <c r="A80" s="2885" t="s">
        <v>2943</v>
      </c>
      <c r="B80" s="1812"/>
      <c r="C80" s="1812" t="s">
        <v>2945</v>
      </c>
      <c r="D80" s="1812" t="s">
        <v>2946</v>
      </c>
      <c r="E80" s="819" t="s">
        <v>2947</v>
      </c>
      <c r="F80" s="2886" t="s">
        <v>2963</v>
      </c>
      <c r="G80" s="1812" t="s">
        <v>754</v>
      </c>
      <c r="H80" s="2887" t="s">
        <v>2949</v>
      </c>
      <c r="I80" s="1812" t="s">
        <v>2950</v>
      </c>
      <c r="J80" s="603" t="s">
        <v>2598</v>
      </c>
      <c r="K80" s="603" t="s">
        <v>2599</v>
      </c>
      <c r="L80" s="603" t="s">
        <v>2600</v>
      </c>
      <c r="M80" s="603" t="s">
        <v>2601</v>
      </c>
      <c r="N80" s="603" t="s">
        <v>2602</v>
      </c>
      <c r="Z80" s="2727"/>
      <c r="AA80" s="2803"/>
      <c r="AG80" s="1375"/>
      <c r="AK80" s="2803"/>
    </row>
    <row r="81" spans="1:37" ht="38.25">
      <c r="A81" s="2885" t="s">
        <v>2970</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2952</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2953</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2967</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2959</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2960</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2957</v>
      </c>
      <c r="B87" s="2891" t="s">
        <v>2971</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2972</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329" t="s">
        <v>2973</v>
      </c>
      <c r="B90" s="3329"/>
      <c r="C90" s="3329"/>
      <c r="D90" s="3329"/>
      <c r="E90" s="3329"/>
      <c r="F90" s="3329"/>
      <c r="G90" s="3329"/>
      <c r="H90" s="3329"/>
      <c r="I90" s="3329"/>
      <c r="J90" s="3329"/>
      <c r="K90" s="2899"/>
      <c r="L90" s="2899"/>
      <c r="M90" s="2899"/>
      <c r="N90" s="2899"/>
    </row>
    <row r="91" spans="1:37">
      <c r="A91" s="3331" t="s">
        <v>2974</v>
      </c>
      <c r="B91" s="3331" t="s">
        <v>2975</v>
      </c>
      <c r="C91" s="2853" t="s">
        <v>2976</v>
      </c>
      <c r="D91" s="2854"/>
      <c r="E91" s="2854"/>
      <c r="F91" s="2854"/>
      <c r="G91" s="2854"/>
      <c r="H91" s="2854"/>
      <c r="I91" s="2854"/>
      <c r="J91" s="2900"/>
      <c r="K91" s="2901"/>
      <c r="L91" s="2901"/>
      <c r="M91" s="2901"/>
      <c r="N91" s="2901"/>
    </row>
    <row r="92" spans="1:37">
      <c r="A92" s="3331"/>
      <c r="B92" s="3331"/>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332" t="s">
        <v>2977</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333"/>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333"/>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333"/>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333"/>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333"/>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333"/>
      <c r="B99" s="2902" t="s">
        <v>2856</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334"/>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332" t="s">
        <v>2978</v>
      </c>
      <c r="B101" s="2906" t="s">
        <v>2979</v>
      </c>
      <c r="C101" s="2907">
        <f>$G$3</f>
        <v>3.49</v>
      </c>
      <c r="D101" s="2907">
        <f t="shared" ref="D101:N101" si="31">$G$3</f>
        <v>3.49</v>
      </c>
      <c r="E101" s="2907">
        <f t="shared" si="31"/>
        <v>3.49</v>
      </c>
      <c r="F101" s="2907">
        <f t="shared" si="31"/>
        <v>3.49</v>
      </c>
      <c r="G101" s="2907">
        <f t="shared" si="31"/>
        <v>3.49</v>
      </c>
      <c r="H101" s="2907">
        <f t="shared" si="31"/>
        <v>3.49</v>
      </c>
      <c r="I101" s="2907">
        <f t="shared" si="31"/>
        <v>3.49</v>
      </c>
      <c r="J101" s="2907">
        <f t="shared" si="31"/>
        <v>3.49</v>
      </c>
      <c r="K101" s="2907">
        <f t="shared" si="31"/>
        <v>3.49</v>
      </c>
      <c r="L101" s="2907">
        <f t="shared" si="31"/>
        <v>3.49</v>
      </c>
      <c r="M101" s="2907">
        <f t="shared" si="31"/>
        <v>3.49</v>
      </c>
      <c r="N101" s="2907">
        <f t="shared" si="31"/>
        <v>3.49</v>
      </c>
    </row>
    <row r="102" spans="1:14">
      <c r="A102" s="3333"/>
      <c r="B102" s="2902">
        <v>1</v>
      </c>
      <c r="C102" s="2903">
        <f>1.9362/C101</f>
        <v>0.55478510028653294</v>
      </c>
      <c r="D102" s="2903">
        <f>1.9362/D101</f>
        <v>0.55478510028653294</v>
      </c>
      <c r="E102" s="2903">
        <f>1.8629/E101</f>
        <v>0.53378223495702004</v>
      </c>
      <c r="F102" s="2903">
        <f>1.8629/F101</f>
        <v>0.53378223495702004</v>
      </c>
      <c r="G102" s="2903">
        <f>1.8629/G101</f>
        <v>0.53378223495702004</v>
      </c>
      <c r="H102" s="2903">
        <f>1.8629/H101</f>
        <v>0.53378223495702004</v>
      </c>
      <c r="I102" s="2903">
        <f>1.8629/I101</f>
        <v>0.53378223495702004</v>
      </c>
      <c r="J102" s="2903">
        <f>1.942/J101</f>
        <v>0.55644699140401144</v>
      </c>
      <c r="K102" s="2903">
        <f>1.942/K101</f>
        <v>0.55644699140401144</v>
      </c>
      <c r="L102" s="2903">
        <f>1.942/L101</f>
        <v>0.55644699140401144</v>
      </c>
      <c r="M102" s="2903">
        <f>1.942/M101</f>
        <v>0.55644699140401144</v>
      </c>
      <c r="N102" s="2903">
        <f>1.942/N101</f>
        <v>0.55644699140401144</v>
      </c>
    </row>
    <row r="103" spans="1:14">
      <c r="A103" s="3333"/>
      <c r="B103" s="2902">
        <v>2</v>
      </c>
      <c r="C103" s="2903">
        <f>1.4198/C101</f>
        <v>0.40681948424068765</v>
      </c>
      <c r="D103" s="2903">
        <f>1.4198/D101</f>
        <v>0.40681948424068765</v>
      </c>
      <c r="E103" s="2903">
        <f>1.3372/E101</f>
        <v>0.38315186246418337</v>
      </c>
      <c r="F103" s="2903">
        <f>1.3372/F101</f>
        <v>0.38315186246418337</v>
      </c>
      <c r="G103" s="2903">
        <f>1.3372/G101</f>
        <v>0.38315186246418337</v>
      </c>
      <c r="H103" s="2903">
        <f>1.3372/H101</f>
        <v>0.38315186246418337</v>
      </c>
      <c r="I103" s="2903">
        <f>1.3372/I101</f>
        <v>0.38315186246418337</v>
      </c>
      <c r="J103" s="2903">
        <f>1.2799/J101</f>
        <v>0.36673352435530082</v>
      </c>
      <c r="K103" s="2903">
        <f>1.2799/K101</f>
        <v>0.36673352435530082</v>
      </c>
      <c r="L103" s="2903">
        <f>1.2799/L101</f>
        <v>0.36673352435530082</v>
      </c>
      <c r="M103" s="2903">
        <f>1.2799/M101</f>
        <v>0.36673352435530082</v>
      </c>
      <c r="N103" s="2903">
        <f>1.2799/N101</f>
        <v>0.36673352435530082</v>
      </c>
    </row>
    <row r="104" spans="1:14">
      <c r="A104" s="3333"/>
      <c r="B104" s="2902">
        <v>3</v>
      </c>
      <c r="C104" s="2903">
        <f>1.1594/C101</f>
        <v>0.33220630372492832</v>
      </c>
      <c r="D104" s="2903">
        <f>1.1594/D101</f>
        <v>0.33220630372492832</v>
      </c>
      <c r="E104" s="2903">
        <f>1.0788/E101</f>
        <v>0.30911174785100282</v>
      </c>
      <c r="F104" s="2903">
        <f>1.0788/F101</f>
        <v>0.30911174785100282</v>
      </c>
      <c r="G104" s="2903">
        <f>1.0788/G101</f>
        <v>0.30911174785100282</v>
      </c>
      <c r="H104" s="2903">
        <f>1.0788/H101</f>
        <v>0.30911174785100282</v>
      </c>
      <c r="I104" s="2903">
        <f>1.0788/I101</f>
        <v>0.30911174785100282</v>
      </c>
      <c r="J104" s="2903">
        <f>1.0072/J101</f>
        <v>0.28859598853868196</v>
      </c>
      <c r="K104" s="2903">
        <f>1.0072/K101</f>
        <v>0.28859598853868196</v>
      </c>
      <c r="L104" s="2903">
        <f>1.0072/L101</f>
        <v>0.28859598853868196</v>
      </c>
      <c r="M104" s="2903">
        <f>1.0072/M101</f>
        <v>0.28859598853868196</v>
      </c>
      <c r="N104" s="2903">
        <f>1.0072/N101</f>
        <v>0.28859598853868196</v>
      </c>
    </row>
    <row r="105" spans="1:14">
      <c r="A105" s="3333"/>
      <c r="B105" s="2902">
        <v>4</v>
      </c>
      <c r="C105" s="2903">
        <f>0.9622/C101</f>
        <v>0.27570200573065901</v>
      </c>
      <c r="D105" s="2903">
        <f>0.9622/D101</f>
        <v>0.27570200573065901</v>
      </c>
      <c r="E105" s="2903">
        <f>0.8656/E101</f>
        <v>0.24802292263610315</v>
      </c>
      <c r="F105" s="2903">
        <f>0.8656/F101</f>
        <v>0.24802292263610315</v>
      </c>
      <c r="G105" s="2903">
        <f>0.8656/G101</f>
        <v>0.24802292263610315</v>
      </c>
      <c r="H105" s="2903">
        <f>0.8656/H101</f>
        <v>0.24802292263610315</v>
      </c>
      <c r="I105" s="2903">
        <f>0.8656/I101</f>
        <v>0.24802292263610315</v>
      </c>
      <c r="J105" s="2903">
        <f>0.7525/J101</f>
        <v>0.21561604584527216</v>
      </c>
      <c r="K105" s="2903">
        <f>0.7525/K101</f>
        <v>0.21561604584527216</v>
      </c>
      <c r="L105" s="2903">
        <f>0.7525/L101</f>
        <v>0.21561604584527216</v>
      </c>
      <c r="M105" s="2903">
        <f>0.7525/M101</f>
        <v>0.21561604584527216</v>
      </c>
      <c r="N105" s="2903">
        <f>0.7525/N101</f>
        <v>0.21561604584527216</v>
      </c>
    </row>
    <row r="106" spans="1:14">
      <c r="A106" s="3333"/>
      <c r="B106" s="2902">
        <v>5</v>
      </c>
      <c r="C106" s="2903">
        <f>0.8417/C101</f>
        <v>0.24117478510028653</v>
      </c>
      <c r="D106" s="2903">
        <f>0.8417/D101</f>
        <v>0.24117478510028653</v>
      </c>
      <c r="E106" s="2903">
        <f>0.7371/E101</f>
        <v>0.21120343839541544</v>
      </c>
      <c r="F106" s="2903">
        <f>0.7371/F101</f>
        <v>0.21120343839541544</v>
      </c>
      <c r="G106" s="2903">
        <f>0.7371/G101</f>
        <v>0.21120343839541544</v>
      </c>
      <c r="H106" s="2903">
        <f>0.7371/H101</f>
        <v>0.21120343839541544</v>
      </c>
      <c r="I106" s="2903">
        <f>0.7371/I101</f>
        <v>0.21120343839541544</v>
      </c>
      <c r="J106" s="2903">
        <f>0.5659/J101</f>
        <v>0.16214899713467046</v>
      </c>
      <c r="K106" s="2903">
        <f>0.5659/K101</f>
        <v>0.16214899713467046</v>
      </c>
      <c r="L106" s="2903">
        <f>0.5659/L101</f>
        <v>0.16214899713467046</v>
      </c>
      <c r="M106" s="2903">
        <f>0.5659/M101</f>
        <v>0.16214899713467046</v>
      </c>
      <c r="N106" s="2903">
        <f>0.5659/N101</f>
        <v>0.16214899713467046</v>
      </c>
    </row>
    <row r="107" spans="1:14">
      <c r="A107" s="3333"/>
      <c r="B107" s="2902">
        <v>6</v>
      </c>
      <c r="C107" s="2903">
        <f>0.7608/C101</f>
        <v>0.21799426934097421</v>
      </c>
      <c r="D107" s="2903">
        <f>0.7608/D101</f>
        <v>0.21799426934097421</v>
      </c>
      <c r="E107" s="2903">
        <f>0.6482/E101</f>
        <v>0.18573065902578795</v>
      </c>
      <c r="F107" s="2903">
        <f>0.6482/F101</f>
        <v>0.18573065902578795</v>
      </c>
      <c r="G107" s="2903">
        <f>0.6482/G101</f>
        <v>0.18573065902578795</v>
      </c>
      <c r="H107" s="2903">
        <f>0.6482/H101</f>
        <v>0.18573065902578795</v>
      </c>
      <c r="I107" s="2903">
        <f>0.6482/I101</f>
        <v>0.18573065902578795</v>
      </c>
      <c r="J107" s="2903">
        <f>0.4525/J101</f>
        <v>0.12965616045845271</v>
      </c>
      <c r="K107" s="2903">
        <f>0.4525/K101</f>
        <v>0.12965616045845271</v>
      </c>
      <c r="L107" s="2903">
        <f>0.4525/L101</f>
        <v>0.12965616045845271</v>
      </c>
      <c r="M107" s="2903">
        <f>0.4525/M101</f>
        <v>0.12965616045845271</v>
      </c>
      <c r="N107" s="2903">
        <f>0.4525/N101</f>
        <v>0.12965616045845271</v>
      </c>
    </row>
    <row r="108" spans="1:14">
      <c r="A108" s="3333"/>
      <c r="B108" s="3161" t="s">
        <v>2980</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334"/>
      <c r="B109" s="3162"/>
      <c r="C109" s="2905">
        <f>(-0.163*(C108^2)-0.59*C108+7617)*(10^(-4))/C101</f>
        <v>0.21825214899713466</v>
      </c>
      <c r="D109" s="2905">
        <f>(-0.163*(D108^2)-0.59*D108+7617)*(10^(-4))/D101</f>
        <v>0.21825214899713466</v>
      </c>
      <c r="E109" s="2905">
        <f>(-0.161*(E108^2)-7.509*E108+6533)*(10^(-4))/E101</f>
        <v>0.18719197707736387</v>
      </c>
      <c r="F109" s="2905">
        <f>(-0.161*(F108^2)-7.509*F108+6533)*(10^(-4))/F101</f>
        <v>0.18719197707736387</v>
      </c>
      <c r="G109" s="2905">
        <f>(-0.161*(G108^2)-7.509*G108+6533)*(10^(-4))/G101</f>
        <v>0.18719197707736387</v>
      </c>
      <c r="H109" s="2905">
        <f>(-0.161*(H108^2)-7.509*H108+6533)*(10^(-4))/H101</f>
        <v>0.18719197707736387</v>
      </c>
      <c r="I109" s="2905">
        <f>(-0.161*(I108^2)-7.509*I108+6533)*(10^(-4))/I101</f>
        <v>0.18719197707736387</v>
      </c>
      <c r="J109" s="2905">
        <f>(-0.214*(J108^2)-21.991*J108+4665)*(10^(-4))/J101</f>
        <v>0.13366762177650429</v>
      </c>
      <c r="K109" s="2905">
        <f>(-0.214*(K108^2)-21.991*K108+4665)*(10^(-4))/K101</f>
        <v>0.13366762177650429</v>
      </c>
      <c r="L109" s="2905">
        <f>(-0.214*(L108^2)-21.991*L108+4665)*(10^(-4))/L101</f>
        <v>0.13366762177650429</v>
      </c>
      <c r="M109" s="2905">
        <f>(-0.214*(M108^2)-21.991*M108+4665)*(10^(-4))/M101</f>
        <v>0.13366762177650429</v>
      </c>
      <c r="N109" s="2905">
        <f>(-0.214*(N108^2)-21.991*N108+4665)*(10^(-4))/N101</f>
        <v>0.13366762177650429</v>
      </c>
    </row>
    <row r="110" spans="1:14">
      <c r="A110" s="3330" t="s">
        <v>2981</v>
      </c>
      <c r="B110" s="3330"/>
      <c r="C110" s="3330"/>
      <c r="D110" s="3330"/>
      <c r="E110" s="3330"/>
      <c r="F110" s="3330"/>
      <c r="G110" s="3330"/>
      <c r="H110" s="3330"/>
      <c r="I110" s="3330"/>
      <c r="J110" s="3330"/>
      <c r="K110" s="2908"/>
      <c r="L110" s="2908"/>
      <c r="M110" s="2908"/>
      <c r="N110" s="2908"/>
    </row>
    <row r="112" spans="1:14" ht="13.5" thickBot="1"/>
    <row r="113" spans="1:13" ht="25.5" thickBot="1">
      <c r="A113" s="903" t="s">
        <v>2982</v>
      </c>
      <c r="B113" s="1290">
        <f>G3</f>
        <v>3.49</v>
      </c>
      <c r="C113" s="904" t="s">
        <v>2983</v>
      </c>
      <c r="D113" s="905">
        <f>SUMPRODUCT((A115:A118=F113)*(B114:M114=H113)*B115:M118)</f>
        <v>0</v>
      </c>
      <c r="E113" s="2731" t="s">
        <v>2813</v>
      </c>
      <c r="F113" s="2910">
        <f>E2</f>
        <v>0</v>
      </c>
      <c r="G113" s="2731" t="s">
        <v>2814</v>
      </c>
      <c r="H113" s="2910">
        <f>G2</f>
        <v>0</v>
      </c>
      <c r="I113" s="2731"/>
      <c r="J113" s="2911"/>
      <c r="K113" s="2911"/>
      <c r="L113" s="2911"/>
      <c r="M113" s="2911"/>
    </row>
    <row r="114" spans="1:13">
      <c r="A114" s="908"/>
      <c r="B114" s="2912" t="s">
        <v>2984</v>
      </c>
      <c r="C114" s="2912" t="s">
        <v>2985</v>
      </c>
      <c r="D114" s="2912" t="s">
        <v>2986</v>
      </c>
      <c r="E114" s="2913" t="s">
        <v>2987</v>
      </c>
      <c r="F114" s="2913" t="s">
        <v>2988</v>
      </c>
      <c r="G114" s="2913" t="s">
        <v>2989</v>
      </c>
      <c r="H114" s="2914" t="s">
        <v>2990</v>
      </c>
      <c r="I114" s="2914" t="s">
        <v>2991</v>
      </c>
      <c r="J114" s="2915" t="s">
        <v>2992</v>
      </c>
      <c r="K114" s="2915" t="s">
        <v>2993</v>
      </c>
      <c r="L114" s="2915" t="s">
        <v>2994</v>
      </c>
      <c r="M114" s="2916" t="s">
        <v>2995</v>
      </c>
    </row>
    <row r="115" spans="1:13">
      <c r="A115" s="909" t="s">
        <v>2878</v>
      </c>
      <c r="B115" s="910">
        <f>ROUND(0.9335-0.0094*B113,4)</f>
        <v>0.90069999999999995</v>
      </c>
      <c r="C115" s="910">
        <f>B115</f>
        <v>0.90069999999999995</v>
      </c>
      <c r="D115" s="910">
        <f>ROUND(0.8331-0.0109*B113,4)</f>
        <v>0.79510000000000003</v>
      </c>
      <c r="E115" s="910">
        <f>D115</f>
        <v>0.79510000000000003</v>
      </c>
      <c r="F115" s="910">
        <f>E115</f>
        <v>0.79510000000000003</v>
      </c>
      <c r="G115" s="910">
        <f>F115</f>
        <v>0.79510000000000003</v>
      </c>
      <c r="H115" s="910">
        <f>G115</f>
        <v>0.79510000000000003</v>
      </c>
      <c r="I115" s="910">
        <f>ROUND(0.689-0.0155*B113,4)</f>
        <v>0.63490000000000002</v>
      </c>
      <c r="J115" s="910">
        <f t="shared" ref="J115:M118" si="33">I115</f>
        <v>0.63490000000000002</v>
      </c>
      <c r="K115" s="910">
        <f t="shared" si="33"/>
        <v>0.63490000000000002</v>
      </c>
      <c r="L115" s="910">
        <f t="shared" si="33"/>
        <v>0.63490000000000002</v>
      </c>
      <c r="M115" s="911">
        <f t="shared" si="33"/>
        <v>0.63490000000000002</v>
      </c>
    </row>
    <row r="116" spans="1:13">
      <c r="A116" s="909" t="s">
        <v>2879</v>
      </c>
      <c r="B116" s="910">
        <f>ROUND(0.949-0.012*B113,4)</f>
        <v>0.90710000000000002</v>
      </c>
      <c r="C116" s="910">
        <f>B116</f>
        <v>0.90710000000000002</v>
      </c>
      <c r="D116" s="910">
        <f>ROUND(0.8567-0.013*B113,4)</f>
        <v>0.81130000000000002</v>
      </c>
      <c r="E116" s="910">
        <f t="shared" ref="E116:H117" si="34">D116</f>
        <v>0.81130000000000002</v>
      </c>
      <c r="F116" s="910">
        <f t="shared" si="34"/>
        <v>0.81130000000000002</v>
      </c>
      <c r="G116" s="910">
        <f t="shared" si="34"/>
        <v>0.81130000000000002</v>
      </c>
      <c r="H116" s="910">
        <f t="shared" si="34"/>
        <v>0.81130000000000002</v>
      </c>
      <c r="I116" s="910">
        <f>ROUND(0.7694-0.014*B113,4)</f>
        <v>0.72050000000000003</v>
      </c>
      <c r="J116" s="910">
        <f t="shared" si="33"/>
        <v>0.72050000000000003</v>
      </c>
      <c r="K116" s="910">
        <f t="shared" si="33"/>
        <v>0.72050000000000003</v>
      </c>
      <c r="L116" s="910">
        <f t="shared" si="33"/>
        <v>0.72050000000000003</v>
      </c>
      <c r="M116" s="911">
        <f t="shared" si="33"/>
        <v>0.72050000000000003</v>
      </c>
    </row>
    <row r="117" spans="1:13">
      <c r="A117" s="909" t="s">
        <v>2880</v>
      </c>
      <c r="B117" s="910">
        <f>ROUND(0.8808-0.006*B113,4)</f>
        <v>0.8599</v>
      </c>
      <c r="C117" s="910">
        <f>B117</f>
        <v>0.8599</v>
      </c>
      <c r="D117" s="910">
        <f>ROUND(0.8748-0.008*B113,4)</f>
        <v>0.84689999999999999</v>
      </c>
      <c r="E117" s="910">
        <f t="shared" si="34"/>
        <v>0.84689999999999999</v>
      </c>
      <c r="F117" s="910">
        <f t="shared" si="34"/>
        <v>0.84689999999999999</v>
      </c>
      <c r="G117" s="910">
        <f t="shared" si="34"/>
        <v>0.84689999999999999</v>
      </c>
      <c r="H117" s="910">
        <f t="shared" si="34"/>
        <v>0.84689999999999999</v>
      </c>
      <c r="I117" s="910">
        <f>ROUND(0.7412-0.0095*B113,4)</f>
        <v>0.70799999999999996</v>
      </c>
      <c r="J117" s="910">
        <f t="shared" si="33"/>
        <v>0.70799999999999996</v>
      </c>
      <c r="K117" s="910">
        <f t="shared" si="33"/>
        <v>0.70799999999999996</v>
      </c>
      <c r="L117" s="910">
        <f t="shared" si="33"/>
        <v>0.70799999999999996</v>
      </c>
      <c r="M117" s="911">
        <f t="shared" si="33"/>
        <v>0.70799999999999996</v>
      </c>
    </row>
    <row r="118" spans="1:13" ht="13.5" thickBot="1">
      <c r="A118" s="714" t="s">
        <v>2881</v>
      </c>
      <c r="B118" s="912">
        <f>ROUND(0.7275-0.01*B113,4)</f>
        <v>0.69259999999999999</v>
      </c>
      <c r="C118" s="912">
        <f>B118</f>
        <v>0.69259999999999999</v>
      </c>
      <c r="D118" s="912">
        <f>ROUND(0.7043-0.012*B113,4)</f>
        <v>0.66239999999999999</v>
      </c>
      <c r="E118" s="912">
        <f>D118</f>
        <v>0.66239999999999999</v>
      </c>
      <c r="F118" s="912">
        <f>E118</f>
        <v>0.66239999999999999</v>
      </c>
      <c r="G118" s="912">
        <f>ROUND(0.6299-0.0122*B113,4)</f>
        <v>0.58730000000000004</v>
      </c>
      <c r="H118" s="912">
        <f>G118</f>
        <v>0.58730000000000004</v>
      </c>
      <c r="I118" s="912">
        <f>ROUND(0.5667-0.0136*B113,4)</f>
        <v>0.51919999999999999</v>
      </c>
      <c r="J118" s="912">
        <f t="shared" si="33"/>
        <v>0.51919999999999999</v>
      </c>
      <c r="K118" s="912">
        <f t="shared" si="33"/>
        <v>0.51919999999999999</v>
      </c>
      <c r="L118" s="912">
        <f t="shared" si="33"/>
        <v>0.51919999999999999</v>
      </c>
      <c r="M118" s="913">
        <f t="shared" si="33"/>
        <v>0.51919999999999999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47" t="s">
        <v>183</v>
      </c>
      <c r="B18" s="882" t="s">
        <v>560</v>
      </c>
      <c r="C18" s="883" t="s">
        <v>561</v>
      </c>
      <c r="D18" s="884"/>
      <c r="E18" s="882">
        <v>1</v>
      </c>
      <c r="F18" s="885" t="s">
        <v>562</v>
      </c>
      <c r="G18" s="886"/>
      <c r="H18" s="878"/>
      <c r="I18" s="878"/>
    </row>
    <row r="19" spans="1:9" s="887" customFormat="1" ht="19.5" customHeight="1">
      <c r="A19" s="3347"/>
      <c r="B19" s="3347" t="s">
        <v>563</v>
      </c>
      <c r="C19" s="883" t="s">
        <v>564</v>
      </c>
      <c r="D19" s="884"/>
      <c r="E19" s="882">
        <v>0.9</v>
      </c>
      <c r="F19" s="885" t="s">
        <v>565</v>
      </c>
      <c r="G19" s="886"/>
      <c r="H19" s="878"/>
      <c r="I19" s="878"/>
    </row>
    <row r="20" spans="1:9" s="887" customFormat="1" ht="19.5" customHeight="1">
      <c r="A20" s="3347"/>
      <c r="B20" s="3347"/>
      <c r="C20" s="883" t="s">
        <v>566</v>
      </c>
      <c r="D20" s="884"/>
      <c r="E20" s="882">
        <v>1.1000000000000001</v>
      </c>
      <c r="F20" s="885" t="s">
        <v>567</v>
      </c>
      <c r="G20" s="886"/>
      <c r="H20" s="878"/>
      <c r="I20" s="878"/>
    </row>
    <row r="21" spans="1:9" s="887" customFormat="1" ht="19.5" customHeight="1">
      <c r="A21" s="3347"/>
      <c r="B21" s="3347"/>
      <c r="C21" s="883" t="s">
        <v>568</v>
      </c>
      <c r="D21" s="884"/>
      <c r="E21" s="882">
        <v>0.8</v>
      </c>
      <c r="F21" s="885" t="s">
        <v>569</v>
      </c>
      <c r="G21" s="886"/>
      <c r="H21" s="878"/>
      <c r="I21" s="878"/>
    </row>
    <row r="22" spans="1:9" s="887" customFormat="1" ht="19.5" customHeight="1">
      <c r="A22" s="3347"/>
      <c r="B22" s="3347"/>
      <c r="C22" s="883" t="s">
        <v>570</v>
      </c>
      <c r="D22" s="884"/>
      <c r="E22" s="882">
        <v>0.5</v>
      </c>
      <c r="F22" s="885"/>
      <c r="G22" s="886"/>
      <c r="H22" s="878"/>
      <c r="I22" s="878"/>
    </row>
    <row r="23" spans="1:9" s="887" customFormat="1" ht="19.5" customHeight="1">
      <c r="A23" s="3347" t="s">
        <v>184</v>
      </c>
      <c r="B23" s="882" t="s">
        <v>560</v>
      </c>
      <c r="C23" s="883" t="s">
        <v>571</v>
      </c>
      <c r="D23" s="884"/>
      <c r="E23" s="882">
        <v>1</v>
      </c>
      <c r="F23" s="885" t="s">
        <v>572</v>
      </c>
      <c r="G23" s="886"/>
      <c r="H23" s="878"/>
      <c r="I23" s="878"/>
    </row>
    <row r="24" spans="1:9" s="887" customFormat="1" ht="19.5" customHeight="1">
      <c r="A24" s="3347"/>
      <c r="B24" s="3347" t="s">
        <v>563</v>
      </c>
      <c r="C24" s="883" t="s">
        <v>573</v>
      </c>
      <c r="D24" s="884"/>
      <c r="E24" s="882">
        <v>0.5</v>
      </c>
      <c r="F24" s="885"/>
      <c r="G24" s="886"/>
      <c r="H24" s="878"/>
      <c r="I24" s="878"/>
    </row>
    <row r="25" spans="1:9" s="887" customFormat="1" ht="19.5" customHeight="1">
      <c r="A25" s="3347"/>
      <c r="B25" s="3347"/>
      <c r="C25" s="883" t="s">
        <v>574</v>
      </c>
      <c r="D25" s="884"/>
      <c r="E25" s="882">
        <v>1.1000000000000001</v>
      </c>
      <c r="F25" s="885"/>
      <c r="G25" s="886"/>
      <c r="H25" s="878"/>
      <c r="I25" s="878"/>
    </row>
    <row r="26" spans="1:9" s="887" customFormat="1" ht="19.5" customHeight="1">
      <c r="A26" s="3347"/>
      <c r="B26" s="3347"/>
      <c r="C26" s="883" t="s">
        <v>575</v>
      </c>
      <c r="D26" s="884"/>
      <c r="E26" s="882">
        <v>1.1000000000000001</v>
      </c>
      <c r="F26" s="885"/>
      <c r="G26" s="886"/>
      <c r="H26" s="878"/>
      <c r="I26" s="878"/>
    </row>
    <row r="27" spans="1:9" s="887" customFormat="1" ht="19.5" customHeight="1">
      <c r="A27" s="3347"/>
      <c r="B27" s="3347"/>
      <c r="C27" s="883" t="s">
        <v>576</v>
      </c>
      <c r="D27" s="884"/>
      <c r="E27" s="882">
        <v>0.9</v>
      </c>
      <c r="F27" s="885" t="s">
        <v>577</v>
      </c>
      <c r="G27" s="886"/>
      <c r="H27" s="878"/>
      <c r="I27" s="878"/>
    </row>
    <row r="28" spans="1:9" s="887" customFormat="1" ht="19.5" customHeight="1">
      <c r="A28" s="3347"/>
      <c r="B28" s="3347"/>
      <c r="C28" s="883" t="s">
        <v>578</v>
      </c>
      <c r="D28" s="884"/>
      <c r="E28" s="882">
        <v>0.9</v>
      </c>
      <c r="F28" s="885" t="s">
        <v>579</v>
      </c>
      <c r="G28" s="886"/>
      <c r="H28" s="878"/>
      <c r="I28" s="878"/>
    </row>
    <row r="29" spans="1:9" s="887" customFormat="1" ht="19.5" customHeight="1">
      <c r="A29" s="3347"/>
      <c r="B29" s="3347"/>
      <c r="C29" s="883" t="s">
        <v>580</v>
      </c>
      <c r="D29" s="884"/>
      <c r="E29" s="882">
        <v>0.9</v>
      </c>
      <c r="F29" s="885" t="s">
        <v>581</v>
      </c>
      <c r="G29" s="886"/>
      <c r="H29" s="878"/>
      <c r="I29" s="878"/>
    </row>
    <row r="30" spans="1:9" s="887" customFormat="1" ht="19.5" customHeight="1">
      <c r="A30" s="3347"/>
      <c r="B30" s="3347"/>
      <c r="C30" s="883" t="s">
        <v>582</v>
      </c>
      <c r="D30" s="884"/>
      <c r="E30" s="882">
        <v>0.9</v>
      </c>
      <c r="F30" s="885" t="s">
        <v>583</v>
      </c>
      <c r="G30" s="886"/>
      <c r="H30" s="878"/>
      <c r="I30" s="878"/>
    </row>
    <row r="31" spans="1:9" s="887" customFormat="1" ht="19.5" customHeight="1">
      <c r="A31" s="3347"/>
      <c r="B31" s="3347"/>
      <c r="C31" s="883" t="s">
        <v>584</v>
      </c>
      <c r="D31" s="884"/>
      <c r="E31" s="882">
        <v>0.8</v>
      </c>
      <c r="F31" s="885" t="s">
        <v>585</v>
      </c>
      <c r="G31" s="886"/>
      <c r="H31" s="878"/>
      <c r="I31" s="878"/>
    </row>
    <row r="32" spans="1:9" s="887" customFormat="1" ht="19.5" customHeight="1">
      <c r="A32" s="3347"/>
      <c r="B32" s="3347"/>
      <c r="C32" s="883" t="s">
        <v>586</v>
      </c>
      <c r="D32" s="884"/>
      <c r="E32" s="882">
        <v>0.8</v>
      </c>
      <c r="F32" s="885" t="s">
        <v>587</v>
      </c>
      <c r="G32" s="886"/>
      <c r="H32" s="878"/>
      <c r="I32" s="878"/>
    </row>
    <row r="33" spans="1:9" s="887" customFormat="1" ht="19.5" customHeight="1">
      <c r="A33" s="3347" t="s">
        <v>185</v>
      </c>
      <c r="B33" s="882" t="s">
        <v>560</v>
      </c>
      <c r="C33" s="883" t="s">
        <v>588</v>
      </c>
      <c r="D33" s="884"/>
      <c r="E33" s="882">
        <v>1</v>
      </c>
      <c r="F33" s="885" t="s">
        <v>589</v>
      </c>
      <c r="G33" s="886"/>
      <c r="H33" s="878"/>
      <c r="I33" s="878"/>
    </row>
    <row r="34" spans="1:9" s="887" customFormat="1" ht="19.5" customHeight="1">
      <c r="A34" s="3347"/>
      <c r="B34" s="882" t="s">
        <v>563</v>
      </c>
      <c r="C34" s="883" t="s">
        <v>590</v>
      </c>
      <c r="D34" s="884"/>
      <c r="E34" s="882">
        <v>1.5</v>
      </c>
      <c r="F34" s="885" t="s">
        <v>591</v>
      </c>
      <c r="G34" s="886"/>
      <c r="H34" s="878"/>
      <c r="I34" s="878"/>
    </row>
    <row r="35" spans="1:9" s="887" customFormat="1" ht="19.5" customHeight="1">
      <c r="A35" s="3347" t="s">
        <v>186</v>
      </c>
      <c r="B35" s="882" t="s">
        <v>560</v>
      </c>
      <c r="C35" s="883" t="s">
        <v>592</v>
      </c>
      <c r="D35" s="884"/>
      <c r="E35" s="882">
        <v>1</v>
      </c>
      <c r="F35" s="885" t="s">
        <v>593</v>
      </c>
      <c r="G35" s="886"/>
      <c r="H35" s="878"/>
      <c r="I35" s="878"/>
    </row>
    <row r="36" spans="1:9" s="887" customFormat="1" ht="19.5" customHeight="1">
      <c r="A36" s="3347"/>
      <c r="B36" s="3347" t="s">
        <v>563</v>
      </c>
      <c r="C36" s="883" t="s">
        <v>594</v>
      </c>
      <c r="D36" s="884"/>
      <c r="E36" s="882">
        <v>1</v>
      </c>
      <c r="F36" s="885" t="s">
        <v>595</v>
      </c>
      <c r="G36" s="886"/>
      <c r="H36" s="878"/>
      <c r="I36" s="878"/>
    </row>
    <row r="37" spans="1:9" s="887" customFormat="1" ht="19.5" customHeight="1">
      <c r="A37" s="3347"/>
      <c r="B37" s="3347"/>
      <c r="C37" s="883" t="s">
        <v>596</v>
      </c>
      <c r="D37" s="884"/>
      <c r="E37" s="882">
        <v>1.5</v>
      </c>
      <c r="F37" s="885" t="s">
        <v>597</v>
      </c>
      <c r="G37" s="886"/>
      <c r="H37" s="878"/>
      <c r="I37" s="878"/>
    </row>
    <row r="38" spans="1:9" s="887" customFormat="1" ht="19.5" customHeight="1">
      <c r="A38" s="3347"/>
      <c r="B38" s="3347"/>
      <c r="C38" s="883" t="s">
        <v>598</v>
      </c>
      <c r="D38" s="884"/>
      <c r="E38" s="882">
        <v>1</v>
      </c>
      <c r="F38" s="885" t="s">
        <v>599</v>
      </c>
      <c r="G38" s="886"/>
      <c r="H38" s="878"/>
      <c r="I38" s="878"/>
    </row>
    <row r="39" spans="1:9" s="887" customFormat="1" ht="19.5" customHeight="1">
      <c r="A39" s="3347"/>
      <c r="B39" s="334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47" t="s">
        <v>614</v>
      </c>
      <c r="C61" s="818" t="s">
        <v>615</v>
      </c>
      <c r="D61" s="818" t="s">
        <v>616</v>
      </c>
      <c r="E61" s="895">
        <v>0.5</v>
      </c>
      <c r="F61" s="882">
        <v>80</v>
      </c>
    </row>
    <row r="62" spans="1:8" s="878" customFormat="1" ht="24">
      <c r="A62" s="882">
        <v>2</v>
      </c>
      <c r="B62" s="3347"/>
      <c r="C62" s="818" t="s">
        <v>617</v>
      </c>
      <c r="D62" s="818" t="s">
        <v>618</v>
      </c>
      <c r="E62" s="895">
        <v>0.5</v>
      </c>
      <c r="F62" s="882">
        <v>80</v>
      </c>
    </row>
    <row r="63" spans="1:8" s="878" customFormat="1" ht="36">
      <c r="A63" s="882">
        <v>3</v>
      </c>
      <c r="B63" s="3347"/>
      <c r="C63" s="818" t="s">
        <v>619</v>
      </c>
      <c r="D63" s="818" t="s">
        <v>620</v>
      </c>
      <c r="E63" s="895">
        <v>0.5</v>
      </c>
      <c r="F63" s="882">
        <v>80</v>
      </c>
    </row>
    <row r="64" spans="1:8" s="878" customFormat="1" ht="36">
      <c r="A64" s="882">
        <v>4</v>
      </c>
      <c r="B64" s="3347"/>
      <c r="C64" s="818" t="s">
        <v>621</v>
      </c>
      <c r="D64" s="818" t="s">
        <v>622</v>
      </c>
      <c r="E64" s="895">
        <v>0.4</v>
      </c>
      <c r="F64" s="882">
        <v>60</v>
      </c>
    </row>
    <row r="65" spans="1:6" s="878" customFormat="1" ht="36">
      <c r="A65" s="882">
        <v>5</v>
      </c>
      <c r="B65" s="3347"/>
      <c r="C65" s="818" t="s">
        <v>623</v>
      </c>
      <c r="D65" s="818" t="s">
        <v>624</v>
      </c>
      <c r="E65" s="895">
        <v>0.2</v>
      </c>
      <c r="F65" s="882">
        <v>30</v>
      </c>
    </row>
    <row r="66" spans="1:6" s="878" customFormat="1" ht="36">
      <c r="A66" s="882">
        <v>6</v>
      </c>
      <c r="B66" s="3347"/>
      <c r="C66" s="818" t="s">
        <v>625</v>
      </c>
      <c r="D66" s="818" t="s">
        <v>626</v>
      </c>
      <c r="E66" s="895">
        <v>0.3</v>
      </c>
      <c r="F66" s="882">
        <v>50</v>
      </c>
    </row>
    <row r="67" spans="1:6" s="878" customFormat="1" ht="36">
      <c r="A67" s="882">
        <v>7</v>
      </c>
      <c r="B67" s="3347"/>
      <c r="C67" s="818" t="s">
        <v>627</v>
      </c>
      <c r="D67" s="818" t="s">
        <v>628</v>
      </c>
      <c r="E67" s="895">
        <v>0.2</v>
      </c>
      <c r="F67" s="882">
        <v>30</v>
      </c>
    </row>
    <row r="68" spans="1:6" s="878" customFormat="1" ht="36">
      <c r="A68" s="882">
        <v>8</v>
      </c>
      <c r="B68" s="3347"/>
      <c r="C68" s="818" t="s">
        <v>629</v>
      </c>
      <c r="D68" s="818" t="s">
        <v>630</v>
      </c>
      <c r="E68" s="895">
        <v>0.2</v>
      </c>
      <c r="F68" s="882">
        <v>30</v>
      </c>
    </row>
    <row r="69" spans="1:6" s="878" customFormat="1" ht="36">
      <c r="A69" s="882">
        <v>9</v>
      </c>
      <c r="B69" s="3347"/>
      <c r="C69" s="818" t="s">
        <v>631</v>
      </c>
      <c r="D69" s="818" t="s">
        <v>632</v>
      </c>
      <c r="E69" s="895">
        <v>0.2</v>
      </c>
      <c r="F69" s="882">
        <v>30</v>
      </c>
    </row>
    <row r="70" spans="1:6" s="878" customFormat="1" ht="48">
      <c r="A70" s="882">
        <v>10</v>
      </c>
      <c r="B70" s="3347"/>
      <c r="C70" s="818" t="s">
        <v>633</v>
      </c>
      <c r="D70" s="818" t="s">
        <v>634</v>
      </c>
      <c r="E70" s="895">
        <v>0.2</v>
      </c>
      <c r="F70" s="882">
        <v>30</v>
      </c>
    </row>
    <row r="71" spans="1:6" s="878" customFormat="1" ht="48">
      <c r="A71" s="882">
        <v>11</v>
      </c>
      <c r="B71" s="3347"/>
      <c r="C71" s="818" t="s">
        <v>635</v>
      </c>
      <c r="D71" s="818" t="s">
        <v>636</v>
      </c>
      <c r="E71" s="895">
        <v>0.2</v>
      </c>
      <c r="F71" s="882">
        <v>30</v>
      </c>
    </row>
    <row r="72" spans="1:6" s="878" customFormat="1" ht="36">
      <c r="A72" s="882">
        <v>12</v>
      </c>
      <c r="B72" s="3347"/>
      <c r="C72" s="818" t="s">
        <v>637</v>
      </c>
      <c r="D72" s="818" t="s">
        <v>638</v>
      </c>
      <c r="E72" s="895">
        <v>0.5</v>
      </c>
      <c r="F72" s="882">
        <v>80</v>
      </c>
    </row>
    <row r="73" spans="1:6" s="878" customFormat="1" ht="24">
      <c r="A73" s="882">
        <v>13</v>
      </c>
      <c r="B73" s="3347"/>
      <c r="C73" s="818" t="s">
        <v>639</v>
      </c>
      <c r="D73" s="818" t="s">
        <v>640</v>
      </c>
      <c r="E73" s="895">
        <v>0.4</v>
      </c>
      <c r="F73" s="882">
        <v>60</v>
      </c>
    </row>
    <row r="74" spans="1:6" s="878" customFormat="1" ht="24">
      <c r="A74" s="882">
        <v>14</v>
      </c>
      <c r="B74" s="3347"/>
      <c r="C74" s="818" t="s">
        <v>641</v>
      </c>
      <c r="D74" s="818" t="s">
        <v>642</v>
      </c>
      <c r="E74" s="895">
        <v>0.2</v>
      </c>
      <c r="F74" s="882">
        <v>30</v>
      </c>
    </row>
    <row r="75" spans="1:6" s="878" customFormat="1" ht="24">
      <c r="A75" s="882">
        <v>15</v>
      </c>
      <c r="B75" s="3347"/>
      <c r="C75" s="818" t="s">
        <v>643</v>
      </c>
      <c r="D75" s="818" t="s">
        <v>644</v>
      </c>
      <c r="E75" s="895">
        <v>0.2</v>
      </c>
      <c r="F75" s="882">
        <v>30</v>
      </c>
    </row>
    <row r="76" spans="1:6" s="878" customFormat="1" ht="24">
      <c r="A76" s="882">
        <v>16</v>
      </c>
      <c r="B76" s="3347" t="s">
        <v>645</v>
      </c>
      <c r="C76" s="818" t="s">
        <v>646</v>
      </c>
      <c r="D76" s="818" t="s">
        <v>647</v>
      </c>
      <c r="E76" s="895">
        <v>0.5</v>
      </c>
      <c r="F76" s="882">
        <v>80</v>
      </c>
    </row>
    <row r="77" spans="1:6" s="878" customFormat="1" ht="24">
      <c r="A77" s="882">
        <v>17</v>
      </c>
      <c r="B77" s="3347"/>
      <c r="C77" s="818" t="s">
        <v>648</v>
      </c>
      <c r="D77" s="818" t="s">
        <v>649</v>
      </c>
      <c r="E77" s="895">
        <v>0.5</v>
      </c>
      <c r="F77" s="882">
        <v>80</v>
      </c>
    </row>
    <row r="78" spans="1:6" s="878" customFormat="1" ht="24">
      <c r="A78" s="882">
        <v>18</v>
      </c>
      <c r="B78" s="3347"/>
      <c r="C78" s="818" t="s">
        <v>650</v>
      </c>
      <c r="D78" s="818" t="s">
        <v>651</v>
      </c>
      <c r="E78" s="895">
        <v>0.2</v>
      </c>
      <c r="F78" s="882">
        <v>30</v>
      </c>
    </row>
    <row r="79" spans="1:6" s="878" customFormat="1" ht="24">
      <c r="A79" s="882">
        <v>19</v>
      </c>
      <c r="B79" s="3347"/>
      <c r="C79" s="818" t="s">
        <v>652</v>
      </c>
      <c r="D79" s="818" t="s">
        <v>653</v>
      </c>
      <c r="E79" s="895">
        <v>0.5</v>
      </c>
      <c r="F79" s="882">
        <v>80</v>
      </c>
    </row>
    <row r="80" spans="1:6" s="878" customFormat="1" ht="36">
      <c r="A80" s="882">
        <v>20</v>
      </c>
      <c r="B80" s="3347"/>
      <c r="C80" s="818" t="s">
        <v>654</v>
      </c>
      <c r="D80" s="818" t="s">
        <v>655</v>
      </c>
      <c r="E80" s="895">
        <v>0.2</v>
      </c>
      <c r="F80" s="882">
        <v>30</v>
      </c>
    </row>
    <row r="81" spans="1:6" s="878" customFormat="1" ht="36">
      <c r="A81" s="882">
        <v>21</v>
      </c>
      <c r="B81" s="3347"/>
      <c r="C81" s="818" t="s">
        <v>656</v>
      </c>
      <c r="D81" s="818" t="s">
        <v>657</v>
      </c>
      <c r="E81" s="895">
        <v>0.2</v>
      </c>
      <c r="F81" s="882">
        <v>30</v>
      </c>
    </row>
    <row r="82" spans="1:6" s="878" customFormat="1" ht="48">
      <c r="A82" s="882">
        <v>22</v>
      </c>
      <c r="B82" s="3347"/>
      <c r="C82" s="818" t="s">
        <v>658</v>
      </c>
      <c r="D82" s="818" t="s">
        <v>659</v>
      </c>
      <c r="E82" s="895">
        <v>0.2</v>
      </c>
      <c r="F82" s="882">
        <v>30</v>
      </c>
    </row>
    <row r="83" spans="1:6" s="878" customFormat="1" ht="48">
      <c r="A83" s="882">
        <v>23</v>
      </c>
      <c r="B83" s="3347"/>
      <c r="C83" s="818" t="s">
        <v>660</v>
      </c>
      <c r="D83" s="818" t="s">
        <v>661</v>
      </c>
      <c r="E83" s="895">
        <v>0.2</v>
      </c>
      <c r="F83" s="882">
        <v>30</v>
      </c>
    </row>
    <row r="84" spans="1:6" s="878" customFormat="1" ht="36">
      <c r="A84" s="882">
        <v>24</v>
      </c>
      <c r="B84" s="3347"/>
      <c r="C84" s="818" t="s">
        <v>662</v>
      </c>
      <c r="D84" s="818" t="s">
        <v>663</v>
      </c>
      <c r="E84" s="895">
        <v>0.2</v>
      </c>
      <c r="F84" s="882">
        <v>30</v>
      </c>
    </row>
    <row r="85" spans="1:6" s="878" customFormat="1" ht="36">
      <c r="A85" s="882">
        <v>25</v>
      </c>
      <c r="B85" s="3347"/>
      <c r="C85" s="818" t="s">
        <v>664</v>
      </c>
      <c r="D85" s="818" t="s">
        <v>665</v>
      </c>
      <c r="E85" s="895">
        <v>0.5</v>
      </c>
      <c r="F85" s="882">
        <v>80</v>
      </c>
    </row>
    <row r="86" spans="1:6" s="878" customFormat="1" ht="36">
      <c r="A86" s="882">
        <v>26</v>
      </c>
      <c r="B86" s="3347"/>
      <c r="C86" s="818" t="s">
        <v>666</v>
      </c>
      <c r="D86" s="818" t="s">
        <v>667</v>
      </c>
      <c r="E86" s="895">
        <v>0.2</v>
      </c>
      <c r="F86" s="882">
        <v>30</v>
      </c>
    </row>
    <row r="87" spans="1:6" s="878" customFormat="1" ht="36">
      <c r="A87" s="882">
        <v>27</v>
      </c>
      <c r="B87" s="3347"/>
      <c r="C87" s="818" t="s">
        <v>668</v>
      </c>
      <c r="D87" s="818" t="s">
        <v>669</v>
      </c>
      <c r="E87" s="895">
        <v>0.2</v>
      </c>
      <c r="F87" s="882">
        <v>30</v>
      </c>
    </row>
    <row r="88" spans="1:6" s="878" customFormat="1" ht="36">
      <c r="A88" s="882">
        <v>28</v>
      </c>
      <c r="B88" s="3347"/>
      <c r="C88" s="818" t="s">
        <v>670</v>
      </c>
      <c r="D88" s="818" t="s">
        <v>671</v>
      </c>
      <c r="E88" s="895">
        <v>0.2</v>
      </c>
      <c r="F88" s="882">
        <v>30</v>
      </c>
    </row>
    <row r="89" spans="1:6" s="878" customFormat="1" ht="24">
      <c r="A89" s="882">
        <v>29</v>
      </c>
      <c r="B89" s="3347"/>
      <c r="C89" s="818" t="s">
        <v>672</v>
      </c>
      <c r="D89" s="818" t="s">
        <v>673</v>
      </c>
      <c r="E89" s="895">
        <v>0.2</v>
      </c>
      <c r="F89" s="882">
        <v>30</v>
      </c>
    </row>
    <row r="90" spans="1:6" s="878" customFormat="1" ht="24">
      <c r="A90" s="882">
        <v>30</v>
      </c>
      <c r="B90" s="3347"/>
      <c r="C90" s="818" t="s">
        <v>674</v>
      </c>
      <c r="D90" s="818" t="s">
        <v>675</v>
      </c>
      <c r="E90" s="895">
        <v>0.2</v>
      </c>
      <c r="F90" s="882">
        <v>30</v>
      </c>
    </row>
    <row r="91" spans="1:6" s="878" customFormat="1" ht="36">
      <c r="A91" s="882">
        <v>31</v>
      </c>
      <c r="B91" s="3347"/>
      <c r="C91" s="818" t="s">
        <v>676</v>
      </c>
      <c r="D91" s="818" t="s">
        <v>677</v>
      </c>
      <c r="E91" s="895">
        <v>0.2</v>
      </c>
      <c r="F91" s="882">
        <v>30</v>
      </c>
    </row>
    <row r="92" spans="1:6" s="878" customFormat="1" ht="24">
      <c r="A92" s="882">
        <v>32</v>
      </c>
      <c r="B92" s="3347" t="s">
        <v>678</v>
      </c>
      <c r="C92" s="882" t="s">
        <v>679</v>
      </c>
      <c r="D92" s="818" t="s">
        <v>680</v>
      </c>
      <c r="E92" s="895">
        <v>0.2</v>
      </c>
      <c r="F92" s="882">
        <v>30</v>
      </c>
    </row>
    <row r="93" spans="1:6" s="878" customFormat="1" ht="36">
      <c r="A93" s="882">
        <v>33</v>
      </c>
      <c r="B93" s="3347"/>
      <c r="C93" s="882" t="s">
        <v>681</v>
      </c>
      <c r="D93" s="818" t="s">
        <v>682</v>
      </c>
      <c r="E93" s="895">
        <v>0.2</v>
      </c>
      <c r="F93" s="882">
        <v>30</v>
      </c>
    </row>
    <row r="94" spans="1:6" s="878" customFormat="1" ht="48">
      <c r="A94" s="882">
        <v>34</v>
      </c>
      <c r="B94" s="3347"/>
      <c r="C94" s="882" t="s">
        <v>683</v>
      </c>
      <c r="D94" s="818" t="s">
        <v>684</v>
      </c>
      <c r="E94" s="895">
        <v>0.2</v>
      </c>
      <c r="F94" s="882">
        <v>30</v>
      </c>
    </row>
    <row r="95" spans="1:6" s="878" customFormat="1" ht="36">
      <c r="A95" s="882">
        <v>35</v>
      </c>
      <c r="B95" s="3347"/>
      <c r="C95" s="882" t="s">
        <v>685</v>
      </c>
      <c r="D95" s="818" t="s">
        <v>686</v>
      </c>
      <c r="E95" s="895">
        <v>0.2</v>
      </c>
      <c r="F95" s="882">
        <v>30</v>
      </c>
    </row>
    <row r="96" spans="1:6" s="878" customFormat="1" ht="48">
      <c r="A96" s="882">
        <v>36</v>
      </c>
      <c r="B96" s="3347"/>
      <c r="C96" s="818" t="s">
        <v>687</v>
      </c>
      <c r="D96" s="818" t="s">
        <v>688</v>
      </c>
      <c r="E96" s="895">
        <v>0.2</v>
      </c>
      <c r="F96" s="882">
        <v>30</v>
      </c>
    </row>
    <row r="97" spans="1:6" s="878" customFormat="1" ht="36">
      <c r="A97" s="882">
        <v>37</v>
      </c>
      <c r="B97" s="3347"/>
      <c r="C97" s="882" t="s">
        <v>689</v>
      </c>
      <c r="D97" s="818" t="s">
        <v>690</v>
      </c>
      <c r="E97" s="895">
        <v>0.2</v>
      </c>
      <c r="F97" s="882">
        <v>30</v>
      </c>
    </row>
    <row r="98" spans="1:6" s="878" customFormat="1" ht="36">
      <c r="A98" s="882">
        <v>38</v>
      </c>
      <c r="B98" s="3347"/>
      <c r="C98" s="882" t="s">
        <v>691</v>
      </c>
      <c r="D98" s="818" t="s">
        <v>692</v>
      </c>
      <c r="E98" s="895">
        <v>0.2</v>
      </c>
      <c r="F98" s="882">
        <v>30</v>
      </c>
    </row>
    <row r="99" spans="1:6" s="878" customFormat="1" ht="36">
      <c r="A99" s="882">
        <v>39</v>
      </c>
      <c r="B99" s="3347" t="s">
        <v>693</v>
      </c>
      <c r="C99" s="882" t="s">
        <v>694</v>
      </c>
      <c r="D99" s="818" t="s">
        <v>695</v>
      </c>
      <c r="E99" s="895">
        <v>0.3</v>
      </c>
      <c r="F99" s="882">
        <v>50</v>
      </c>
    </row>
    <row r="100" spans="1:6" s="878" customFormat="1" ht="24">
      <c r="A100" s="882">
        <v>40</v>
      </c>
      <c r="B100" s="3347"/>
      <c r="C100" s="882" t="s">
        <v>696</v>
      </c>
      <c r="D100" s="818" t="s">
        <v>697</v>
      </c>
      <c r="E100" s="895">
        <v>0.2</v>
      </c>
      <c r="F100" s="882">
        <v>30</v>
      </c>
    </row>
    <row r="101" spans="1:6" s="878" customFormat="1" ht="36">
      <c r="A101" s="882">
        <v>41</v>
      </c>
      <c r="B101" s="334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47" t="s">
        <v>708</v>
      </c>
      <c r="C105" s="882" t="s">
        <v>709</v>
      </c>
      <c r="D105" s="818" t="s">
        <v>710</v>
      </c>
      <c r="E105" s="895">
        <v>0.2</v>
      </c>
      <c r="F105" s="882">
        <v>30</v>
      </c>
    </row>
    <row r="106" spans="1:6" s="878" customFormat="1" ht="36">
      <c r="A106" s="882">
        <v>46</v>
      </c>
      <c r="B106" s="3347"/>
      <c r="C106" s="882" t="s">
        <v>711</v>
      </c>
      <c r="D106" s="818" t="s">
        <v>712</v>
      </c>
      <c r="E106" s="895">
        <v>0.2</v>
      </c>
      <c r="F106" s="882">
        <v>30</v>
      </c>
    </row>
    <row r="107" spans="1:6" s="878" customFormat="1" ht="36">
      <c r="A107" s="882">
        <v>47</v>
      </c>
      <c r="B107" s="3347" t="s">
        <v>713</v>
      </c>
      <c r="C107" s="882" t="s">
        <v>714</v>
      </c>
      <c r="D107" s="818" t="s">
        <v>715</v>
      </c>
      <c r="E107" s="895">
        <v>0.3</v>
      </c>
      <c r="F107" s="882">
        <v>50</v>
      </c>
    </row>
    <row r="108" spans="1:6" s="878" customFormat="1" ht="36">
      <c r="A108" s="882">
        <v>48</v>
      </c>
      <c r="B108" s="334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47" t="s">
        <v>724</v>
      </c>
      <c r="C111" s="882" t="s">
        <v>725</v>
      </c>
      <c r="D111" s="818" t="s">
        <v>726</v>
      </c>
      <c r="E111" s="895">
        <v>0.2</v>
      </c>
      <c r="F111" s="882">
        <v>30</v>
      </c>
    </row>
    <row r="112" spans="1:6" s="878" customFormat="1" ht="24">
      <c r="A112" s="882">
        <v>52</v>
      </c>
      <c r="B112" s="3347"/>
      <c r="C112" s="882" t="s">
        <v>727</v>
      </c>
      <c r="D112" s="818" t="s">
        <v>728</v>
      </c>
      <c r="E112" s="895">
        <v>0.2</v>
      </c>
      <c r="F112" s="882">
        <v>30</v>
      </c>
    </row>
    <row r="113" spans="1:6" s="878" customFormat="1" ht="24">
      <c r="A113" s="882">
        <v>53</v>
      </c>
      <c r="B113" s="334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47" t="s">
        <v>737</v>
      </c>
      <c r="C116" s="882" t="s">
        <v>738</v>
      </c>
      <c r="D116" s="818" t="s">
        <v>739</v>
      </c>
      <c r="E116" s="895">
        <v>0.2</v>
      </c>
      <c r="F116" s="882">
        <v>30</v>
      </c>
    </row>
    <row r="117" spans="1:6" ht="36">
      <c r="A117" s="882">
        <v>57</v>
      </c>
      <c r="B117" s="334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3004</v>
      </c>
    </row>
    <row r="2" spans="1:5" ht="15.75">
      <c r="A2" s="2917" t="s">
        <v>2996</v>
      </c>
      <c r="B2" s="2918" t="e">
        <f ca="1">SUMIF(B6:B13,"&lt;&gt;#ref!",B6:B13)</f>
        <v>#DIV/0!</v>
      </c>
      <c r="C2" s="2917" t="s">
        <v>2997</v>
      </c>
      <c r="D2" s="2917" t="s">
        <v>2998</v>
      </c>
      <c r="E2" s="2918" t="e">
        <f ca="1">SUM(E6:E13)</f>
        <v>#REF!</v>
      </c>
    </row>
    <row r="3" spans="1:5" ht="15.75">
      <c r="A3" s="2917" t="s">
        <v>2999</v>
      </c>
      <c r="B3" s="2918" t="e">
        <f ca="1">ROUND(B2*10000/E2,0)</f>
        <v>#DIV/0!</v>
      </c>
      <c r="C3" s="2917" t="s">
        <v>3005</v>
      </c>
      <c r="D3" s="2919"/>
      <c r="E3" s="2919"/>
    </row>
    <row r="4" spans="1:5" ht="15.75">
      <c r="A4" s="2920"/>
      <c r="B4" s="2919"/>
      <c r="C4" s="2919"/>
      <c r="D4" s="2919"/>
      <c r="E4" s="2919"/>
    </row>
    <row r="5" spans="1:5" ht="28.5">
      <c r="A5" s="2921" t="s">
        <v>3000</v>
      </c>
      <c r="B5" s="2917" t="s">
        <v>3001</v>
      </c>
      <c r="C5" s="2918"/>
      <c r="D5" s="2919"/>
      <c r="E5" s="2917" t="s">
        <v>3002</v>
      </c>
    </row>
    <row r="6" spans="1:5" ht="15.75">
      <c r="A6" s="2922" t="s">
        <v>3003</v>
      </c>
      <c r="B6" s="2918" t="e">
        <f ca="1">SUMIF(INDIRECT("'"&amp;A6&amp;"'"&amp;"!A:A"),"总价",INDIRECT("'"&amp;A6&amp;"'"&amp;"!B:B"))</f>
        <v>#DIV/0!</v>
      </c>
      <c r="C6" s="2917" t="s">
        <v>2997</v>
      </c>
      <c r="D6" s="2919"/>
      <c r="E6" s="2582">
        <f ca="1">SUMIF(INDIRECT("'"&amp;A6&amp;"'"&amp;"!C:C"),"建筑面积",INDIRECT("'"&amp;A6&amp;"'"&amp;"!D:D"))</f>
        <v>0</v>
      </c>
    </row>
    <row r="7" spans="1:5" ht="15.75">
      <c r="A7" s="2922"/>
      <c r="B7" s="2918" t="e">
        <f ca="1">SUMIF(INDIRECT("'"&amp;A7&amp;"'"&amp;"!A:A"),"总价",INDIRECT("'"&amp;A7&amp;"'"&amp;"!B:B"))</f>
        <v>#REF!</v>
      </c>
      <c r="C7" s="2917" t="s">
        <v>2997</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2997</v>
      </c>
      <c r="D8" s="2919"/>
      <c r="E8" s="2582" t="e">
        <f t="shared" ca="1" si="0"/>
        <v>#REF!</v>
      </c>
    </row>
    <row r="9" spans="1:5" ht="15.75">
      <c r="A9" s="2922"/>
      <c r="B9" s="2918" t="e">
        <f t="shared" ca="1" si="1"/>
        <v>#REF!</v>
      </c>
      <c r="C9" s="2917" t="s">
        <v>2997</v>
      </c>
      <c r="D9" s="2919"/>
      <c r="E9" s="2582" t="e">
        <f t="shared" ca="1" si="0"/>
        <v>#REF!</v>
      </c>
    </row>
    <row r="10" spans="1:5" ht="15.75">
      <c r="A10" s="2922"/>
      <c r="B10" s="2918" t="e">
        <f t="shared" ca="1" si="1"/>
        <v>#REF!</v>
      </c>
      <c r="C10" s="2917" t="s">
        <v>2997</v>
      </c>
      <c r="D10" s="2919"/>
      <c r="E10" s="2582" t="e">
        <f t="shared" ca="1" si="0"/>
        <v>#REF!</v>
      </c>
    </row>
    <row r="11" spans="1:5" ht="15.75">
      <c r="A11" s="2922"/>
      <c r="B11" s="2918" t="e">
        <f t="shared" ca="1" si="1"/>
        <v>#REF!</v>
      </c>
      <c r="C11" s="2917" t="s">
        <v>2997</v>
      </c>
      <c r="D11" s="2919"/>
      <c r="E11" s="2582" t="e">
        <f t="shared" ca="1" si="0"/>
        <v>#REF!</v>
      </c>
    </row>
    <row r="12" spans="1:5" ht="15.75">
      <c r="A12" s="2922"/>
      <c r="B12" s="2918" t="e">
        <f t="shared" ca="1" si="1"/>
        <v>#REF!</v>
      </c>
      <c r="C12" s="2917" t="s">
        <v>2997</v>
      </c>
      <c r="D12" s="2919"/>
      <c r="E12" s="2582" t="e">
        <f t="shared" ca="1" si="0"/>
        <v>#REF!</v>
      </c>
    </row>
    <row r="13" spans="1:5" ht="15.75">
      <c r="A13" s="2922"/>
      <c r="B13" s="2918" t="e">
        <f t="shared" ca="1" si="1"/>
        <v>#REF!</v>
      </c>
      <c r="C13" s="2917" t="s">
        <v>2997</v>
      </c>
      <c r="D13" s="2919"/>
      <c r="E13" s="2582"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53" t="s">
        <v>1150</v>
      </c>
      <c r="C1" s="3353"/>
      <c r="D1" s="3353"/>
      <c r="E1" s="3353"/>
      <c r="F1" s="3353"/>
      <c r="G1" s="3349" t="s">
        <v>1151</v>
      </c>
      <c r="H1" s="3349"/>
      <c r="I1" s="3349"/>
      <c r="J1" s="3349"/>
      <c r="K1" s="3349"/>
      <c r="L1" s="3349"/>
      <c r="N1" s="3349" t="s">
        <v>1152</v>
      </c>
      <c r="O1" s="3349"/>
      <c r="P1" s="3349"/>
      <c r="Q1" s="3349"/>
      <c r="R1" s="1449"/>
      <c r="S1" s="3349" t="s">
        <v>1153</v>
      </c>
      <c r="T1" s="3349"/>
      <c r="U1" s="3349"/>
      <c r="V1" s="3349"/>
      <c r="X1" s="3348" t="s">
        <v>1154</v>
      </c>
      <c r="Y1" s="3349"/>
      <c r="Z1" s="3349"/>
      <c r="AA1" s="3349"/>
      <c r="AB1" s="3349"/>
      <c r="AD1" s="3348" t="s">
        <v>1155</v>
      </c>
      <c r="AE1" s="3349"/>
      <c r="AF1" s="3349"/>
      <c r="AG1" s="3349"/>
      <c r="AH1" s="334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3039</v>
      </c>
      <c r="B3" s="2937"/>
      <c r="C3" s="2937"/>
      <c r="D3" s="2938"/>
      <c r="E3" s="2938"/>
      <c r="F3" s="2937"/>
      <c r="G3" s="2939"/>
      <c r="H3" s="2940"/>
      <c r="I3" s="2941">
        <f>ROUND(AVERAGE($I7:$I22),2)</f>
        <v>2.4500000000000002</v>
      </c>
      <c r="J3" s="2941">
        <f>ROUND(AVERAGE($J7:$J22),2)</f>
        <v>1.65</v>
      </c>
      <c r="K3" s="2941">
        <f>ROUND(AVERAGE($K7:$K22),2)</f>
        <v>2.71</v>
      </c>
      <c r="L3" s="2941">
        <f>ROUND(AVERAGE($L7:$L22),2)</f>
        <v>1.39</v>
      </c>
      <c r="N3" s="2939"/>
      <c r="O3" s="2942"/>
      <c r="P3" s="2942"/>
      <c r="Q3" s="2942"/>
      <c r="R3" s="2942"/>
      <c r="S3" s="2939"/>
      <c r="T3" s="2942"/>
      <c r="U3" s="2942"/>
      <c r="V3" s="2942"/>
      <c r="W3" s="2934"/>
      <c r="X3" s="2943">
        <f>ROUND(SUMPRODUCT(PRODUCT(1+N3:N$21)),4)</f>
        <v>1.4517</v>
      </c>
      <c r="Y3" s="2943">
        <f>ROUND(SUMPRODUCT(PRODUCT(1+O3:O$21)),4)</f>
        <v>1.2928999999999999</v>
      </c>
      <c r="Z3" s="2943">
        <f t="shared" ref="Z3:Z19" si="0">Y3</f>
        <v>1.2928999999999999</v>
      </c>
      <c r="AA3" s="2943">
        <f>ROUND(SUMPRODUCT(PRODUCT(1+P3:P$21)),4)</f>
        <v>1.5068999999999999</v>
      </c>
      <c r="AB3" s="2943">
        <f>ROUND(SUMPRODUCT(PRODUCT(1+Q3:Q$21)),4)</f>
        <v>1.2557</v>
      </c>
      <c r="AD3" s="2944">
        <f>ROUND(AVERAGE(I3:I$22)/100,4)</f>
        <v>2.2800000000000001E-2</v>
      </c>
      <c r="AE3" s="2944">
        <f>ROUND(AVERAGE(J3:J$22)/100,4)</f>
        <v>1.5699999999999999E-2</v>
      </c>
      <c r="AF3" s="2944">
        <f t="shared" ref="AF3:AF20" si="1">AE3</f>
        <v>1.5699999999999999E-2</v>
      </c>
      <c r="AG3" s="2944">
        <f>ROUND(AVERAGE(K3:K$22)/100,4)</f>
        <v>2.5100000000000001E-2</v>
      </c>
      <c r="AH3" s="2944">
        <f>ROUND(AVERAGE(L3:L$22)/100,4)</f>
        <v>1.35E-2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6">
        <v>2018</v>
      </c>
      <c r="H5" s="1733">
        <v>2</v>
      </c>
      <c r="I5" s="2931">
        <v>0</v>
      </c>
      <c r="J5" s="2931">
        <v>0</v>
      </c>
      <c r="K5" s="2931">
        <v>0</v>
      </c>
      <c r="L5" s="2931">
        <v>0</v>
      </c>
      <c r="N5" s="1470">
        <f t="shared" ref="N5" si="7">I5/100</f>
        <v>0</v>
      </c>
      <c r="O5" s="1470">
        <f t="shared" ref="O5" si="8">J5/100</f>
        <v>0</v>
      </c>
      <c r="P5" s="1470">
        <f t="shared" ref="P5" si="9">K5/100</f>
        <v>0</v>
      </c>
      <c r="Q5" s="1470">
        <f t="shared" ref="Q5" si="10">L5/100</f>
        <v>0</v>
      </c>
      <c r="R5" s="1735"/>
      <c r="S5" s="1736"/>
      <c r="T5" s="1735"/>
      <c r="U5" s="1735"/>
      <c r="V5" s="1735"/>
      <c r="W5" s="2935" t="s">
        <v>3040</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3038</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7">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3035</v>
      </c>
      <c r="B7" s="1472">
        <v>439</v>
      </c>
      <c r="C7" s="1472">
        <v>327</v>
      </c>
      <c r="D7" s="1472">
        <f>C7</f>
        <v>327</v>
      </c>
      <c r="E7" s="1472">
        <v>627</v>
      </c>
      <c r="F7" s="1473">
        <v>283</v>
      </c>
      <c r="G7" s="2933">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3036</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9"/>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8"/>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9"/>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54">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351"/>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351"/>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352"/>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350">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351"/>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351"/>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352"/>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350">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351"/>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351"/>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352"/>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355">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356"/>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356"/>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357"/>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350">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351"/>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351"/>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352"/>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350">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351">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351">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352">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350">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351">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351">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352">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350">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351">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351">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352">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350">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351">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351">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352">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350">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351">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351">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352">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350">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351">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351">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352">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350">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351">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351">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352">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350">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351">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351">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352">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350">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351">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351">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352">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350">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351">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351">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352">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30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6"/>
      <c r="C2" s="3046"/>
      <c r="D2" s="3046"/>
      <c r="E2" s="3046"/>
    </row>
    <row r="3" spans="1:5" ht="18">
      <c r="A3" s="3047" t="str">
        <f>IF(项目基本情况!B9="房地产市场价值","估价结果一览表（市场价值不需“结果表-1”）","估价结果一览表")</f>
        <v>估价结果一览表</v>
      </c>
      <c r="B3" s="3047"/>
      <c r="C3" s="3047"/>
      <c r="D3" s="3047"/>
      <c r="E3" s="3047"/>
    </row>
    <row r="4" spans="1:5" ht="19.5" thickBot="1">
      <c r="A4" s="1964"/>
      <c r="B4" s="3045" t="s">
        <v>1629</v>
      </c>
      <c r="C4" s="3045"/>
      <c r="D4" s="3045"/>
      <c r="E4" s="1964"/>
    </row>
    <row r="5" spans="1:5" ht="16.5" thickTop="1">
      <c r="A5" s="1962"/>
      <c r="B5" s="3043" t="s">
        <v>1621</v>
      </c>
      <c r="C5" s="1965" t="s">
        <v>1622</v>
      </c>
      <c r="D5" s="1043">
        <f ca="1">结果表!H101</f>
        <v>252494</v>
      </c>
      <c r="E5" s="1962"/>
    </row>
    <row r="6" spans="1:5" ht="15.75">
      <c r="A6" s="1962"/>
      <c r="B6" s="3043"/>
      <c r="C6" s="1965" t="s">
        <v>1623</v>
      </c>
      <c r="D6" s="1043" t="str">
        <f ca="1">NUMBERSTRING(INT(D5*10000),2)&amp;"元整"</f>
        <v>贰拾伍亿贰仟肆佰玖拾肆万元整</v>
      </c>
      <c r="E6" s="1962"/>
    </row>
    <row r="7" spans="1:5" ht="15.75">
      <c r="A7" s="1962"/>
      <c r="B7" s="3048"/>
      <c r="C7" s="1966" t="s">
        <v>1624</v>
      </c>
      <c r="D7" s="1044">
        <f ca="1">结果表!H102</f>
        <v>21048</v>
      </c>
      <c r="E7" s="1962"/>
    </row>
    <row r="8" spans="1:5" ht="15.75">
      <c r="A8" s="1962"/>
      <c r="B8" s="3049" t="str">
        <f>结果表!E103</f>
        <v>2.估价师知悉的法定优先受偿款</v>
      </c>
      <c r="C8" s="1967" t="s">
        <v>1625</v>
      </c>
      <c r="D8" s="1044">
        <f>结果表!H103</f>
        <v>65000</v>
      </c>
      <c r="E8" s="1962"/>
    </row>
    <row r="9" spans="1:5" ht="15.75">
      <c r="A9" s="1962"/>
      <c r="B9" s="3051"/>
      <c r="C9" s="1965" t="s">
        <v>1623</v>
      </c>
      <c r="D9" s="1043" t="str">
        <f>NUMBERSTRING(INT(D8*10000),2)&amp;"元整"</f>
        <v>陆亿伍仟万元整</v>
      </c>
      <c r="E9" s="1962"/>
    </row>
    <row r="10" spans="1:5" ht="15">
      <c r="A10" s="1962"/>
      <c r="B10" s="1968" t="s">
        <v>1628</v>
      </c>
      <c r="C10" s="1969" t="s">
        <v>1626</v>
      </c>
      <c r="D10" s="1045">
        <f>结果表!H104</f>
        <v>65000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3042" t="str">
        <f>结果表!E107</f>
        <v>3.房地产抵押价值</v>
      </c>
      <c r="C13" s="1970" t="s">
        <v>1622</v>
      </c>
      <c r="D13" s="1046">
        <f ca="1">结果表!H107</f>
        <v>187494</v>
      </c>
      <c r="E13" s="1962"/>
    </row>
    <row r="14" spans="1:5" ht="15.75">
      <c r="A14" s="1962"/>
      <c r="B14" s="3043"/>
      <c r="C14" s="1965" t="s">
        <v>1623</v>
      </c>
      <c r="D14" s="1043" t="str">
        <f ca="1">NUMBERSTRING(INT(D13*10000),2)&amp;"元整"</f>
        <v>壹拾捌亿柒仟肆佰玖拾肆万元整</v>
      </c>
      <c r="E14" s="1962"/>
    </row>
    <row r="15" spans="1:5" ht="15">
      <c r="A15" s="1962"/>
      <c r="B15" s="3048"/>
      <c r="C15" s="1966" t="s">
        <v>1633</v>
      </c>
      <c r="D15" s="1055">
        <f ca="1">结果表!H108</f>
        <v>15629</v>
      </c>
      <c r="E15" s="1962"/>
    </row>
    <row r="16" spans="1:5" ht="15">
      <c r="A16" s="1962"/>
      <c r="B16" s="3049" t="str">
        <f>结果表!E109</f>
        <v>4.抵押担保权已注销时的房地产抵押价值</v>
      </c>
      <c r="C16" s="1970" t="s">
        <v>1634</v>
      </c>
      <c r="D16" s="1971">
        <f ca="1">结果表!H109</f>
        <v>252494</v>
      </c>
      <c r="E16" s="1962"/>
    </row>
    <row r="17" spans="1:5" ht="15.75">
      <c r="A17" s="1962"/>
      <c r="B17" s="3050"/>
      <c r="C17" s="1965" t="s">
        <v>1635</v>
      </c>
      <c r="D17" s="1043" t="str">
        <f ca="1">NUMBERSTRING(INT(D16*10000),2)&amp;"元整"</f>
        <v>贰拾伍亿贰仟肆佰玖拾肆万元整</v>
      </c>
      <c r="E17" s="1962"/>
    </row>
    <row r="18" spans="1:5" ht="15">
      <c r="A18" s="1962"/>
      <c r="B18" s="3051"/>
      <c r="C18" s="1966" t="s">
        <v>1624</v>
      </c>
      <c r="D18" s="1055">
        <f ca="1">结果表!H110</f>
        <v>21048</v>
      </c>
      <c r="E18" s="1962"/>
    </row>
    <row r="19" spans="1:5" ht="15.75">
      <c r="A19" s="1962"/>
      <c r="B19" s="3042" t="str">
        <f>结果表!E111</f>
        <v>——</v>
      </c>
      <c r="C19" s="1970" t="s">
        <v>1622</v>
      </c>
      <c r="D19" s="1044" t="str">
        <f>结果表!H111</f>
        <v>——</v>
      </c>
      <c r="E19" s="1962"/>
    </row>
    <row r="20" spans="1:5" ht="15.75">
      <c r="A20" s="1962"/>
      <c r="B20" s="3043"/>
      <c r="C20" s="1965" t="s">
        <v>1635</v>
      </c>
      <c r="D20" s="1043" t="e">
        <f>NUMBERSTRING(INT(D19*10000),2)&amp;"元整"</f>
        <v>#VALUE!</v>
      </c>
      <c r="E20" s="1962"/>
    </row>
    <row r="21" spans="1:5" ht="15.75" thickBot="1">
      <c r="A21" s="1962"/>
      <c r="B21" s="3044"/>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359" t="s">
        <v>3007</v>
      </c>
      <c r="D1" s="3360"/>
      <c r="E1" s="3360"/>
      <c r="F1" s="3360"/>
      <c r="G1" s="3360"/>
      <c r="H1" s="3360"/>
      <c r="I1" s="3360"/>
      <c r="J1" s="3360"/>
      <c r="K1" s="3360"/>
      <c r="L1" s="3360"/>
      <c r="M1" s="3360"/>
      <c r="N1" s="3360"/>
      <c r="O1" s="3360"/>
      <c r="P1" s="3360"/>
      <c r="Q1" s="3360"/>
      <c r="R1" s="3360"/>
      <c r="S1" s="3361"/>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3016</v>
      </c>
      <c r="B17" s="2924"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26" t="s">
        <v>3020</v>
      </c>
      <c r="E20" s="1796"/>
      <c r="F20" s="1207" t="e">
        <f ca="1">SUMIF(INDIRECT("'"&amp;H20&amp;"'"&amp;"!A:A"),"承租人权益价值",INDIRECT("'"&amp;H20&amp;"'"&amp;"!c:c"))</f>
        <v>#REF!</v>
      </c>
      <c r="G20" s="1207" t="s">
        <v>3021</v>
      </c>
      <c r="H20" s="2927"/>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42" t="s">
        <v>33</v>
      </c>
      <c r="D22" s="3143"/>
      <c r="E22" s="3143"/>
      <c r="F22" s="3143"/>
      <c r="G22" s="3143"/>
      <c r="H22" s="3143"/>
      <c r="I22" s="3143"/>
      <c r="J22" s="3143"/>
      <c r="K22" s="3143"/>
      <c r="L22" s="3143"/>
      <c r="M22" s="3143"/>
      <c r="N22" s="3143"/>
      <c r="O22" s="3143"/>
      <c r="P22" s="3143"/>
      <c r="Q22" s="3358"/>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89849</v>
      </c>
      <c r="C2" s="2" t="s">
        <v>133</v>
      </c>
      <c r="D2" s="243"/>
      <c r="E2" s="243"/>
      <c r="F2" s="243"/>
      <c r="G2" s="243"/>
    </row>
    <row r="3" spans="1:7" s="244" customFormat="1" ht="18" customHeight="1" thickBot="1">
      <c r="A3" s="247" t="s">
        <v>85</v>
      </c>
      <c r="B3" s="248">
        <f ca="1">ROUND(B2*10000/'数据-汇总表'!E3,0)</f>
        <v>7490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2399</v>
      </c>
      <c r="D10" s="1035">
        <f>'数据-汇总表'!E6</f>
        <v>119963.53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2399</v>
      </c>
      <c r="D19" s="1039">
        <f>'数据-汇总表'!E3</f>
        <v>119963.53</v>
      </c>
      <c r="E19" s="255">
        <f>'数据-取费表'!B31</f>
        <v>200</v>
      </c>
      <c r="F19" s="275"/>
      <c r="G19" s="1" t="s">
        <v>1074</v>
      </c>
    </row>
    <row r="20" spans="1:7" s="258" customFormat="1" ht="13.5" customHeight="1">
      <c r="A20" s="951" t="s">
        <v>1057</v>
      </c>
      <c r="B20" s="254" t="s">
        <v>104</v>
      </c>
      <c r="C20" s="276">
        <f>ROUND((C5+C19)*F20,0)</f>
        <v>460</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2259</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233</v>
      </c>
      <c r="D24" s="282"/>
      <c r="E24" s="282"/>
      <c r="F24" s="283"/>
      <c r="G24" s="284" t="s">
        <v>109</v>
      </c>
    </row>
    <row r="25" spans="1:7" s="258" customFormat="1" ht="24">
      <c r="A25" s="954" t="s">
        <v>793</v>
      </c>
      <c r="B25" s="259" t="s">
        <v>1058</v>
      </c>
      <c r="C25" s="1358">
        <f ca="1">ROUND(IF('数据-取费表'!B22&lt;=1,C20*F22*'数据-取费表'!B23/2,C20*(POWER((1+F22),'数据-取费表'!B23/2)-1)),0)</f>
        <v>22</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4694</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4694</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32974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42515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38388</v>
      </c>
      <c r="D34" s="261"/>
      <c r="E34" s="264"/>
      <c r="F34" s="301">
        <f>IF('数据-取费表'!B24=0,1,'数据-取费表'!N16)</f>
        <v>1</v>
      </c>
      <c r="G34" s="263" t="s">
        <v>116</v>
      </c>
    </row>
    <row r="35" spans="1:7" ht="13.5" customHeight="1">
      <c r="A35" s="954" t="s">
        <v>796</v>
      </c>
      <c r="B35" s="259" t="s">
        <v>60</v>
      </c>
      <c r="C35" s="264">
        <f>ROUND(C34*F35,0)</f>
        <v>1152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2399</v>
      </c>
      <c r="D37" s="261">
        <f>'数据-汇总表'!E3</f>
        <v>119963.53</v>
      </c>
      <c r="E37" s="293">
        <f>'数据-取费表'!B35</f>
        <v>200</v>
      </c>
      <c r="F37" s="303"/>
      <c r="G37" s="305" t="s">
        <v>119</v>
      </c>
    </row>
    <row r="38" spans="1:7" ht="13.5" customHeight="1">
      <c r="A38" s="954" t="s">
        <v>799</v>
      </c>
      <c r="B38" s="259" t="s">
        <v>63</v>
      </c>
      <c r="C38" s="264">
        <f>ROUND(C34*F38,0)</f>
        <v>576</v>
      </c>
      <c r="D38" s="264"/>
      <c r="E38" s="264"/>
      <c r="F38" s="303">
        <f>'数据-取费表'!B36</f>
        <v>1.4999999999999999E-2</v>
      </c>
      <c r="G38" s="263" t="s">
        <v>117</v>
      </c>
    </row>
    <row r="39" spans="1:7" s="258" customFormat="1" ht="13.5" customHeight="1">
      <c r="A39" s="951" t="s">
        <v>783</v>
      </c>
      <c r="B39" s="254" t="s">
        <v>104</v>
      </c>
      <c r="C39" s="276">
        <f>ROUND(C33*F20,0)</f>
        <v>850</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2059</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2019</v>
      </c>
      <c r="D42" s="282"/>
      <c r="E42" s="282"/>
      <c r="F42" s="283"/>
      <c r="G42" s="3227" t="s">
        <v>121</v>
      </c>
    </row>
    <row r="43" spans="1:7" ht="13.5" customHeight="1">
      <c r="A43" s="954" t="s">
        <v>792</v>
      </c>
      <c r="B43" s="259" t="s">
        <v>1064</v>
      </c>
      <c r="C43" s="282">
        <f ca="1">ROUND(IF('数据-取费表'!B22&lt;=1,C39*F22*'数据-取费表'!B21/2,C39*(POWER((1+F22),'数据-取费表'!B21/2)-1)),0)</f>
        <v>40</v>
      </c>
      <c r="D43" s="282"/>
      <c r="E43" s="282"/>
      <c r="F43" s="283"/>
      <c r="G43" s="3228"/>
    </row>
    <row r="44" spans="1:7" ht="13.5" customHeight="1">
      <c r="A44" s="954" t="s">
        <v>793</v>
      </c>
      <c r="B44" s="259" t="s">
        <v>1066</v>
      </c>
      <c r="C44" s="282">
        <f ca="1">ROUND(IF('数据-取费表'!B22&lt;=1,C40*F22*'数据-取费表'!B21/2,C40*(POWER((1+F22),'数据-取费表'!B21/2)-1)),4)</f>
        <v>1E-3</v>
      </c>
      <c r="D44" s="282"/>
      <c r="E44" s="282"/>
      <c r="F44" s="283"/>
      <c r="G44" s="3229"/>
    </row>
    <row r="45" spans="1:7" s="258" customFormat="1" ht="13.5" customHeight="1">
      <c r="A45" s="951" t="s">
        <v>786</v>
      </c>
      <c r="B45" s="288" t="s">
        <v>112</v>
      </c>
      <c r="C45" s="289">
        <f>C46</f>
        <v>8673</v>
      </c>
      <c r="D45" s="279">
        <f>C47</f>
        <v>4.0000000000000001E-3</v>
      </c>
      <c r="E45" s="280" t="s">
        <v>129</v>
      </c>
      <c r="F45" s="290"/>
      <c r="G45" s="291" t="s">
        <v>1072</v>
      </c>
    </row>
    <row r="46" spans="1:7" s="258" customFormat="1" ht="13.5" customHeight="1">
      <c r="A46" s="954" t="s">
        <v>794</v>
      </c>
      <c r="B46" s="292" t="s">
        <v>1065</v>
      </c>
      <c r="C46" s="293">
        <f>ROUND((C33+C39)*F27,0)</f>
        <v>8673</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58634</v>
      </c>
      <c r="D49" s="276"/>
      <c r="E49" s="276"/>
      <c r="F49" s="308"/>
      <c r="G49" s="278" t="s">
        <v>1073</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56875</v>
      </c>
      <c r="D51" s="276"/>
      <c r="E51" s="276"/>
      <c r="F51" s="308"/>
      <c r="G51" s="278" t="s">
        <v>64</v>
      </c>
    </row>
    <row r="52" spans="1:7" s="252" customFormat="1" ht="16.5" thickBot="1">
      <c r="A52" s="309" t="s">
        <v>65</v>
      </c>
      <c r="B52" s="310"/>
      <c r="C52" s="311">
        <f ca="1">C31+C51</f>
        <v>89849</v>
      </c>
      <c r="D52" s="310"/>
      <c r="E52" s="310"/>
      <c r="F52" s="310"/>
      <c r="G52" s="312"/>
    </row>
    <row r="55" spans="1:7" ht="15">
      <c r="B55" s="314" t="s">
        <v>66</v>
      </c>
      <c r="C55" s="315"/>
    </row>
    <row r="56" spans="1:7">
      <c r="B56" s="317" t="s">
        <v>67</v>
      </c>
      <c r="C56" s="318">
        <f ca="1">ROUND(C51/C52,3)</f>
        <v>0.63300000000000001</v>
      </c>
    </row>
    <row r="57" spans="1:7">
      <c r="B57" s="317" t="s">
        <v>68</v>
      </c>
      <c r="C57" s="319">
        <f ca="1">1-C56</f>
        <v>0.36699999999999999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62" t="s">
        <v>156</v>
      </c>
      <c r="B1" s="3362"/>
      <c r="C1" s="3362"/>
      <c r="D1" s="3362"/>
      <c r="E1" s="3362"/>
      <c r="F1" s="336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63" t="s">
        <v>169</v>
      </c>
      <c r="B2" s="3363"/>
      <c r="C2" s="3363"/>
      <c r="D2" s="3363"/>
      <c r="E2" s="3363"/>
      <c r="F2" s="336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6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6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62" t="s">
        <v>871</v>
      </c>
      <c r="B1" s="336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43235</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M16"/>
  <sheetViews>
    <sheetView workbookViewId="0">
      <selection activeCell="Q35" sqref="Q35"/>
    </sheetView>
  </sheetViews>
  <sheetFormatPr defaultRowHeight="13.5"/>
  <cols>
    <col min="1" max="1" width="29.25" customWidth="1"/>
    <col min="2" max="2" width="0" hidden="1" customWidth="1"/>
    <col min="8" max="8" width="12" customWidth="1"/>
    <col min="9" max="9" width="9.375" customWidth="1"/>
    <col min="11" max="11" width="11.625" customWidth="1"/>
  </cols>
  <sheetData>
    <row r="1" spans="1:13" s="1638" customFormat="1">
      <c r="A1" s="1638" t="s">
        <v>3459</v>
      </c>
      <c r="B1" s="1638" t="s">
        <v>3460</v>
      </c>
      <c r="C1" s="1638" t="s">
        <v>3461</v>
      </c>
      <c r="D1" s="1638" t="s">
        <v>3462</v>
      </c>
      <c r="E1" s="1638" t="s">
        <v>3463</v>
      </c>
      <c r="F1" s="1638" t="s">
        <v>3464</v>
      </c>
      <c r="G1" s="1638" t="s">
        <v>3465</v>
      </c>
      <c r="H1" s="1638" t="s">
        <v>3466</v>
      </c>
      <c r="I1" s="1638" t="s">
        <v>3467</v>
      </c>
      <c r="J1" s="1638" t="s">
        <v>3468</v>
      </c>
      <c r="K1" s="1638" t="s">
        <v>3469</v>
      </c>
      <c r="L1" s="1638" t="s">
        <v>3470</v>
      </c>
      <c r="M1" s="1638" t="s">
        <v>3471</v>
      </c>
    </row>
    <row r="2" spans="1:13" s="1638" customFormat="1">
      <c r="A2" s="1638" t="s">
        <v>3472</v>
      </c>
      <c r="B2" s="1638" t="s">
        <v>3052</v>
      </c>
      <c r="C2" s="1638" t="s">
        <v>3473</v>
      </c>
      <c r="D2" s="1638">
        <v>120885</v>
      </c>
      <c r="E2" s="1638">
        <v>256512</v>
      </c>
      <c r="F2" s="1638" t="s">
        <v>1331</v>
      </c>
      <c r="G2" s="1638" t="s">
        <v>3474</v>
      </c>
      <c r="H2" s="1638" t="s">
        <v>3475</v>
      </c>
      <c r="I2" s="1638">
        <v>250000</v>
      </c>
      <c r="J2" s="1638">
        <v>250000</v>
      </c>
      <c r="K2" s="1638">
        <v>9746.1200000000008</v>
      </c>
      <c r="L2" s="1638">
        <v>0</v>
      </c>
      <c r="M2" s="1638" t="s">
        <v>3476</v>
      </c>
    </row>
    <row r="3" spans="1:13" s="2962" customFormat="1">
      <c r="A3" s="3028" t="s">
        <v>3567</v>
      </c>
      <c r="B3" s="2962" t="s">
        <v>3052</v>
      </c>
      <c r="C3" s="2962" t="s">
        <v>3473</v>
      </c>
      <c r="D3" s="2962">
        <v>85709</v>
      </c>
      <c r="E3" s="2962">
        <v>179122</v>
      </c>
      <c r="F3" s="2962">
        <v>2.09</v>
      </c>
      <c r="G3" s="2962" t="s">
        <v>3474</v>
      </c>
      <c r="H3" s="2962" t="s">
        <v>3477</v>
      </c>
      <c r="I3" s="2962">
        <v>126000</v>
      </c>
      <c r="J3" s="2962">
        <v>378000</v>
      </c>
      <c r="K3" s="2962">
        <v>21102.93</v>
      </c>
      <c r="L3" s="2962">
        <v>200</v>
      </c>
      <c r="M3" s="2962" t="s">
        <v>3478</v>
      </c>
    </row>
    <row r="4" spans="1:13" s="2962" customFormat="1">
      <c r="A4" s="3028" t="s">
        <v>3568</v>
      </c>
      <c r="B4" s="2962" t="s">
        <v>3052</v>
      </c>
      <c r="C4" s="2962" t="s">
        <v>3473</v>
      </c>
      <c r="D4" s="2962">
        <v>10384</v>
      </c>
      <c r="E4" s="2962">
        <v>25960</v>
      </c>
      <c r="F4" s="2962">
        <v>2.5</v>
      </c>
      <c r="G4" s="2962" t="s">
        <v>3474</v>
      </c>
      <c r="H4" s="2962" t="s">
        <v>3477</v>
      </c>
      <c r="I4" s="2962">
        <v>51300</v>
      </c>
      <c r="J4" s="2962">
        <v>51300</v>
      </c>
      <c r="K4" s="2962">
        <v>19761.16</v>
      </c>
      <c r="L4" s="2962">
        <v>0</v>
      </c>
      <c r="M4" s="2962" t="s">
        <v>3479</v>
      </c>
    </row>
    <row r="5" spans="1:13" s="2962" customFormat="1">
      <c r="A5" s="3028" t="s">
        <v>3569</v>
      </c>
      <c r="B5" s="2962" t="s">
        <v>3052</v>
      </c>
      <c r="C5" s="2962" t="s">
        <v>3473</v>
      </c>
      <c r="D5" s="2962">
        <v>8466</v>
      </c>
      <c r="E5" s="2962">
        <v>21165</v>
      </c>
      <c r="F5" s="2962">
        <v>2.5</v>
      </c>
      <c r="G5" s="2962" t="s">
        <v>3474</v>
      </c>
      <c r="H5" s="2962" t="s">
        <v>3480</v>
      </c>
      <c r="I5" s="2962">
        <v>40600</v>
      </c>
      <c r="J5" s="2962">
        <v>42000</v>
      </c>
      <c r="K5" s="2962">
        <v>19844.080000000002</v>
      </c>
      <c r="L5" s="2962">
        <v>3.45</v>
      </c>
      <c r="M5" s="2962" t="s">
        <v>3481</v>
      </c>
    </row>
    <row r="6" spans="1:13" s="1638" customFormat="1">
      <c r="A6" s="1638" t="s">
        <v>3482</v>
      </c>
      <c r="B6" s="1638" t="s">
        <v>3052</v>
      </c>
      <c r="C6" s="1638" t="s">
        <v>3473</v>
      </c>
      <c r="D6" s="1638">
        <v>33776</v>
      </c>
      <c r="E6" s="1638">
        <v>94573</v>
      </c>
      <c r="F6" s="1638">
        <v>2.8</v>
      </c>
      <c r="G6" s="1638" t="s">
        <v>3474</v>
      </c>
      <c r="H6" s="1638" t="s">
        <v>3483</v>
      </c>
      <c r="I6" s="1638">
        <v>33500</v>
      </c>
      <c r="J6" s="1638">
        <v>99500</v>
      </c>
      <c r="K6" s="1638">
        <v>10520.96</v>
      </c>
      <c r="L6" s="1638">
        <v>197.01</v>
      </c>
      <c r="M6" s="1638" t="s">
        <v>3484</v>
      </c>
    </row>
    <row r="7" spans="1:13" s="1638" customFormat="1">
      <c r="A7" s="1638" t="s">
        <v>3485</v>
      </c>
      <c r="B7" s="1638" t="s">
        <v>3052</v>
      </c>
      <c r="C7" s="1638" t="s">
        <v>3473</v>
      </c>
      <c r="D7" s="1638">
        <v>15192</v>
      </c>
      <c r="E7" s="1638">
        <v>42538</v>
      </c>
      <c r="F7" s="1638">
        <v>2.8</v>
      </c>
      <c r="G7" s="1638" t="s">
        <v>3474</v>
      </c>
      <c r="H7" s="1638" t="s">
        <v>3483</v>
      </c>
      <c r="I7" s="1638">
        <v>15000</v>
      </c>
      <c r="J7" s="1638">
        <v>46500</v>
      </c>
      <c r="K7" s="1638">
        <v>10931.39</v>
      </c>
      <c r="L7" s="1638">
        <v>210</v>
      </c>
      <c r="M7" s="1638" t="s">
        <v>3484</v>
      </c>
    </row>
    <row r="8" spans="1:13" s="1638" customFormat="1">
      <c r="A8" s="1638" t="s">
        <v>3486</v>
      </c>
      <c r="B8" s="1638" t="s">
        <v>3052</v>
      </c>
      <c r="C8" s="1638" t="s">
        <v>3473</v>
      </c>
      <c r="D8" s="1638">
        <v>63879</v>
      </c>
      <c r="E8" s="1638">
        <v>185533</v>
      </c>
      <c r="F8" s="1638">
        <v>2.9</v>
      </c>
      <c r="G8" s="1638" t="s">
        <v>3474</v>
      </c>
      <c r="H8" s="1638" t="s">
        <v>3483</v>
      </c>
      <c r="I8" s="1638">
        <v>65000</v>
      </c>
      <c r="J8" s="1638">
        <v>115500</v>
      </c>
      <c r="K8" s="1638">
        <v>6225.31</v>
      </c>
      <c r="L8" s="1638">
        <v>77.69</v>
      </c>
      <c r="M8" s="1638" t="s">
        <v>3484</v>
      </c>
    </row>
    <row r="9" spans="1:13" s="1638" customFormat="1">
      <c r="A9" s="1638" t="s">
        <v>3487</v>
      </c>
      <c r="B9" s="1638" t="s">
        <v>3052</v>
      </c>
      <c r="C9" s="1638" t="s">
        <v>3473</v>
      </c>
      <c r="D9" s="1638">
        <v>64413</v>
      </c>
      <c r="E9" s="1638">
        <v>135267</v>
      </c>
      <c r="F9" s="1638">
        <v>2.1</v>
      </c>
      <c r="G9" s="1638" t="s">
        <v>3474</v>
      </c>
      <c r="H9" s="1638" t="s">
        <v>3488</v>
      </c>
      <c r="I9" s="1638">
        <v>20300</v>
      </c>
      <c r="J9" s="1638">
        <v>40000</v>
      </c>
      <c r="K9" s="1638">
        <v>2957.11</v>
      </c>
      <c r="L9" s="1638">
        <v>97.04</v>
      </c>
      <c r="M9" s="1638" t="s">
        <v>3489</v>
      </c>
    </row>
    <row r="10" spans="1:13" s="1638" customFormat="1">
      <c r="A10" s="1638" t="s">
        <v>3490</v>
      </c>
      <c r="B10" s="1638" t="s">
        <v>3052</v>
      </c>
      <c r="C10" s="1638" t="s">
        <v>3473</v>
      </c>
      <c r="D10" s="1638">
        <v>46605</v>
      </c>
      <c r="E10" s="1638">
        <v>163118</v>
      </c>
      <c r="F10" s="1638">
        <v>3.5</v>
      </c>
      <c r="G10" s="1638" t="s">
        <v>3474</v>
      </c>
      <c r="H10" s="1638" t="s">
        <v>3491</v>
      </c>
      <c r="I10" s="1638">
        <v>78300</v>
      </c>
      <c r="J10" s="1638">
        <v>246000</v>
      </c>
      <c r="K10" s="1638">
        <v>15081.11</v>
      </c>
      <c r="L10" s="1638">
        <v>214.18</v>
      </c>
      <c r="M10" s="1638" t="s">
        <v>3492</v>
      </c>
    </row>
    <row r="11" spans="1:13" s="1638" customFormat="1">
      <c r="A11" s="1638" t="s">
        <v>3493</v>
      </c>
      <c r="B11" s="1638" t="s">
        <v>3052</v>
      </c>
      <c r="C11" s="1638" t="s">
        <v>3473</v>
      </c>
      <c r="D11" s="1638">
        <v>21431</v>
      </c>
      <c r="E11" s="1638">
        <v>25717</v>
      </c>
      <c r="F11" s="1638">
        <v>1.2</v>
      </c>
      <c r="G11" s="1638" t="s">
        <v>3474</v>
      </c>
      <c r="H11" s="1638" t="s">
        <v>3491</v>
      </c>
      <c r="I11" s="1638">
        <v>10300</v>
      </c>
      <c r="J11" s="1638">
        <v>10400</v>
      </c>
      <c r="K11" s="1638">
        <v>4044.01</v>
      </c>
      <c r="L11" s="1638">
        <v>0.97</v>
      </c>
      <c r="M11" s="1638" t="s">
        <v>3494</v>
      </c>
    </row>
    <row r="12" spans="1:13" s="1638" customFormat="1">
      <c r="A12" s="1638" t="s">
        <v>3495</v>
      </c>
      <c r="B12" s="1638" t="s">
        <v>3052</v>
      </c>
      <c r="C12" s="1638" t="s">
        <v>3473</v>
      </c>
      <c r="D12" s="1638">
        <v>63949</v>
      </c>
      <c r="E12" s="1638">
        <v>156384</v>
      </c>
      <c r="F12" s="1638">
        <v>2.4500000000000002</v>
      </c>
      <c r="G12" s="1638" t="s">
        <v>3474</v>
      </c>
      <c r="H12" s="1638" t="s">
        <v>3496</v>
      </c>
      <c r="I12" s="1638">
        <v>89000</v>
      </c>
      <c r="J12" s="1638">
        <v>90000</v>
      </c>
      <c r="K12" s="1638">
        <v>5755.06</v>
      </c>
      <c r="L12" s="1638">
        <v>1.1200000000000001</v>
      </c>
      <c r="M12" s="1638" t="s">
        <v>3497</v>
      </c>
    </row>
    <row r="13" spans="1:13" s="1638" customFormat="1">
      <c r="A13" s="1638" t="s">
        <v>3498</v>
      </c>
      <c r="B13" s="1638" t="s">
        <v>3052</v>
      </c>
      <c r="C13" s="1638" t="s">
        <v>3473</v>
      </c>
      <c r="D13" s="1638">
        <v>33260</v>
      </c>
      <c r="E13" s="1638">
        <v>116410</v>
      </c>
      <c r="F13" s="1638">
        <v>3.5</v>
      </c>
      <c r="G13" s="1638" t="s">
        <v>3474</v>
      </c>
      <c r="H13" s="1638" t="s">
        <v>3499</v>
      </c>
      <c r="I13" s="1638">
        <v>55000</v>
      </c>
      <c r="J13" s="1638">
        <v>55300</v>
      </c>
      <c r="K13" s="1638">
        <v>4750.4399999999996</v>
      </c>
      <c r="L13" s="1638">
        <v>0.55000000000000004</v>
      </c>
      <c r="M13" s="1638" t="s">
        <v>3500</v>
      </c>
    </row>
    <row r="14" spans="1:13" s="1638" customFormat="1">
      <c r="A14" s="1638" t="s">
        <v>3501</v>
      </c>
      <c r="B14" s="1638" t="s">
        <v>3052</v>
      </c>
      <c r="C14" s="1638" t="s">
        <v>3473</v>
      </c>
      <c r="D14" s="1638">
        <v>24718</v>
      </c>
      <c r="E14" s="1638">
        <v>86513</v>
      </c>
      <c r="F14" s="1638">
        <v>3.5</v>
      </c>
      <c r="G14" s="1638" t="s">
        <v>3474</v>
      </c>
      <c r="H14" s="1638" t="s">
        <v>3502</v>
      </c>
      <c r="I14" s="1638">
        <v>42000</v>
      </c>
      <c r="J14" s="1638">
        <v>42400</v>
      </c>
      <c r="K14" s="1638">
        <v>4901</v>
      </c>
      <c r="L14" s="1638">
        <v>0.95</v>
      </c>
      <c r="M14" s="1638" t="s">
        <v>3500</v>
      </c>
    </row>
    <row r="15" spans="1:13" s="1638" customFormat="1">
      <c r="A15" s="1638" t="s">
        <v>3503</v>
      </c>
      <c r="B15" s="1638" t="s">
        <v>3052</v>
      </c>
      <c r="C15" s="1638" t="s">
        <v>3473</v>
      </c>
      <c r="D15" s="1638">
        <v>18153</v>
      </c>
      <c r="E15" s="1638">
        <v>18859</v>
      </c>
      <c r="F15" s="1638">
        <v>1.04</v>
      </c>
      <c r="G15" s="1638" t="s">
        <v>3474</v>
      </c>
      <c r="H15" s="1638" t="s">
        <v>3504</v>
      </c>
      <c r="I15" s="1638">
        <v>3900</v>
      </c>
      <c r="J15" s="1638">
        <v>3900</v>
      </c>
      <c r="K15" s="1638">
        <v>2067.98</v>
      </c>
      <c r="L15" s="1638">
        <v>0</v>
      </c>
      <c r="M15" s="1638" t="s">
        <v>3505</v>
      </c>
    </row>
    <row r="16" spans="1:13" s="1638" customFormat="1">
      <c r="A16" s="1638" t="s">
        <v>3506</v>
      </c>
      <c r="B16" s="1638" t="s">
        <v>3052</v>
      </c>
      <c r="C16" s="1638" t="s">
        <v>3473</v>
      </c>
      <c r="D16" s="1638">
        <v>52958</v>
      </c>
      <c r="E16" s="1638">
        <v>121340</v>
      </c>
      <c r="F16" s="1638">
        <v>2.29</v>
      </c>
      <c r="G16" s="1638" t="s">
        <v>3507</v>
      </c>
      <c r="H16" s="1638" t="s">
        <v>3508</v>
      </c>
      <c r="I16" s="1638" t="s">
        <v>1331</v>
      </c>
      <c r="J16" s="1638">
        <v>63600</v>
      </c>
      <c r="K16" s="1638">
        <v>5241.47</v>
      </c>
      <c r="L16" s="1638" t="s">
        <v>1331</v>
      </c>
      <c r="M16" s="1638" t="s">
        <v>3509</v>
      </c>
    </row>
  </sheetData>
  <phoneticPr fontId="14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S197"/>
  <sheetViews>
    <sheetView topLeftCell="A160" workbookViewId="0">
      <selection activeCell="K201" sqref="K201"/>
    </sheetView>
  </sheetViews>
  <sheetFormatPr defaultColWidth="16" defaultRowHeight="13.5"/>
  <cols>
    <col min="1" max="1" width="4.75" style="2975" customWidth="1"/>
    <col min="2" max="2" width="5.5" style="2980" customWidth="1" collapsed="1"/>
    <col min="3" max="3" width="8.75" style="2981" customWidth="1" collapsed="1"/>
    <col min="4" max="4" width="15.375" style="2982" customWidth="1" collapsed="1"/>
    <col min="5" max="5" width="10.75" style="2982" customWidth="1" collapsed="1"/>
    <col min="6" max="6" width="10.25" style="2982" customWidth="1" collapsed="1"/>
    <col min="7" max="7" width="13.75" style="2982" customWidth="1" collapsed="1"/>
    <col min="8" max="8" width="9.625" style="2982" customWidth="1"/>
    <col min="9" max="9" width="11.375" style="2975" customWidth="1"/>
    <col min="10" max="10" width="11.125" style="2975" customWidth="1"/>
    <col min="11" max="11" width="9.125" style="2975" customWidth="1"/>
    <col min="12" max="12" width="15.25" style="2975" customWidth="1"/>
    <col min="13" max="13" width="14.25" style="2975" customWidth="1"/>
    <col min="14" max="19" width="16" style="2975" customWidth="1"/>
    <col min="20" max="16384" width="16" style="2975"/>
  </cols>
  <sheetData>
    <row r="1" spans="1:19" ht="13.5" customHeight="1">
      <c r="A1" s="3368" t="s">
        <v>3532</v>
      </c>
      <c r="B1" s="3366" t="s">
        <v>3533</v>
      </c>
      <c r="C1" s="3368" t="s">
        <v>3534</v>
      </c>
      <c r="D1" s="3370" t="s">
        <v>3535</v>
      </c>
      <c r="E1" s="3370" t="s">
        <v>3536</v>
      </c>
      <c r="F1" s="3370" t="s">
        <v>3537</v>
      </c>
      <c r="G1" s="3370" t="s">
        <v>3538</v>
      </c>
      <c r="H1" s="3370" t="s">
        <v>3539</v>
      </c>
      <c r="I1" s="3366" t="s">
        <v>3540</v>
      </c>
      <c r="J1" s="3366" t="s">
        <v>3541</v>
      </c>
      <c r="K1" s="3366" t="s">
        <v>3542</v>
      </c>
      <c r="L1" s="3029"/>
      <c r="M1" s="3366" t="s">
        <v>3543</v>
      </c>
      <c r="N1" s="3366" t="s">
        <v>3544</v>
      </c>
      <c r="O1" s="3029"/>
      <c r="P1" s="3366" t="s">
        <v>3545</v>
      </c>
      <c r="Q1" s="3366" t="s">
        <v>3546</v>
      </c>
      <c r="R1" s="3366" t="s">
        <v>3547</v>
      </c>
      <c r="S1" s="3366" t="s">
        <v>3548</v>
      </c>
    </row>
    <row r="2" spans="1:19" ht="24" customHeight="1">
      <c r="A2" s="3369"/>
      <c r="B2" s="3367"/>
      <c r="C2" s="3369"/>
      <c r="D2" s="3371"/>
      <c r="E2" s="3371"/>
      <c r="F2" s="3371"/>
      <c r="G2" s="3371"/>
      <c r="H2" s="3371"/>
      <c r="I2" s="3367"/>
      <c r="J2" s="3367"/>
      <c r="K2" s="3367"/>
      <c r="L2" s="3030"/>
      <c r="M2" s="3367"/>
      <c r="N2" s="3367"/>
      <c r="O2" s="3030"/>
      <c r="P2" s="3367"/>
      <c r="Q2" s="3367"/>
      <c r="R2" s="3367"/>
      <c r="S2" s="3367"/>
    </row>
    <row r="3" spans="1:19" s="2983" customFormat="1" ht="13.5" customHeight="1">
      <c r="A3" s="2983">
        <v>1</v>
      </c>
      <c r="B3" s="2984" t="s">
        <v>3549</v>
      </c>
      <c r="C3" s="2985">
        <v>162.88</v>
      </c>
      <c r="D3" s="2986">
        <v>43097</v>
      </c>
      <c r="E3" s="2986">
        <v>43302</v>
      </c>
      <c r="F3" s="2986">
        <v>44459</v>
      </c>
      <c r="G3" s="2986">
        <v>43302</v>
      </c>
      <c r="H3" s="2986"/>
      <c r="I3" s="2987">
        <v>1157</v>
      </c>
      <c r="J3" s="2987">
        <v>0</v>
      </c>
      <c r="K3" s="2988">
        <v>338.84210000000002</v>
      </c>
      <c r="L3" s="2988">
        <f>K3*C3*12</f>
        <v>662287.21497600002</v>
      </c>
      <c r="M3" s="2988">
        <v>75.042400000000001</v>
      </c>
      <c r="N3" s="2988">
        <v>257.33330000000001</v>
      </c>
      <c r="O3" s="2988">
        <f>N3*C3*12</f>
        <v>502973.37484800001</v>
      </c>
      <c r="P3" s="2988">
        <v>2097242.88</v>
      </c>
      <c r="Q3" s="2988">
        <v>464470.71</v>
      </c>
      <c r="R3" s="2988">
        <v>87955.199999999997</v>
      </c>
      <c r="S3" s="2988">
        <v>21600</v>
      </c>
    </row>
    <row r="4" spans="1:19" s="2983" customFormat="1" ht="13.5" customHeight="1">
      <c r="A4" s="2983">
        <v>2</v>
      </c>
      <c r="B4" s="2984" t="s">
        <v>3549</v>
      </c>
      <c r="C4" s="2985">
        <v>131.41</v>
      </c>
      <c r="D4" s="2986">
        <v>43218</v>
      </c>
      <c r="E4" s="2986">
        <v>43302</v>
      </c>
      <c r="F4" s="2986">
        <v>44459</v>
      </c>
      <c r="G4" s="2986">
        <v>43302</v>
      </c>
      <c r="H4" s="2986"/>
      <c r="I4" s="2987">
        <v>1157</v>
      </c>
      <c r="J4" s="2987">
        <v>0</v>
      </c>
      <c r="K4" s="2988">
        <v>307.57889999999998</v>
      </c>
      <c r="L4" s="2988">
        <f t="shared" ref="L4:L67" si="0">K4*C4*12</f>
        <v>485027.31898799993</v>
      </c>
      <c r="M4" s="2988">
        <v>75.042400000000001</v>
      </c>
      <c r="N4" s="2988">
        <v>233.33330000000001</v>
      </c>
      <c r="O4" s="2988">
        <f t="shared" ref="O4:O67" si="1">N4*C4*12</f>
        <v>367947.94743599999</v>
      </c>
      <c r="P4" s="2988">
        <v>1535920.08</v>
      </c>
      <c r="Q4" s="2988">
        <v>374730.45</v>
      </c>
      <c r="R4" s="2988">
        <v>70961.399999999994</v>
      </c>
      <c r="S4" s="2988">
        <v>21600</v>
      </c>
    </row>
    <row r="5" spans="1:19" s="2983" customFormat="1" ht="13.5" customHeight="1">
      <c r="A5" s="2983">
        <v>3</v>
      </c>
      <c r="B5" s="2984" t="s">
        <v>3549</v>
      </c>
      <c r="C5" s="2985">
        <v>218.12</v>
      </c>
      <c r="D5" s="2986">
        <v>43180</v>
      </c>
      <c r="E5" s="2986">
        <v>43324</v>
      </c>
      <c r="F5" s="2986">
        <v>44459</v>
      </c>
      <c r="G5" s="2986">
        <v>43324</v>
      </c>
      <c r="H5" s="2986"/>
      <c r="I5" s="2987">
        <v>1135</v>
      </c>
      <c r="J5" s="2987">
        <v>0</v>
      </c>
      <c r="K5" s="2988">
        <v>347.54329999999999</v>
      </c>
      <c r="L5" s="2988">
        <f t="shared" si="0"/>
        <v>909673.73515199998</v>
      </c>
      <c r="M5" s="2988">
        <v>75.043300000000002</v>
      </c>
      <c r="N5" s="2988">
        <v>260</v>
      </c>
      <c r="O5" s="2988">
        <f t="shared" si="1"/>
        <v>680534.4</v>
      </c>
      <c r="P5" s="2988">
        <v>2826835.2</v>
      </c>
      <c r="Q5" s="2988">
        <v>610384.18999999994</v>
      </c>
      <c r="R5" s="2988">
        <v>117784.8</v>
      </c>
      <c r="S5" s="2988">
        <v>0</v>
      </c>
    </row>
    <row r="6" spans="1:19" s="2983" customFormat="1" ht="13.5" customHeight="1">
      <c r="A6" s="2983">
        <v>4</v>
      </c>
      <c r="B6" s="2984" t="s">
        <v>3549</v>
      </c>
      <c r="C6" s="2985">
        <v>173.67</v>
      </c>
      <c r="D6" s="2986">
        <v>43200</v>
      </c>
      <c r="E6" s="2986">
        <v>43333</v>
      </c>
      <c r="F6" s="2986">
        <v>44459</v>
      </c>
      <c r="G6" s="2986">
        <v>43333</v>
      </c>
      <c r="H6" s="2986"/>
      <c r="I6" s="2987">
        <v>1126</v>
      </c>
      <c r="J6" s="2987">
        <v>0</v>
      </c>
      <c r="K6" s="2988">
        <v>347.48110000000003</v>
      </c>
      <c r="L6" s="2988">
        <f t="shared" si="0"/>
        <v>724164.51164399995</v>
      </c>
      <c r="M6" s="2988">
        <v>75.043599999999998</v>
      </c>
      <c r="N6" s="2988">
        <v>256.66669999999999</v>
      </c>
      <c r="O6" s="2988">
        <f t="shared" si="1"/>
        <v>534903.66946799995</v>
      </c>
      <c r="P6" s="2988">
        <v>2232840.4500000002</v>
      </c>
      <c r="Q6" s="2988">
        <v>482214.36</v>
      </c>
      <c r="R6" s="2988">
        <v>93781.8</v>
      </c>
      <c r="S6" s="2988">
        <v>0</v>
      </c>
    </row>
    <row r="7" spans="1:19" s="2983" customFormat="1" ht="13.5" customHeight="1">
      <c r="A7" s="2983">
        <v>5</v>
      </c>
      <c r="B7" s="2984" t="s">
        <v>3549</v>
      </c>
      <c r="C7" s="2985">
        <v>85.05</v>
      </c>
      <c r="D7" s="2986">
        <v>43217</v>
      </c>
      <c r="E7" s="2986">
        <v>43333</v>
      </c>
      <c r="F7" s="2986">
        <v>44459</v>
      </c>
      <c r="G7" s="2986">
        <v>43333</v>
      </c>
      <c r="H7" s="2986"/>
      <c r="I7" s="2987">
        <v>1126</v>
      </c>
      <c r="J7" s="2987">
        <v>0</v>
      </c>
      <c r="K7" s="2988">
        <v>357.98919999999998</v>
      </c>
      <c r="L7" s="2988">
        <f t="shared" si="0"/>
        <v>365363.77752</v>
      </c>
      <c r="M7" s="2988">
        <v>75.043599999999998</v>
      </c>
      <c r="N7" s="2988">
        <v>264.39999999999998</v>
      </c>
      <c r="O7" s="2988">
        <f t="shared" si="1"/>
        <v>269846.63999999996</v>
      </c>
      <c r="P7" s="2988">
        <v>1126538.28</v>
      </c>
      <c r="Q7" s="2988">
        <v>236150.93</v>
      </c>
      <c r="R7" s="2988">
        <v>45927</v>
      </c>
      <c r="S7" s="2988">
        <v>21600</v>
      </c>
    </row>
    <row r="8" spans="1:19" s="2983" customFormat="1" ht="13.5" customHeight="1">
      <c r="A8" s="2983">
        <v>6</v>
      </c>
      <c r="B8" s="2984" t="s">
        <v>3549</v>
      </c>
      <c r="C8" s="2985">
        <v>113.98</v>
      </c>
      <c r="D8" s="2986">
        <v>43098</v>
      </c>
      <c r="E8" s="2986">
        <v>43304</v>
      </c>
      <c r="F8" s="2986">
        <v>44824</v>
      </c>
      <c r="G8" s="2986">
        <v>43304</v>
      </c>
      <c r="H8" s="2986"/>
      <c r="I8" s="2987">
        <v>1520</v>
      </c>
      <c r="J8" s="2987">
        <v>0</v>
      </c>
      <c r="K8" s="2988">
        <v>281.1628</v>
      </c>
      <c r="L8" s="2988">
        <f t="shared" si="0"/>
        <v>384563.23132800002</v>
      </c>
      <c r="M8" s="2988">
        <v>75.032300000000006</v>
      </c>
      <c r="N8" s="2988">
        <v>210</v>
      </c>
      <c r="O8" s="2988">
        <f t="shared" si="1"/>
        <v>287229.59999999998</v>
      </c>
      <c r="P8" s="2988">
        <v>1600279.2</v>
      </c>
      <c r="Q8" s="2988">
        <v>427057.32</v>
      </c>
      <c r="R8" s="2988">
        <v>82065.600000000006</v>
      </c>
      <c r="S8" s="2988">
        <v>0</v>
      </c>
    </row>
    <row r="9" spans="1:19" s="2983" customFormat="1" ht="13.5" customHeight="1">
      <c r="A9" s="2983">
        <v>7</v>
      </c>
      <c r="B9" s="2984" t="s">
        <v>3549</v>
      </c>
      <c r="C9" s="2985">
        <v>228.12</v>
      </c>
      <c r="D9" s="2986">
        <v>43210</v>
      </c>
      <c r="E9" s="2986">
        <v>43273</v>
      </c>
      <c r="F9" s="2986">
        <v>47016</v>
      </c>
      <c r="G9" s="2986">
        <v>43273</v>
      </c>
      <c r="H9" s="2986"/>
      <c r="I9" s="2987">
        <v>3743</v>
      </c>
      <c r="J9" s="2987">
        <v>0</v>
      </c>
      <c r="K9" s="2988">
        <v>296.46800000000002</v>
      </c>
      <c r="L9" s="2988">
        <f t="shared" si="0"/>
        <v>811563.36192000005</v>
      </c>
      <c r="M9" s="2988">
        <v>74.999300000000005</v>
      </c>
      <c r="N9" s="2988">
        <v>251.33330000000001</v>
      </c>
      <c r="O9" s="2988">
        <f t="shared" si="1"/>
        <v>688009.82875200012</v>
      </c>
      <c r="P9" s="2988">
        <v>8316342.7199999997</v>
      </c>
      <c r="Q9" s="2988">
        <v>2103836.7000000002</v>
      </c>
      <c r="R9" s="2988">
        <v>410616</v>
      </c>
      <c r="S9" s="2988">
        <v>0</v>
      </c>
    </row>
    <row r="10" spans="1:19" s="2983" customFormat="1" ht="13.5" customHeight="1">
      <c r="A10" s="2983">
        <v>8</v>
      </c>
      <c r="B10" s="2984" t="s">
        <v>3549</v>
      </c>
      <c r="C10" s="2985">
        <v>199.03</v>
      </c>
      <c r="D10" s="2986">
        <v>43186</v>
      </c>
      <c r="E10" s="2986">
        <v>43302</v>
      </c>
      <c r="F10" s="2986">
        <v>44824</v>
      </c>
      <c r="G10" s="2986">
        <v>43302</v>
      </c>
      <c r="H10" s="2986"/>
      <c r="I10" s="2987">
        <v>1522</v>
      </c>
      <c r="J10" s="2987">
        <v>0</v>
      </c>
      <c r="K10" s="2988">
        <v>162.24</v>
      </c>
      <c r="L10" s="2988">
        <f t="shared" si="0"/>
        <v>387487.52640000003</v>
      </c>
      <c r="M10" s="2988">
        <v>75.032300000000006</v>
      </c>
      <c r="N10" s="2988">
        <v>126</v>
      </c>
      <c r="O10" s="2988">
        <f t="shared" si="1"/>
        <v>300933.36</v>
      </c>
      <c r="P10" s="2988">
        <v>1614531.36</v>
      </c>
      <c r="Q10" s="2988">
        <v>746683.52</v>
      </c>
      <c r="R10" s="2988">
        <v>143301.6</v>
      </c>
      <c r="S10" s="2988">
        <v>0</v>
      </c>
    </row>
    <row r="11" spans="1:19" s="2983" customFormat="1" ht="13.5" customHeight="1">
      <c r="A11" s="2983">
        <v>9</v>
      </c>
      <c r="B11" s="2984" t="s">
        <v>3549</v>
      </c>
      <c r="C11" s="2985">
        <v>139.16999999999999</v>
      </c>
      <c r="D11" s="2986">
        <v>43223</v>
      </c>
      <c r="E11" s="2986">
        <v>43333</v>
      </c>
      <c r="F11" s="2986">
        <v>44094</v>
      </c>
      <c r="G11" s="2986">
        <v>43333</v>
      </c>
      <c r="H11" s="2986"/>
      <c r="I11" s="2987">
        <v>761</v>
      </c>
      <c r="J11" s="2987">
        <v>0</v>
      </c>
      <c r="K11" s="2988">
        <v>299.52</v>
      </c>
      <c r="L11" s="2988">
        <f t="shared" si="0"/>
        <v>500210.38079999993</v>
      </c>
      <c r="M11" s="2988">
        <v>75.064499999999995</v>
      </c>
      <c r="N11" s="2988">
        <v>216</v>
      </c>
      <c r="O11" s="2988">
        <f t="shared" si="1"/>
        <v>360728.63999999996</v>
      </c>
      <c r="P11" s="2988">
        <v>1042104.96</v>
      </c>
      <c r="Q11" s="2988">
        <v>261168.22</v>
      </c>
      <c r="R11" s="2988">
        <v>50101.2</v>
      </c>
      <c r="S11" s="2988">
        <v>14400</v>
      </c>
    </row>
    <row r="12" spans="1:19" s="2983" customFormat="1" ht="13.5" customHeight="1">
      <c r="A12" s="2983">
        <v>10</v>
      </c>
      <c r="B12" s="2984" t="s">
        <v>3549</v>
      </c>
      <c r="C12" s="2985">
        <v>70.540000000000006</v>
      </c>
      <c r="D12" s="2986">
        <v>43215</v>
      </c>
      <c r="E12" s="2986">
        <v>43333</v>
      </c>
      <c r="F12" s="2986">
        <v>44459</v>
      </c>
      <c r="G12" s="2986">
        <v>43333</v>
      </c>
      <c r="H12" s="2986"/>
      <c r="I12" s="2987">
        <v>1126</v>
      </c>
      <c r="J12" s="2987">
        <v>0</v>
      </c>
      <c r="K12" s="2988">
        <v>526.70270000000005</v>
      </c>
      <c r="L12" s="2988">
        <f t="shared" si="0"/>
        <v>445843.30149600015</v>
      </c>
      <c r="M12" s="2988">
        <v>75.043599999999998</v>
      </c>
      <c r="N12" s="2988">
        <v>389.33330000000001</v>
      </c>
      <c r="O12" s="2988">
        <f t="shared" si="1"/>
        <v>329562.85178400006</v>
      </c>
      <c r="P12" s="2988">
        <v>1374683.52</v>
      </c>
      <c r="Q12" s="2988">
        <v>195862.27</v>
      </c>
      <c r="R12" s="2988">
        <v>38091.599999999999</v>
      </c>
      <c r="S12" s="2988">
        <v>21600</v>
      </c>
    </row>
    <row r="13" spans="1:19" s="2983" customFormat="1" ht="13.5" customHeight="1">
      <c r="A13" s="2983">
        <v>11</v>
      </c>
      <c r="B13" s="2984" t="s">
        <v>3549</v>
      </c>
      <c r="C13" s="2985">
        <v>87.65</v>
      </c>
      <c r="D13" s="2986">
        <v>43217</v>
      </c>
      <c r="E13" s="2986">
        <v>43333</v>
      </c>
      <c r="F13" s="2986">
        <v>44459</v>
      </c>
      <c r="G13" s="2986">
        <v>43333</v>
      </c>
      <c r="H13" s="2986"/>
      <c r="I13" s="2987">
        <v>1126</v>
      </c>
      <c r="J13" s="2987">
        <v>0</v>
      </c>
      <c r="K13" s="2988">
        <v>368.7568</v>
      </c>
      <c r="L13" s="2988">
        <f t="shared" si="0"/>
        <v>387858.40224000002</v>
      </c>
      <c r="M13" s="2988">
        <v>75.043599999999998</v>
      </c>
      <c r="N13" s="2988">
        <v>272.66660000000002</v>
      </c>
      <c r="O13" s="2988">
        <f t="shared" si="1"/>
        <v>286790.72988000006</v>
      </c>
      <c r="P13" s="2988">
        <v>1195896.6000000001</v>
      </c>
      <c r="Q13" s="2988">
        <v>243370.12</v>
      </c>
      <c r="R13" s="2988">
        <v>47331</v>
      </c>
      <c r="S13" s="2988">
        <v>21600</v>
      </c>
    </row>
    <row r="14" spans="1:19" s="2983" customFormat="1" ht="13.5" customHeight="1">
      <c r="A14" s="2983">
        <v>12</v>
      </c>
      <c r="B14" s="2984" t="s">
        <v>3549</v>
      </c>
      <c r="C14" s="2985">
        <v>77.13</v>
      </c>
      <c r="D14" s="2986">
        <v>43098</v>
      </c>
      <c r="E14" s="2986">
        <v>43333</v>
      </c>
      <c r="F14" s="2986">
        <v>44459</v>
      </c>
      <c r="G14" s="2986">
        <v>43333</v>
      </c>
      <c r="H14" s="2986"/>
      <c r="I14" s="2987">
        <v>1126</v>
      </c>
      <c r="J14" s="2987">
        <v>0</v>
      </c>
      <c r="K14" s="2988">
        <v>370.05410000000001</v>
      </c>
      <c r="L14" s="2988">
        <f t="shared" si="0"/>
        <v>342507.272796</v>
      </c>
      <c r="M14" s="2988">
        <v>75.043599999999998</v>
      </c>
      <c r="N14" s="2988">
        <v>274</v>
      </c>
      <c r="O14" s="2988">
        <f t="shared" si="1"/>
        <v>253603.44</v>
      </c>
      <c r="P14" s="2988">
        <v>1056063.96</v>
      </c>
      <c r="Q14" s="2988">
        <v>214160.15</v>
      </c>
      <c r="R14" s="2988">
        <v>41650.199999999997</v>
      </c>
      <c r="S14" s="2988">
        <v>21600</v>
      </c>
    </row>
    <row r="15" spans="1:19" s="2983" customFormat="1" ht="13.5" customHeight="1">
      <c r="A15" s="2983">
        <v>13</v>
      </c>
      <c r="B15" s="2984" t="s">
        <v>3549</v>
      </c>
      <c r="C15" s="2985">
        <v>85.47</v>
      </c>
      <c r="D15" s="2986">
        <v>43186</v>
      </c>
      <c r="E15" s="2986">
        <v>43333</v>
      </c>
      <c r="F15" s="2986">
        <v>44459</v>
      </c>
      <c r="G15" s="2986">
        <v>43333</v>
      </c>
      <c r="H15" s="2986"/>
      <c r="I15" s="2987">
        <v>1126</v>
      </c>
      <c r="J15" s="2987">
        <v>0</v>
      </c>
      <c r="K15" s="2988">
        <v>381.08109999999999</v>
      </c>
      <c r="L15" s="2988">
        <f t="shared" si="0"/>
        <v>390852.01940399996</v>
      </c>
      <c r="M15" s="2988">
        <v>75.043599999999998</v>
      </c>
      <c r="N15" s="2988">
        <v>283.33330000000001</v>
      </c>
      <c r="O15" s="2988">
        <f t="shared" si="1"/>
        <v>290597.96581199998</v>
      </c>
      <c r="P15" s="2988">
        <v>1205127</v>
      </c>
      <c r="Q15" s="2988">
        <v>237317.1</v>
      </c>
      <c r="R15" s="2988">
        <v>46153.8</v>
      </c>
      <c r="S15" s="2988">
        <v>21600</v>
      </c>
    </row>
    <row r="16" spans="1:19" s="2983" customFormat="1" ht="13.5" customHeight="1">
      <c r="A16" s="2983">
        <v>14</v>
      </c>
      <c r="B16" s="2984" t="s">
        <v>3549</v>
      </c>
      <c r="C16" s="2985">
        <v>103.32</v>
      </c>
      <c r="D16" s="2986">
        <v>43098</v>
      </c>
      <c r="E16" s="2986">
        <v>43333</v>
      </c>
      <c r="F16" s="2986">
        <v>44459</v>
      </c>
      <c r="G16" s="2986">
        <v>43333</v>
      </c>
      <c r="H16" s="2986"/>
      <c r="I16" s="2987">
        <v>1126</v>
      </c>
      <c r="J16" s="2987">
        <v>0</v>
      </c>
      <c r="K16" s="2988">
        <v>473.83780000000002</v>
      </c>
      <c r="L16" s="2988">
        <f t="shared" si="0"/>
        <v>587483.05795199994</v>
      </c>
      <c r="M16" s="2988">
        <v>75.043599999999998</v>
      </c>
      <c r="N16" s="2988">
        <v>350</v>
      </c>
      <c r="O16" s="2988">
        <f t="shared" si="1"/>
        <v>433944</v>
      </c>
      <c r="P16" s="2988">
        <v>1811406.24</v>
      </c>
      <c r="Q16" s="2988">
        <v>286879.65000000002</v>
      </c>
      <c r="R16" s="2988">
        <v>55792.800000000003</v>
      </c>
      <c r="S16" s="2988">
        <v>21600</v>
      </c>
    </row>
    <row r="17" spans="1:19" s="2983" customFormat="1" ht="13.5" customHeight="1">
      <c r="A17" s="2983">
        <v>15</v>
      </c>
      <c r="B17" s="2984" t="s">
        <v>3549</v>
      </c>
      <c r="C17" s="2985">
        <v>713.28</v>
      </c>
      <c r="D17" s="2986">
        <v>43139</v>
      </c>
      <c r="E17" s="2986">
        <v>43274</v>
      </c>
      <c r="F17" s="2986">
        <v>46285</v>
      </c>
      <c r="G17" s="2986">
        <v>43274</v>
      </c>
      <c r="H17" s="2986"/>
      <c r="I17" s="2987">
        <v>3011</v>
      </c>
      <c r="J17" s="2987">
        <v>0</v>
      </c>
      <c r="K17" s="2988">
        <v>89.287300000000002</v>
      </c>
      <c r="L17" s="2988">
        <f t="shared" si="0"/>
        <v>764242.14412800001</v>
      </c>
      <c r="M17" s="2988">
        <v>73.483199999999997</v>
      </c>
      <c r="N17" s="2988">
        <v>69.62</v>
      </c>
      <c r="O17" s="2988">
        <f t="shared" si="1"/>
        <v>595902.64320000005</v>
      </c>
      <c r="P17" s="2988">
        <v>6300887.2800000003</v>
      </c>
      <c r="Q17" s="2988">
        <v>5185616</v>
      </c>
      <c r="R17" s="2988">
        <v>0</v>
      </c>
      <c r="S17" s="2988">
        <v>0</v>
      </c>
    </row>
    <row r="18" spans="1:19" s="2983" customFormat="1" ht="13.5" customHeight="1">
      <c r="A18" s="2983">
        <v>16</v>
      </c>
      <c r="B18" s="2984" t="s">
        <v>3549</v>
      </c>
      <c r="C18" s="2985">
        <v>1033.92</v>
      </c>
      <c r="D18" s="2986">
        <v>43124</v>
      </c>
      <c r="E18" s="2986">
        <v>43272</v>
      </c>
      <c r="F18" s="2986">
        <v>47016</v>
      </c>
      <c r="G18" s="2986">
        <v>43272</v>
      </c>
      <c r="H18" s="2986"/>
      <c r="I18" s="2987">
        <v>3744</v>
      </c>
      <c r="J18" s="2987">
        <v>0</v>
      </c>
      <c r="K18" s="2988">
        <v>133.6585</v>
      </c>
      <c r="L18" s="2988">
        <f t="shared" si="0"/>
        <v>1658306.3558400003</v>
      </c>
      <c r="M18" s="2988">
        <v>41.707299999999996</v>
      </c>
      <c r="N18" s="2988">
        <v>120</v>
      </c>
      <c r="O18" s="2988">
        <f t="shared" si="1"/>
        <v>1488844.8</v>
      </c>
      <c r="P18" s="2988">
        <v>16997644.800000001</v>
      </c>
      <c r="Q18" s="2988">
        <v>5304009.5999999996</v>
      </c>
      <c r="R18" s="2988">
        <v>0</v>
      </c>
      <c r="S18" s="2988">
        <v>0</v>
      </c>
    </row>
    <row r="19" spans="1:19" s="2983" customFormat="1" ht="13.5" customHeight="1">
      <c r="A19" s="2983">
        <v>17</v>
      </c>
      <c r="B19" s="2984" t="s">
        <v>3549</v>
      </c>
      <c r="C19" s="2985">
        <v>166.66</v>
      </c>
      <c r="D19" s="2986">
        <v>43213</v>
      </c>
      <c r="E19" s="2986">
        <v>43333</v>
      </c>
      <c r="F19" s="2986">
        <v>44824</v>
      </c>
      <c r="G19" s="2986">
        <v>43333</v>
      </c>
      <c r="H19" s="2986"/>
      <c r="I19" s="2987">
        <v>1491</v>
      </c>
      <c r="J19" s="2987">
        <v>0</v>
      </c>
      <c r="K19" s="2988">
        <v>249.79589999999999</v>
      </c>
      <c r="L19" s="2988">
        <f t="shared" si="0"/>
        <v>499571.81632799999</v>
      </c>
      <c r="M19" s="2988">
        <v>75.032899999999998</v>
      </c>
      <c r="N19" s="2988">
        <v>200</v>
      </c>
      <c r="O19" s="2988">
        <f t="shared" si="1"/>
        <v>399984</v>
      </c>
      <c r="P19" s="2988">
        <v>2039918.4</v>
      </c>
      <c r="Q19" s="2988">
        <v>612744.31000000006</v>
      </c>
      <c r="R19" s="2988">
        <v>119995.2</v>
      </c>
      <c r="S19" s="2988">
        <v>0</v>
      </c>
    </row>
    <row r="20" spans="1:19" s="3033" customFormat="1" ht="13.5" customHeight="1">
      <c r="A20" s="3033">
        <v>18</v>
      </c>
      <c r="B20" s="3034" t="s">
        <v>3549</v>
      </c>
      <c r="C20" s="3035">
        <v>1311.55</v>
      </c>
      <c r="D20" s="3036">
        <v>43180</v>
      </c>
      <c r="E20" s="3036">
        <v>43272</v>
      </c>
      <c r="F20" s="3036">
        <v>47016</v>
      </c>
      <c r="G20" s="3036">
        <v>43272</v>
      </c>
      <c r="H20" s="3036"/>
      <c r="I20" s="3037">
        <v>3744</v>
      </c>
      <c r="J20" s="3037">
        <v>0</v>
      </c>
      <c r="K20" s="3038">
        <v>0</v>
      </c>
      <c r="L20" s="3038">
        <f t="shared" si="0"/>
        <v>0</v>
      </c>
      <c r="M20" s="3038">
        <v>14.7271</v>
      </c>
      <c r="N20" s="3038"/>
      <c r="O20" s="2988">
        <f t="shared" si="1"/>
        <v>0</v>
      </c>
      <c r="P20" s="3038">
        <v>0</v>
      </c>
      <c r="Q20" s="3038">
        <v>2375790</v>
      </c>
      <c r="R20" s="3038">
        <v>0</v>
      </c>
      <c r="S20" s="3038">
        <v>0</v>
      </c>
    </row>
    <row r="21" spans="1:19" s="2983" customFormat="1" ht="13.5" customHeight="1">
      <c r="A21" s="2983">
        <v>19</v>
      </c>
      <c r="B21" s="2984" t="s">
        <v>3549</v>
      </c>
      <c r="C21" s="2985">
        <v>219.97</v>
      </c>
      <c r="D21" s="2986">
        <v>43160</v>
      </c>
      <c r="E21" s="2986">
        <v>43319</v>
      </c>
      <c r="F21" s="2986">
        <v>44459</v>
      </c>
      <c r="G21" s="2986">
        <v>43319</v>
      </c>
      <c r="H21" s="2986"/>
      <c r="I21" s="2987">
        <v>1140</v>
      </c>
      <c r="J21" s="2987">
        <v>0</v>
      </c>
      <c r="K21" s="2988">
        <v>270.10849999999999</v>
      </c>
      <c r="L21" s="2988">
        <f t="shared" si="0"/>
        <v>712989.20094000001</v>
      </c>
      <c r="M21" s="2988">
        <v>75.043099999999995</v>
      </c>
      <c r="N21" s="2988">
        <v>205.33330000000001</v>
      </c>
      <c r="O21" s="2988">
        <f t="shared" si="1"/>
        <v>542005.99201200006</v>
      </c>
      <c r="P21" s="2988">
        <v>2225216.5099999998</v>
      </c>
      <c r="Q21" s="2988">
        <v>618222.14</v>
      </c>
      <c r="R21" s="2988">
        <v>118783.8</v>
      </c>
      <c r="S21" s="2988">
        <v>21600</v>
      </c>
    </row>
    <row r="22" spans="1:19" s="2983" customFormat="1" ht="13.5" customHeight="1">
      <c r="A22" s="2983">
        <v>20</v>
      </c>
      <c r="B22" s="2984" t="s">
        <v>3549</v>
      </c>
      <c r="C22" s="2985">
        <v>120.3</v>
      </c>
      <c r="D22" s="2986">
        <v>43217</v>
      </c>
      <c r="E22" s="2986">
        <v>43302</v>
      </c>
      <c r="F22" s="2986">
        <v>45555</v>
      </c>
      <c r="G22" s="2986">
        <v>43302</v>
      </c>
      <c r="H22" s="2986"/>
      <c r="I22" s="2987">
        <v>2253</v>
      </c>
      <c r="J22" s="2987">
        <v>0</v>
      </c>
      <c r="K22" s="2988">
        <v>231.6551</v>
      </c>
      <c r="L22" s="2988">
        <f t="shared" si="0"/>
        <v>334417.30236000003</v>
      </c>
      <c r="M22" s="2988">
        <v>75.021799999999999</v>
      </c>
      <c r="N22" s="2988">
        <v>178.73330000000001</v>
      </c>
      <c r="O22" s="2988">
        <f t="shared" si="1"/>
        <v>258019.39188000001</v>
      </c>
      <c r="P22" s="2988">
        <v>2062240.36</v>
      </c>
      <c r="Q22" s="2988">
        <v>667859.03</v>
      </c>
      <c r="R22" s="2988">
        <v>129924</v>
      </c>
      <c r="S22" s="2988">
        <v>0</v>
      </c>
    </row>
    <row r="23" spans="1:19" s="2989" customFormat="1" ht="13.5" customHeight="1">
      <c r="A23" s="2989">
        <v>21</v>
      </c>
      <c r="B23" s="2990" t="s">
        <v>3550</v>
      </c>
      <c r="C23" s="2991">
        <v>305.2</v>
      </c>
      <c r="D23" s="2992">
        <v>43186</v>
      </c>
      <c r="E23" s="2992">
        <v>43319</v>
      </c>
      <c r="F23" s="2992">
        <v>45189</v>
      </c>
      <c r="G23" s="2992">
        <v>43319</v>
      </c>
      <c r="H23" s="2992"/>
      <c r="I23" s="2993">
        <v>1870</v>
      </c>
      <c r="J23" s="2993">
        <v>0</v>
      </c>
      <c r="K23" s="2994">
        <v>183.7543</v>
      </c>
      <c r="L23" s="2988">
        <f t="shared" si="0"/>
        <v>672981.74832000001</v>
      </c>
      <c r="M23" s="2994">
        <v>73.468100000000007</v>
      </c>
      <c r="N23" s="2994">
        <v>146</v>
      </c>
      <c r="O23" s="2988">
        <f t="shared" si="1"/>
        <v>534710.39999999991</v>
      </c>
      <c r="P23" s="2994">
        <v>3446318.4</v>
      </c>
      <c r="Q23" s="2994">
        <v>1377895.96</v>
      </c>
      <c r="R23" s="2994">
        <v>274680</v>
      </c>
      <c r="S23" s="2994">
        <v>0</v>
      </c>
    </row>
    <row r="24" spans="1:19" s="2989" customFormat="1" ht="13.5" customHeight="1">
      <c r="A24" s="2989">
        <v>22</v>
      </c>
      <c r="B24" s="2990" t="s">
        <v>3550</v>
      </c>
      <c r="C24" s="2991">
        <v>252.45</v>
      </c>
      <c r="D24" s="2992">
        <v>43188</v>
      </c>
      <c r="E24" s="2992">
        <v>43302</v>
      </c>
      <c r="F24" s="2992">
        <v>44459</v>
      </c>
      <c r="G24" s="2992">
        <v>43302</v>
      </c>
      <c r="H24" s="2992"/>
      <c r="I24" s="2993">
        <v>1157</v>
      </c>
      <c r="J24" s="2993">
        <v>0</v>
      </c>
      <c r="K24" s="2994">
        <v>276.7989</v>
      </c>
      <c r="L24" s="2988">
        <f t="shared" si="0"/>
        <v>838534.58765999996</v>
      </c>
      <c r="M24" s="2994">
        <v>75.042400000000001</v>
      </c>
      <c r="N24" s="2994">
        <v>209.95330000000001</v>
      </c>
      <c r="O24" s="2988">
        <f t="shared" si="1"/>
        <v>636032.52702000004</v>
      </c>
      <c r="P24" s="2994">
        <v>2655360</v>
      </c>
      <c r="Q24" s="2994">
        <v>719889.68</v>
      </c>
      <c r="R24" s="2994">
        <v>136323</v>
      </c>
      <c r="S24" s="2994">
        <v>0</v>
      </c>
    </row>
    <row r="25" spans="1:19" s="2989" customFormat="1" ht="13.5" customHeight="1">
      <c r="A25" s="2989">
        <v>23</v>
      </c>
      <c r="B25" s="2990" t="s">
        <v>3550</v>
      </c>
      <c r="C25" s="2991">
        <v>164.86</v>
      </c>
      <c r="D25" s="2992">
        <v>43200</v>
      </c>
      <c r="E25" s="2992">
        <v>43302</v>
      </c>
      <c r="F25" s="2992">
        <v>45189</v>
      </c>
      <c r="G25" s="2992">
        <v>43302</v>
      </c>
      <c r="H25" s="2992"/>
      <c r="I25" s="2993">
        <v>1887</v>
      </c>
      <c r="J25" s="2993">
        <v>0</v>
      </c>
      <c r="K25" s="2994">
        <v>69.619399999999999</v>
      </c>
      <c r="L25" s="2988">
        <f t="shared" si="0"/>
        <v>137729.45140800002</v>
      </c>
      <c r="M25" s="2994">
        <v>75.025999999999996</v>
      </c>
      <c r="N25" s="2994">
        <v>52.8</v>
      </c>
      <c r="O25" s="2988">
        <f t="shared" si="1"/>
        <v>104455.296</v>
      </c>
      <c r="P25" s="2994">
        <v>711601.69</v>
      </c>
      <c r="Q25" s="2994">
        <v>766864.9</v>
      </c>
      <c r="R25" s="2994">
        <v>148374</v>
      </c>
      <c r="S25" s="2994">
        <v>0</v>
      </c>
    </row>
    <row r="26" spans="1:19" s="2989" customFormat="1" ht="13.5" customHeight="1">
      <c r="A26" s="2989">
        <v>24</v>
      </c>
      <c r="B26" s="2990" t="s">
        <v>3550</v>
      </c>
      <c r="C26" s="2991">
        <v>349.12</v>
      </c>
      <c r="D26" s="2992">
        <v>43222</v>
      </c>
      <c r="E26" s="2992">
        <v>43319</v>
      </c>
      <c r="F26" s="2992">
        <v>44459</v>
      </c>
      <c r="G26" s="2992">
        <v>43319</v>
      </c>
      <c r="H26" s="2992"/>
      <c r="I26" s="2993">
        <v>1140</v>
      </c>
      <c r="J26" s="2993">
        <v>0</v>
      </c>
      <c r="K26" s="2994">
        <v>208.2687</v>
      </c>
      <c r="L26" s="2988">
        <f t="shared" si="0"/>
        <v>872529.22252800013</v>
      </c>
      <c r="M26" s="2994">
        <v>75.043099999999995</v>
      </c>
      <c r="N26" s="2994">
        <v>156</v>
      </c>
      <c r="O26" s="2988">
        <f t="shared" si="1"/>
        <v>653552.64000000001</v>
      </c>
      <c r="P26" s="2994">
        <v>2723136</v>
      </c>
      <c r="Q26" s="2994">
        <v>981196.13</v>
      </c>
      <c r="R26" s="2994">
        <v>188524.79999999999</v>
      </c>
      <c r="S26" s="2994">
        <v>21600</v>
      </c>
    </row>
    <row r="27" spans="1:19" s="2989" customFormat="1" ht="13.5" customHeight="1">
      <c r="A27" s="2989">
        <v>25</v>
      </c>
      <c r="B27" s="2990" t="s">
        <v>3550</v>
      </c>
      <c r="C27" s="2991">
        <v>59.74</v>
      </c>
      <c r="D27" s="2992">
        <v>43210</v>
      </c>
      <c r="E27" s="2992">
        <v>43333</v>
      </c>
      <c r="F27" s="2992">
        <v>44459</v>
      </c>
      <c r="G27" s="2992">
        <v>43333</v>
      </c>
      <c r="H27" s="2992"/>
      <c r="I27" s="2993">
        <v>1126</v>
      </c>
      <c r="J27" s="2993">
        <v>0</v>
      </c>
      <c r="K27" s="2994">
        <v>410.62700000000001</v>
      </c>
      <c r="L27" s="2988">
        <f t="shared" si="0"/>
        <v>294370.28376000002</v>
      </c>
      <c r="M27" s="2994">
        <v>75.043599999999998</v>
      </c>
      <c r="N27" s="2994">
        <v>303.26650000000001</v>
      </c>
      <c r="O27" s="2988">
        <f t="shared" si="1"/>
        <v>217405.68852</v>
      </c>
      <c r="P27" s="2994">
        <v>907641.76</v>
      </c>
      <c r="Q27" s="2994">
        <v>165874.85</v>
      </c>
      <c r="R27" s="2994">
        <v>32259.599999999999</v>
      </c>
      <c r="S27" s="2994">
        <v>21600</v>
      </c>
    </row>
    <row r="28" spans="1:19" s="2989" customFormat="1" ht="13.5" customHeight="1">
      <c r="A28" s="2989">
        <v>26</v>
      </c>
      <c r="B28" s="2990" t="s">
        <v>3550</v>
      </c>
      <c r="C28" s="2991">
        <v>93.75</v>
      </c>
      <c r="D28" s="2992">
        <v>43210</v>
      </c>
      <c r="E28" s="2992">
        <v>43319</v>
      </c>
      <c r="F28" s="2992">
        <v>44459</v>
      </c>
      <c r="G28" s="2992">
        <v>43319</v>
      </c>
      <c r="H28" s="2992"/>
      <c r="I28" s="2993">
        <v>1140</v>
      </c>
      <c r="J28" s="2993">
        <v>0</v>
      </c>
      <c r="K28" s="2994">
        <v>343.80360000000002</v>
      </c>
      <c r="L28" s="2988">
        <f t="shared" si="0"/>
        <v>386779.05000000005</v>
      </c>
      <c r="M28" s="2994">
        <v>75.043099999999995</v>
      </c>
      <c r="N28" s="2994">
        <v>257.33330000000001</v>
      </c>
      <c r="O28" s="2988">
        <f t="shared" si="1"/>
        <v>289499.96250000002</v>
      </c>
      <c r="P28" s="2994">
        <v>1207125</v>
      </c>
      <c r="Q28" s="2994">
        <v>263482.86</v>
      </c>
      <c r="R28" s="2994">
        <v>50625</v>
      </c>
      <c r="S28" s="2994">
        <v>21600</v>
      </c>
    </row>
    <row r="29" spans="1:19" s="2989" customFormat="1" ht="13.5" customHeight="1">
      <c r="A29" s="2989">
        <v>27</v>
      </c>
      <c r="B29" s="2990" t="s">
        <v>3550</v>
      </c>
      <c r="C29" s="2991">
        <v>139.26</v>
      </c>
      <c r="D29" s="2992">
        <v>43136</v>
      </c>
      <c r="E29" s="2992">
        <v>43318</v>
      </c>
      <c r="F29" s="2992">
        <v>44459</v>
      </c>
      <c r="G29" s="2992">
        <v>43318</v>
      </c>
      <c r="H29" s="2992"/>
      <c r="I29" s="2993">
        <v>1141</v>
      </c>
      <c r="J29" s="2993">
        <v>0</v>
      </c>
      <c r="K29" s="2994">
        <v>311.8141</v>
      </c>
      <c r="L29" s="2988">
        <f t="shared" si="0"/>
        <v>521078.77879199991</v>
      </c>
      <c r="M29" s="2994">
        <v>75.043000000000006</v>
      </c>
      <c r="N29" s="2994">
        <v>233.33330000000001</v>
      </c>
      <c r="O29" s="2988">
        <f t="shared" si="1"/>
        <v>389927.944296</v>
      </c>
      <c r="P29" s="2994">
        <v>1627670.88</v>
      </c>
      <c r="Q29" s="2994">
        <v>391724.9</v>
      </c>
      <c r="R29" s="2994">
        <v>75200.399999999994</v>
      </c>
      <c r="S29" s="2994">
        <v>21600</v>
      </c>
    </row>
    <row r="30" spans="1:19" s="2989" customFormat="1" ht="13.5" customHeight="1">
      <c r="A30" s="2989">
        <v>28</v>
      </c>
      <c r="B30" s="2990" t="s">
        <v>3550</v>
      </c>
      <c r="C30" s="2991">
        <v>62.08</v>
      </c>
      <c r="D30" s="2992">
        <v>43217</v>
      </c>
      <c r="E30" s="2992">
        <v>43333</v>
      </c>
      <c r="F30" s="2992">
        <v>44459</v>
      </c>
      <c r="G30" s="2992">
        <v>43333</v>
      </c>
      <c r="H30" s="2992"/>
      <c r="I30" s="2993">
        <v>1126</v>
      </c>
      <c r="J30" s="2993">
        <v>0</v>
      </c>
      <c r="K30" s="2994">
        <v>421.29730000000001</v>
      </c>
      <c r="L30" s="2988">
        <f t="shared" si="0"/>
        <v>313849.63660800003</v>
      </c>
      <c r="M30" s="2994">
        <v>75.043599999999998</v>
      </c>
      <c r="N30" s="2994">
        <v>311.33330000000001</v>
      </c>
      <c r="O30" s="2988">
        <f t="shared" si="1"/>
        <v>231930.85516799998</v>
      </c>
      <c r="P30" s="2994">
        <v>967703.04000000004</v>
      </c>
      <c r="Q30" s="2994">
        <v>172372.13</v>
      </c>
      <c r="R30" s="2994">
        <v>33523.199999999997</v>
      </c>
      <c r="S30" s="2994">
        <v>21600</v>
      </c>
    </row>
    <row r="31" spans="1:19" s="2989" customFormat="1" ht="13.5" customHeight="1">
      <c r="A31" s="2989">
        <v>29</v>
      </c>
      <c r="B31" s="2990" t="s">
        <v>3550</v>
      </c>
      <c r="C31" s="2991">
        <v>51.43</v>
      </c>
      <c r="D31" s="2992">
        <v>43217</v>
      </c>
      <c r="E31" s="2992">
        <v>43333</v>
      </c>
      <c r="F31" s="2992">
        <v>44459</v>
      </c>
      <c r="G31" s="2992">
        <v>43333</v>
      </c>
      <c r="H31" s="2992"/>
      <c r="I31" s="2993">
        <v>1126</v>
      </c>
      <c r="J31" s="2993">
        <v>0</v>
      </c>
      <c r="K31" s="2994">
        <v>400.86489999999998</v>
      </c>
      <c r="L31" s="2988">
        <f t="shared" si="0"/>
        <v>247397.78168399999</v>
      </c>
      <c r="M31" s="2994">
        <v>75.043599999999998</v>
      </c>
      <c r="N31" s="2994">
        <v>296.66669999999999</v>
      </c>
      <c r="O31" s="2988">
        <f t="shared" si="1"/>
        <v>183090.820572</v>
      </c>
      <c r="P31" s="2994">
        <v>762809.76</v>
      </c>
      <c r="Q31" s="2994">
        <v>142801.20000000001</v>
      </c>
      <c r="R31" s="2994">
        <v>27772.2</v>
      </c>
      <c r="S31" s="2994">
        <v>21600</v>
      </c>
    </row>
    <row r="32" spans="1:19" s="2989" customFormat="1" ht="13.5" customHeight="1">
      <c r="A32" s="2989">
        <v>30</v>
      </c>
      <c r="B32" s="2990" t="s">
        <v>3550</v>
      </c>
      <c r="C32" s="2991">
        <v>219.98</v>
      </c>
      <c r="D32" s="2992">
        <v>43175</v>
      </c>
      <c r="E32" s="2992">
        <v>43302</v>
      </c>
      <c r="F32" s="2992">
        <v>44459</v>
      </c>
      <c r="G32" s="2992">
        <v>43302</v>
      </c>
      <c r="H32" s="2992"/>
      <c r="I32" s="2993">
        <v>1157</v>
      </c>
      <c r="J32" s="2993">
        <v>0</v>
      </c>
      <c r="K32" s="2994">
        <v>246.04419999999999</v>
      </c>
      <c r="L32" s="2988">
        <f t="shared" si="0"/>
        <v>649497.63739199995</v>
      </c>
      <c r="M32" s="2994">
        <v>75.042400000000001</v>
      </c>
      <c r="N32" s="2994">
        <v>186.6267</v>
      </c>
      <c r="O32" s="2988">
        <f t="shared" si="1"/>
        <v>492649.69759200001</v>
      </c>
      <c r="P32" s="2994">
        <v>2056742.6</v>
      </c>
      <c r="Q32" s="2994">
        <v>627297.81000000006</v>
      </c>
      <c r="R32" s="2994">
        <v>118789.2</v>
      </c>
      <c r="S32" s="2994">
        <v>0</v>
      </c>
    </row>
    <row r="33" spans="1:19" s="2989" customFormat="1" ht="13.5" customHeight="1">
      <c r="A33" s="2989">
        <v>31</v>
      </c>
      <c r="B33" s="2990" t="s">
        <v>3550</v>
      </c>
      <c r="C33" s="2991">
        <v>171.8</v>
      </c>
      <c r="D33" s="2992">
        <v>43224</v>
      </c>
      <c r="E33" s="2992">
        <v>43333</v>
      </c>
      <c r="F33" s="2992">
        <v>44459</v>
      </c>
      <c r="G33" s="2992">
        <v>43333</v>
      </c>
      <c r="H33" s="2992"/>
      <c r="I33" s="2993">
        <v>1126</v>
      </c>
      <c r="J33" s="2993">
        <v>0</v>
      </c>
      <c r="K33" s="2994">
        <v>315.89190000000002</v>
      </c>
      <c r="L33" s="2988">
        <f t="shared" si="0"/>
        <v>651242.74104000011</v>
      </c>
      <c r="M33" s="2994">
        <v>75.043599999999998</v>
      </c>
      <c r="N33" s="2994">
        <v>233.33340000000001</v>
      </c>
      <c r="O33" s="2988">
        <f t="shared" si="1"/>
        <v>481040.13744000008</v>
      </c>
      <c r="P33" s="2994">
        <v>2007998.4</v>
      </c>
      <c r="Q33" s="2994">
        <v>477022.1</v>
      </c>
      <c r="R33" s="2994">
        <v>92772</v>
      </c>
      <c r="S33" s="2994">
        <v>21600</v>
      </c>
    </row>
    <row r="34" spans="1:19" s="2989" customFormat="1" ht="13.5" customHeight="1">
      <c r="A34" s="2989">
        <v>32</v>
      </c>
      <c r="B34" s="2990" t="s">
        <v>3550</v>
      </c>
      <c r="C34" s="2991">
        <v>112.01</v>
      </c>
      <c r="D34" s="2992">
        <v>43167</v>
      </c>
      <c r="E34" s="2992">
        <v>43319</v>
      </c>
      <c r="F34" s="2992">
        <v>44459</v>
      </c>
      <c r="G34" s="2992">
        <v>43319</v>
      </c>
      <c r="H34" s="2992"/>
      <c r="I34" s="2993">
        <v>1140</v>
      </c>
      <c r="J34" s="2993">
        <v>0</v>
      </c>
      <c r="K34" s="2994">
        <v>343.80360000000002</v>
      </c>
      <c r="L34" s="2988">
        <f t="shared" si="0"/>
        <v>462113.29483200004</v>
      </c>
      <c r="M34" s="2994">
        <v>75.043099999999995</v>
      </c>
      <c r="N34" s="2994">
        <v>257.33339999999998</v>
      </c>
      <c r="O34" s="2988">
        <f t="shared" si="1"/>
        <v>345886.96960800001</v>
      </c>
      <c r="P34" s="2994">
        <v>1442240.76</v>
      </c>
      <c r="Q34" s="2994">
        <v>314802.3</v>
      </c>
      <c r="R34" s="2994">
        <v>60485.4</v>
      </c>
      <c r="S34" s="2994">
        <v>21600</v>
      </c>
    </row>
    <row r="35" spans="1:19" s="2989" customFormat="1" ht="13.5" customHeight="1">
      <c r="A35" s="2989">
        <v>33</v>
      </c>
      <c r="B35" s="2990" t="s">
        <v>3550</v>
      </c>
      <c r="C35" s="2991">
        <v>65.69</v>
      </c>
      <c r="D35" s="2992">
        <v>43187</v>
      </c>
      <c r="E35" s="2992">
        <v>43333</v>
      </c>
      <c r="F35" s="2992">
        <v>44094</v>
      </c>
      <c r="G35" s="2992">
        <v>43333</v>
      </c>
      <c r="H35" s="2992"/>
      <c r="I35" s="2993">
        <v>761</v>
      </c>
      <c r="J35" s="2993">
        <v>0</v>
      </c>
      <c r="K35" s="2994">
        <v>393.6</v>
      </c>
      <c r="L35" s="2988">
        <f t="shared" si="0"/>
        <v>310267.00799999997</v>
      </c>
      <c r="M35" s="2994">
        <v>75.064499999999995</v>
      </c>
      <c r="N35" s="2994">
        <v>286.66660000000002</v>
      </c>
      <c r="O35" s="2988">
        <f t="shared" si="1"/>
        <v>225973.547448</v>
      </c>
      <c r="P35" s="2994">
        <v>646389.6</v>
      </c>
      <c r="Q35" s="2994">
        <v>123274.7</v>
      </c>
      <c r="R35" s="2994">
        <v>23648.400000000001</v>
      </c>
      <c r="S35" s="2994">
        <v>14400</v>
      </c>
    </row>
    <row r="36" spans="1:19" s="2989" customFormat="1" ht="13.5" customHeight="1">
      <c r="A36" s="2989">
        <v>34</v>
      </c>
      <c r="B36" s="2990" t="s">
        <v>3550</v>
      </c>
      <c r="C36" s="2991">
        <v>356.44</v>
      </c>
      <c r="D36" s="2992">
        <v>43186</v>
      </c>
      <c r="E36" s="2992">
        <v>43319</v>
      </c>
      <c r="F36" s="2992">
        <v>45189</v>
      </c>
      <c r="G36" s="2992">
        <v>43319</v>
      </c>
      <c r="H36" s="2992"/>
      <c r="I36" s="2993">
        <v>1870</v>
      </c>
      <c r="J36" s="2993">
        <v>0</v>
      </c>
      <c r="K36" s="2994">
        <v>183.7543</v>
      </c>
      <c r="L36" s="2988">
        <f t="shared" si="0"/>
        <v>785968.59230399993</v>
      </c>
      <c r="M36" s="2994">
        <v>73.468100000000007</v>
      </c>
      <c r="N36" s="2994">
        <v>146</v>
      </c>
      <c r="O36" s="2988">
        <f t="shared" si="1"/>
        <v>624482.88</v>
      </c>
      <c r="P36" s="2994">
        <v>4024920.48</v>
      </c>
      <c r="Q36" s="2994">
        <v>1609230.78</v>
      </c>
      <c r="R36" s="2994">
        <v>320796</v>
      </c>
      <c r="S36" s="2994">
        <v>0</v>
      </c>
    </row>
    <row r="37" spans="1:19" s="2989" customFormat="1" ht="13.5" customHeight="1">
      <c r="A37" s="2989">
        <v>35</v>
      </c>
      <c r="B37" s="2990" t="s">
        <v>3550</v>
      </c>
      <c r="C37" s="2991">
        <v>67.72</v>
      </c>
      <c r="D37" s="2992">
        <v>43098</v>
      </c>
      <c r="E37" s="2992">
        <v>43333</v>
      </c>
      <c r="F37" s="2992">
        <v>44094</v>
      </c>
      <c r="G37" s="2992">
        <v>43333</v>
      </c>
      <c r="H37" s="2992"/>
      <c r="I37" s="2993">
        <v>761</v>
      </c>
      <c r="J37" s="2993">
        <v>0</v>
      </c>
      <c r="K37" s="2994">
        <v>399.36</v>
      </c>
      <c r="L37" s="2988">
        <f t="shared" si="0"/>
        <v>324535.91040000005</v>
      </c>
      <c r="M37" s="2994">
        <v>75.064499999999995</v>
      </c>
      <c r="N37" s="2994">
        <v>288</v>
      </c>
      <c r="O37" s="2988">
        <f t="shared" si="1"/>
        <v>234040.32000000001</v>
      </c>
      <c r="P37" s="2994">
        <v>676116.47999999998</v>
      </c>
      <c r="Q37" s="2994">
        <v>127084.23</v>
      </c>
      <c r="R37" s="2994">
        <v>24379.200000000001</v>
      </c>
      <c r="S37" s="2994">
        <v>0</v>
      </c>
    </row>
    <row r="38" spans="1:19" s="2989" customFormat="1" ht="13.5" customHeight="1">
      <c r="A38" s="2989">
        <v>36</v>
      </c>
      <c r="B38" s="2990" t="s">
        <v>3550</v>
      </c>
      <c r="C38" s="2991">
        <v>64.930000000000007</v>
      </c>
      <c r="D38" s="2992">
        <v>43160</v>
      </c>
      <c r="E38" s="2992">
        <v>43333</v>
      </c>
      <c r="F38" s="2992">
        <v>44459</v>
      </c>
      <c r="G38" s="2992">
        <v>43333</v>
      </c>
      <c r="H38" s="2992"/>
      <c r="I38" s="2993">
        <v>1126</v>
      </c>
      <c r="J38" s="2993">
        <v>0</v>
      </c>
      <c r="K38" s="2994">
        <v>442.70269999999999</v>
      </c>
      <c r="L38" s="2988">
        <f t="shared" si="0"/>
        <v>344936.23573200003</v>
      </c>
      <c r="M38" s="2994">
        <v>75.043599999999998</v>
      </c>
      <c r="N38" s="2994">
        <v>327.33330000000001</v>
      </c>
      <c r="O38" s="2988">
        <f t="shared" si="1"/>
        <v>255045.01402800003</v>
      </c>
      <c r="P38" s="2994">
        <v>1063553.3899999999</v>
      </c>
      <c r="Q38" s="2994">
        <v>180285.48</v>
      </c>
      <c r="R38" s="2994">
        <v>35062.199999999997</v>
      </c>
      <c r="S38" s="2994">
        <v>21600</v>
      </c>
    </row>
    <row r="39" spans="1:19" s="2989" customFormat="1" ht="13.5" customHeight="1">
      <c r="A39" s="2989">
        <v>37</v>
      </c>
      <c r="B39" s="2990" t="s">
        <v>3550</v>
      </c>
      <c r="C39" s="2991">
        <v>389</v>
      </c>
      <c r="D39" s="2992">
        <v>43098</v>
      </c>
      <c r="E39" s="2992">
        <v>43272</v>
      </c>
      <c r="F39" s="2992">
        <v>46285</v>
      </c>
      <c r="G39" s="2992">
        <v>43364</v>
      </c>
      <c r="H39" s="2992"/>
      <c r="I39" s="2993">
        <v>3013</v>
      </c>
      <c r="J39" s="2993">
        <v>0</v>
      </c>
      <c r="K39" s="2994">
        <v>47.375</v>
      </c>
      <c r="L39" s="2988">
        <f t="shared" si="0"/>
        <v>221146.5</v>
      </c>
      <c r="M39" s="2994">
        <v>30</v>
      </c>
      <c r="N39" s="2994">
        <v>33.333300000000001</v>
      </c>
      <c r="O39" s="2988">
        <f t="shared" si="1"/>
        <v>155599.8444</v>
      </c>
      <c r="P39" s="2994">
        <v>1769172</v>
      </c>
      <c r="Q39" s="2994">
        <v>1120320</v>
      </c>
      <c r="R39" s="2994">
        <v>0</v>
      </c>
      <c r="S39" s="2994">
        <v>0</v>
      </c>
    </row>
    <row r="40" spans="1:19" s="2989" customFormat="1" ht="13.5" customHeight="1">
      <c r="A40" s="2989">
        <v>38</v>
      </c>
      <c r="B40" s="2990" t="s">
        <v>3550</v>
      </c>
      <c r="C40" s="2991">
        <v>128</v>
      </c>
      <c r="D40" s="2992">
        <v>43098</v>
      </c>
      <c r="E40" s="2992">
        <v>43272</v>
      </c>
      <c r="F40" s="2992">
        <v>46285</v>
      </c>
      <c r="G40" s="2992">
        <v>43364</v>
      </c>
      <c r="H40" s="2992"/>
      <c r="I40" s="2993">
        <v>3013</v>
      </c>
      <c r="J40" s="2993">
        <v>0</v>
      </c>
      <c r="K40" s="2994">
        <v>47.375</v>
      </c>
      <c r="L40" s="2988">
        <f t="shared" si="0"/>
        <v>72768</v>
      </c>
      <c r="M40" s="2994">
        <v>30</v>
      </c>
      <c r="N40" s="2994">
        <v>33.333399999999997</v>
      </c>
      <c r="O40" s="2988">
        <f t="shared" si="1"/>
        <v>51200.102399999996</v>
      </c>
      <c r="P40" s="2994">
        <v>582144</v>
      </c>
      <c r="Q40" s="2994">
        <v>368640</v>
      </c>
      <c r="R40" s="2994">
        <v>0</v>
      </c>
      <c r="S40" s="2994">
        <v>0</v>
      </c>
    </row>
    <row r="41" spans="1:19" s="2995" customFormat="1" ht="13.5" customHeight="1">
      <c r="A41" s="2995">
        <v>39</v>
      </c>
      <c r="B41" s="2996" t="s">
        <v>3551</v>
      </c>
      <c r="C41" s="2997">
        <v>830.41</v>
      </c>
      <c r="D41" s="2998">
        <v>43098</v>
      </c>
      <c r="E41" s="2998">
        <v>43272</v>
      </c>
      <c r="F41" s="2998">
        <v>45189</v>
      </c>
      <c r="G41" s="2998">
        <v>43272</v>
      </c>
      <c r="H41" s="2998"/>
      <c r="I41" s="2999">
        <v>1917</v>
      </c>
      <c r="J41" s="2999">
        <v>0</v>
      </c>
      <c r="K41" s="3000">
        <v>190.66669999999999</v>
      </c>
      <c r="L41" s="2988">
        <f t="shared" si="0"/>
        <v>1899978.4121639999</v>
      </c>
      <c r="M41" s="3000">
        <v>75</v>
      </c>
      <c r="N41" s="3000">
        <v>155.33330000000001</v>
      </c>
      <c r="O41" s="2988">
        <f t="shared" si="1"/>
        <v>1547883.907836</v>
      </c>
      <c r="P41" s="3000">
        <v>9974884.9199999999</v>
      </c>
      <c r="Q41" s="3000">
        <v>3923687.25</v>
      </c>
      <c r="R41" s="3000">
        <v>747369</v>
      </c>
      <c r="S41" s="3000">
        <v>36000</v>
      </c>
    </row>
    <row r="42" spans="1:19" s="2995" customFormat="1" ht="13.5" customHeight="1">
      <c r="A42" s="2995">
        <v>40</v>
      </c>
      <c r="B42" s="2996" t="s">
        <v>3551</v>
      </c>
      <c r="C42" s="2997">
        <v>95.92</v>
      </c>
      <c r="D42" s="2998">
        <v>43124</v>
      </c>
      <c r="E42" s="2998">
        <v>43333</v>
      </c>
      <c r="F42" s="2998">
        <v>44094</v>
      </c>
      <c r="G42" s="2998">
        <v>43333</v>
      </c>
      <c r="H42" s="2998"/>
      <c r="I42" s="2999">
        <v>761</v>
      </c>
      <c r="J42" s="2999">
        <v>0</v>
      </c>
      <c r="K42" s="3000">
        <v>314.88</v>
      </c>
      <c r="L42" s="2988">
        <f t="shared" si="0"/>
        <v>362439.47519999999</v>
      </c>
      <c r="M42" s="3000">
        <v>75.064499999999995</v>
      </c>
      <c r="N42" s="3000">
        <v>227.33330000000001</v>
      </c>
      <c r="O42" s="2988">
        <f t="shared" si="1"/>
        <v>261669.721632</v>
      </c>
      <c r="P42" s="3000">
        <v>755082.23999999999</v>
      </c>
      <c r="Q42" s="3000">
        <v>180004.71</v>
      </c>
      <c r="R42" s="3000">
        <v>34531.199999999997</v>
      </c>
      <c r="S42" s="3000">
        <v>14400</v>
      </c>
    </row>
    <row r="43" spans="1:19" s="2995" customFormat="1" ht="13.5" customHeight="1">
      <c r="A43" s="2995">
        <v>41</v>
      </c>
      <c r="B43" s="2996" t="s">
        <v>3551</v>
      </c>
      <c r="C43" s="2997">
        <v>96.94</v>
      </c>
      <c r="D43" s="2998">
        <v>43139</v>
      </c>
      <c r="E43" s="2998">
        <v>43333</v>
      </c>
      <c r="F43" s="2998">
        <v>44459</v>
      </c>
      <c r="G43" s="2998">
        <v>43333</v>
      </c>
      <c r="H43" s="2998"/>
      <c r="I43" s="2999">
        <v>1126</v>
      </c>
      <c r="J43" s="2999">
        <v>0</v>
      </c>
      <c r="K43" s="3000">
        <v>337.6216</v>
      </c>
      <c r="L43" s="2988">
        <f t="shared" si="0"/>
        <v>392748.45484800002</v>
      </c>
      <c r="M43" s="3000">
        <v>75.043599999999998</v>
      </c>
      <c r="N43" s="3000">
        <v>250</v>
      </c>
      <c r="O43" s="2988">
        <f t="shared" si="1"/>
        <v>290820</v>
      </c>
      <c r="P43" s="3000">
        <v>1210974.49</v>
      </c>
      <c r="Q43" s="3000">
        <v>269164.84999999998</v>
      </c>
      <c r="R43" s="3000">
        <v>52347.6</v>
      </c>
      <c r="S43" s="3000">
        <v>21600</v>
      </c>
    </row>
    <row r="44" spans="1:19" s="2995" customFormat="1" ht="13.5" customHeight="1">
      <c r="A44" s="2995">
        <v>42</v>
      </c>
      <c r="B44" s="2996" t="s">
        <v>3551</v>
      </c>
      <c r="C44" s="2997">
        <v>331.2</v>
      </c>
      <c r="D44" s="2998">
        <v>43180</v>
      </c>
      <c r="E44" s="2998">
        <v>43319</v>
      </c>
      <c r="F44" s="2998">
        <v>45189</v>
      </c>
      <c r="G44" s="2998">
        <v>43319</v>
      </c>
      <c r="H44" s="2998"/>
      <c r="I44" s="2999">
        <v>1870</v>
      </c>
      <c r="J44" s="2999">
        <v>0</v>
      </c>
      <c r="K44" s="3000">
        <v>183.7543</v>
      </c>
      <c r="L44" s="2988">
        <f t="shared" si="0"/>
        <v>730313.08991999994</v>
      </c>
      <c r="M44" s="3000">
        <v>73.468100000000007</v>
      </c>
      <c r="N44" s="3000">
        <v>146</v>
      </c>
      <c r="O44" s="2988">
        <f t="shared" si="1"/>
        <v>580262.39999999991</v>
      </c>
      <c r="P44" s="3000">
        <v>3739910.4</v>
      </c>
      <c r="Q44" s="3000">
        <v>1495278.97</v>
      </c>
      <c r="R44" s="3000">
        <v>298080</v>
      </c>
      <c r="S44" s="3000">
        <v>0</v>
      </c>
    </row>
    <row r="45" spans="1:19" s="2995" customFormat="1" ht="13.5" customHeight="1">
      <c r="A45" s="2995">
        <v>43</v>
      </c>
      <c r="B45" s="2996" t="s">
        <v>3551</v>
      </c>
      <c r="C45" s="2997">
        <v>123.08</v>
      </c>
      <c r="D45" s="2998">
        <v>43098</v>
      </c>
      <c r="E45" s="2998">
        <v>43333</v>
      </c>
      <c r="F45" s="2998">
        <v>44459</v>
      </c>
      <c r="G45" s="2998">
        <v>43333</v>
      </c>
      <c r="H45" s="2998"/>
      <c r="I45" s="2999">
        <v>1126</v>
      </c>
      <c r="J45" s="2999">
        <v>0</v>
      </c>
      <c r="K45" s="3000">
        <v>294.81079999999997</v>
      </c>
      <c r="L45" s="2988">
        <f t="shared" si="0"/>
        <v>435423.75916799996</v>
      </c>
      <c r="M45" s="3000">
        <v>75.043599999999998</v>
      </c>
      <c r="N45" s="3000">
        <v>217.73330000000001</v>
      </c>
      <c r="O45" s="2988">
        <f t="shared" si="1"/>
        <v>321583.37476800004</v>
      </c>
      <c r="P45" s="3000">
        <v>1342556.64</v>
      </c>
      <c r="Q45" s="3000">
        <v>341745.52</v>
      </c>
      <c r="R45" s="3000">
        <v>66463.199999999997</v>
      </c>
      <c r="S45" s="3000">
        <v>21600</v>
      </c>
    </row>
    <row r="46" spans="1:19" s="2995" customFormat="1" ht="13.5" customHeight="1">
      <c r="A46" s="2995">
        <v>44</v>
      </c>
      <c r="B46" s="2996" t="s">
        <v>3551</v>
      </c>
      <c r="C46" s="2997">
        <v>184.68</v>
      </c>
      <c r="D46" s="2998">
        <v>43180</v>
      </c>
      <c r="E46" s="2998">
        <v>43333</v>
      </c>
      <c r="F46" s="2998">
        <v>44459</v>
      </c>
      <c r="G46" s="2998">
        <v>43333</v>
      </c>
      <c r="H46" s="2998"/>
      <c r="I46" s="2999">
        <v>1126</v>
      </c>
      <c r="J46" s="2999">
        <v>0</v>
      </c>
      <c r="K46" s="3000">
        <v>268.6703</v>
      </c>
      <c r="L46" s="2988">
        <f t="shared" si="0"/>
        <v>595416.37204800011</v>
      </c>
      <c r="M46" s="3000">
        <v>75.043599999999998</v>
      </c>
      <c r="N46" s="3000">
        <v>198.66669999999999</v>
      </c>
      <c r="O46" s="2988">
        <f t="shared" si="1"/>
        <v>440277.19387199997</v>
      </c>
      <c r="P46" s="3000">
        <v>1835866.95</v>
      </c>
      <c r="Q46" s="3000">
        <v>512784.87</v>
      </c>
      <c r="R46" s="3000">
        <v>99727.2</v>
      </c>
      <c r="S46" s="3000">
        <v>0</v>
      </c>
    </row>
    <row r="47" spans="1:19" s="2995" customFormat="1" ht="13.5" customHeight="1">
      <c r="A47" s="2995">
        <v>45</v>
      </c>
      <c r="B47" s="2996" t="s">
        <v>3551</v>
      </c>
      <c r="C47" s="2997">
        <v>524.11</v>
      </c>
      <c r="D47" s="2998">
        <v>43189</v>
      </c>
      <c r="E47" s="2998">
        <v>43302</v>
      </c>
      <c r="F47" s="2998">
        <v>44824</v>
      </c>
      <c r="G47" s="2998">
        <v>43302</v>
      </c>
      <c r="H47" s="2998"/>
      <c r="I47" s="2999">
        <v>1522</v>
      </c>
      <c r="J47" s="2999">
        <v>0</v>
      </c>
      <c r="K47" s="3000">
        <v>201.69839999999999</v>
      </c>
      <c r="L47" s="2988">
        <f t="shared" si="0"/>
        <v>1268545.7810879999</v>
      </c>
      <c r="M47" s="3000">
        <v>75.032300000000006</v>
      </c>
      <c r="N47" s="3000">
        <v>156.63339999999999</v>
      </c>
      <c r="O47" s="2988">
        <f t="shared" si="1"/>
        <v>985117.57528800005</v>
      </c>
      <c r="P47" s="3000">
        <v>5285607.4400000004</v>
      </c>
      <c r="Q47" s="3000">
        <v>1966257.84</v>
      </c>
      <c r="R47" s="3000">
        <v>377359.2</v>
      </c>
      <c r="S47" s="3000">
        <v>0</v>
      </c>
    </row>
    <row r="48" spans="1:19" s="2995" customFormat="1" ht="13.5" customHeight="1">
      <c r="A48" s="2995">
        <v>46</v>
      </c>
      <c r="B48" s="2996" t="s">
        <v>3551</v>
      </c>
      <c r="C48" s="2997">
        <v>153.22999999999999</v>
      </c>
      <c r="D48" s="2998">
        <v>43160</v>
      </c>
      <c r="E48" s="2998">
        <v>43333</v>
      </c>
      <c r="F48" s="2998">
        <v>44459</v>
      </c>
      <c r="G48" s="2998">
        <v>43333</v>
      </c>
      <c r="H48" s="2998"/>
      <c r="I48" s="2999">
        <v>1126</v>
      </c>
      <c r="J48" s="2999">
        <v>0</v>
      </c>
      <c r="K48" s="3000">
        <v>300.32429999999999</v>
      </c>
      <c r="L48" s="2988">
        <f t="shared" si="0"/>
        <v>552224.30986799998</v>
      </c>
      <c r="M48" s="3000">
        <v>75.043599999999998</v>
      </c>
      <c r="N48" s="3000">
        <v>222</v>
      </c>
      <c r="O48" s="2988">
        <f t="shared" si="1"/>
        <v>408204.72</v>
      </c>
      <c r="P48" s="3000">
        <v>1702691.76</v>
      </c>
      <c r="Q48" s="3000">
        <v>425460.4</v>
      </c>
      <c r="R48" s="3000">
        <v>82744.2</v>
      </c>
      <c r="S48" s="3000">
        <v>21600</v>
      </c>
    </row>
    <row r="49" spans="1:19" s="2995" customFormat="1" ht="13.5" customHeight="1">
      <c r="A49" s="2995">
        <v>47</v>
      </c>
      <c r="B49" s="2996" t="s">
        <v>3551</v>
      </c>
      <c r="C49" s="2997">
        <v>101.23</v>
      </c>
      <c r="D49" s="2998">
        <v>43186</v>
      </c>
      <c r="E49" s="2998">
        <v>43319</v>
      </c>
      <c r="F49" s="2998">
        <v>44459</v>
      </c>
      <c r="G49" s="2998">
        <v>43319</v>
      </c>
      <c r="H49" s="2998"/>
      <c r="I49" s="2999">
        <v>1140</v>
      </c>
      <c r="J49" s="2999">
        <v>0</v>
      </c>
      <c r="K49" s="3000">
        <v>312.08269999999999</v>
      </c>
      <c r="L49" s="2988">
        <f t="shared" si="0"/>
        <v>379105.58065200003</v>
      </c>
      <c r="M49" s="3000">
        <v>75.043099999999995</v>
      </c>
      <c r="N49" s="3000">
        <v>233.33330000000001</v>
      </c>
      <c r="O49" s="2988">
        <f t="shared" si="1"/>
        <v>283443.95950800006</v>
      </c>
      <c r="P49" s="3000">
        <v>1183176.24</v>
      </c>
      <c r="Q49" s="3000">
        <v>284505.28000000003</v>
      </c>
      <c r="R49" s="3000">
        <v>54664.2</v>
      </c>
      <c r="S49" s="3000">
        <v>21600</v>
      </c>
    </row>
    <row r="50" spans="1:19" s="2995" customFormat="1" ht="13.5" customHeight="1">
      <c r="A50" s="2995">
        <v>48</v>
      </c>
      <c r="B50" s="2996" t="s">
        <v>3551</v>
      </c>
      <c r="C50" s="2997">
        <v>58.28</v>
      </c>
      <c r="D50" s="2998">
        <v>43136</v>
      </c>
      <c r="E50" s="2998">
        <v>43333</v>
      </c>
      <c r="F50" s="2998">
        <v>44094</v>
      </c>
      <c r="G50" s="2998">
        <v>43333</v>
      </c>
      <c r="H50" s="2998"/>
      <c r="I50" s="2999">
        <v>761</v>
      </c>
      <c r="J50" s="2999">
        <v>0</v>
      </c>
      <c r="K50" s="3000">
        <v>432</v>
      </c>
      <c r="L50" s="2988">
        <f t="shared" si="0"/>
        <v>302123.52000000002</v>
      </c>
      <c r="M50" s="3000">
        <v>75.064499999999995</v>
      </c>
      <c r="N50" s="3000">
        <v>313.33339999999998</v>
      </c>
      <c r="O50" s="2988">
        <f t="shared" si="1"/>
        <v>219132.846624</v>
      </c>
      <c r="P50" s="3000">
        <v>629424.01</v>
      </c>
      <c r="Q50" s="3000">
        <v>109369</v>
      </c>
      <c r="R50" s="3000">
        <v>20980.799999999999</v>
      </c>
      <c r="S50" s="3000">
        <v>14400</v>
      </c>
    </row>
    <row r="51" spans="1:19" s="2995" customFormat="1" ht="13.5" customHeight="1">
      <c r="A51" s="2995">
        <v>49</v>
      </c>
      <c r="B51" s="2996" t="s">
        <v>3551</v>
      </c>
      <c r="C51" s="2997">
        <v>93.75</v>
      </c>
      <c r="D51" s="2998">
        <v>43098</v>
      </c>
      <c r="E51" s="2998">
        <v>43333</v>
      </c>
      <c r="F51" s="2998">
        <v>44459</v>
      </c>
      <c r="G51" s="2998">
        <v>43333</v>
      </c>
      <c r="H51" s="2998"/>
      <c r="I51" s="2999">
        <v>1126</v>
      </c>
      <c r="J51" s="2999">
        <v>0</v>
      </c>
      <c r="K51" s="3000">
        <v>336.92430000000002</v>
      </c>
      <c r="L51" s="2988">
        <f t="shared" si="0"/>
        <v>379039.83750000002</v>
      </c>
      <c r="M51" s="3000">
        <v>75.043599999999998</v>
      </c>
      <c r="N51" s="3000">
        <v>248.83330000000001</v>
      </c>
      <c r="O51" s="2988">
        <f t="shared" si="1"/>
        <v>279937.46250000002</v>
      </c>
      <c r="P51" s="3000">
        <v>1168706.24</v>
      </c>
      <c r="Q51" s="3000">
        <v>260307.46</v>
      </c>
      <c r="R51" s="3000">
        <v>50625</v>
      </c>
      <c r="S51" s="3000">
        <v>21600</v>
      </c>
    </row>
    <row r="52" spans="1:19" s="2995" customFormat="1" ht="13.5" customHeight="1">
      <c r="A52" s="2995">
        <v>50</v>
      </c>
      <c r="B52" s="2996" t="s">
        <v>3551</v>
      </c>
      <c r="C52" s="2997">
        <v>157.97</v>
      </c>
      <c r="D52" s="2998">
        <v>43189</v>
      </c>
      <c r="E52" s="2998">
        <v>43333</v>
      </c>
      <c r="F52" s="2998">
        <v>44459</v>
      </c>
      <c r="G52" s="2998">
        <v>43333</v>
      </c>
      <c r="H52" s="2998"/>
      <c r="I52" s="2999">
        <v>1126</v>
      </c>
      <c r="J52" s="2999">
        <v>0</v>
      </c>
      <c r="K52" s="3000">
        <v>269.83780000000002</v>
      </c>
      <c r="L52" s="2988">
        <f t="shared" si="0"/>
        <v>511515.32719200006</v>
      </c>
      <c r="M52" s="3000">
        <v>75.043599999999998</v>
      </c>
      <c r="N52" s="3000">
        <v>194.66659999999999</v>
      </c>
      <c r="O52" s="2988">
        <f t="shared" si="1"/>
        <v>369017.79362399998</v>
      </c>
      <c r="P52" s="3000">
        <v>1577172.48</v>
      </c>
      <c r="Q52" s="3000">
        <v>438621.54</v>
      </c>
      <c r="R52" s="3000">
        <v>85303.8</v>
      </c>
      <c r="S52" s="3000">
        <v>0</v>
      </c>
    </row>
    <row r="53" spans="1:19" s="2995" customFormat="1" ht="13.5" customHeight="1">
      <c r="A53" s="2995">
        <v>51</v>
      </c>
      <c r="B53" s="2996" t="s">
        <v>3551</v>
      </c>
      <c r="C53" s="2997">
        <v>376.88</v>
      </c>
      <c r="D53" s="2998">
        <v>43180</v>
      </c>
      <c r="E53" s="2998">
        <v>43319</v>
      </c>
      <c r="F53" s="2998">
        <v>45189</v>
      </c>
      <c r="G53" s="2998">
        <v>43319</v>
      </c>
      <c r="H53" s="2998"/>
      <c r="I53" s="2999">
        <v>1870</v>
      </c>
      <c r="J53" s="2999">
        <v>0</v>
      </c>
      <c r="K53" s="3000">
        <v>183.7543</v>
      </c>
      <c r="L53" s="2988">
        <f t="shared" si="0"/>
        <v>831039.84700800001</v>
      </c>
      <c r="M53" s="3000">
        <v>73.468100000000007</v>
      </c>
      <c r="N53" s="3000">
        <v>146</v>
      </c>
      <c r="O53" s="2988">
        <f t="shared" si="1"/>
        <v>660293.76</v>
      </c>
      <c r="P53" s="3000">
        <v>4255728.96</v>
      </c>
      <c r="Q53" s="3000">
        <v>1701511.89</v>
      </c>
      <c r="R53" s="3000">
        <v>339192</v>
      </c>
      <c r="S53" s="3000">
        <v>0</v>
      </c>
    </row>
    <row r="54" spans="1:19" s="2995" customFormat="1" ht="13.5" customHeight="1">
      <c r="A54" s="2995">
        <v>52</v>
      </c>
      <c r="B54" s="2996" t="s">
        <v>3551</v>
      </c>
      <c r="C54" s="2997">
        <v>275.36</v>
      </c>
      <c r="D54" s="2998">
        <v>43097</v>
      </c>
      <c r="E54" s="2998">
        <v>43302</v>
      </c>
      <c r="F54" s="2998">
        <v>44459</v>
      </c>
      <c r="G54" s="2998">
        <v>43302</v>
      </c>
      <c r="H54" s="2998"/>
      <c r="I54" s="2999">
        <v>1157</v>
      </c>
      <c r="J54" s="2999">
        <v>0</v>
      </c>
      <c r="K54" s="3000">
        <v>123.1579</v>
      </c>
      <c r="L54" s="2988">
        <f t="shared" si="0"/>
        <v>406953.11212800001</v>
      </c>
      <c r="M54" s="3000">
        <v>75.042400000000001</v>
      </c>
      <c r="N54" s="3000">
        <v>93.333299999999994</v>
      </c>
      <c r="O54" s="2988">
        <f t="shared" si="1"/>
        <v>308403.08985599998</v>
      </c>
      <c r="P54" s="3000">
        <v>1288684.81</v>
      </c>
      <c r="Q54" s="3000">
        <v>785220.13</v>
      </c>
      <c r="R54" s="3000">
        <v>148694.39999999999</v>
      </c>
      <c r="S54" s="3000">
        <v>21600</v>
      </c>
    </row>
    <row r="55" spans="1:19" s="2995" customFormat="1" ht="13.5" customHeight="1">
      <c r="A55" s="2995">
        <v>53</v>
      </c>
      <c r="B55" s="2996" t="s">
        <v>3551</v>
      </c>
      <c r="C55" s="2997">
        <v>65.77</v>
      </c>
      <c r="D55" s="2998">
        <v>43222</v>
      </c>
      <c r="E55" s="2998">
        <v>43333</v>
      </c>
      <c r="F55" s="2998">
        <v>44094</v>
      </c>
      <c r="G55" s="2998">
        <v>43333</v>
      </c>
      <c r="H55" s="2998"/>
      <c r="I55" s="2999">
        <v>761</v>
      </c>
      <c r="J55" s="2999">
        <v>0</v>
      </c>
      <c r="K55" s="3000">
        <v>312</v>
      </c>
      <c r="L55" s="2988">
        <f t="shared" si="0"/>
        <v>246242.87999999998</v>
      </c>
      <c r="M55" s="3000">
        <v>75.064499999999995</v>
      </c>
      <c r="N55" s="3000">
        <v>226.66669999999999</v>
      </c>
      <c r="O55" s="2988">
        <f t="shared" si="1"/>
        <v>178894.42630799999</v>
      </c>
      <c r="P55" s="3000">
        <v>513006</v>
      </c>
      <c r="Q55" s="3000">
        <v>123424.83</v>
      </c>
      <c r="R55" s="3000">
        <v>23677.200000000001</v>
      </c>
      <c r="S55" s="3000">
        <v>0</v>
      </c>
    </row>
    <row r="56" spans="1:19" s="2995" customFormat="1" ht="13.5" customHeight="1">
      <c r="A56" s="2995">
        <v>54</v>
      </c>
      <c r="B56" s="2996" t="s">
        <v>3551</v>
      </c>
      <c r="C56" s="2997">
        <v>432.81</v>
      </c>
      <c r="D56" s="2998">
        <v>43097</v>
      </c>
      <c r="E56" s="2998">
        <v>43272</v>
      </c>
      <c r="F56" s="2998">
        <v>44824</v>
      </c>
      <c r="G56" s="2998">
        <v>43272</v>
      </c>
      <c r="H56" s="2998"/>
      <c r="I56" s="2999">
        <v>1552</v>
      </c>
      <c r="J56" s="2999">
        <v>0</v>
      </c>
      <c r="K56" s="3000">
        <v>132.47059999999999</v>
      </c>
      <c r="L56" s="2988">
        <f t="shared" si="0"/>
        <v>688015.20463199995</v>
      </c>
      <c r="M56" s="3000">
        <v>75</v>
      </c>
      <c r="N56" s="3000">
        <v>101.33329999999999</v>
      </c>
      <c r="O56" s="2988">
        <f t="shared" si="1"/>
        <v>526296.786876</v>
      </c>
      <c r="P56" s="3000">
        <v>2924064.36</v>
      </c>
      <c r="Q56" s="3000">
        <v>1655498.25</v>
      </c>
      <c r="R56" s="3000">
        <v>311623.2</v>
      </c>
      <c r="S56" s="3000">
        <v>28800</v>
      </c>
    </row>
    <row r="57" spans="1:19" s="2995" customFormat="1" ht="13.5" customHeight="1">
      <c r="A57" s="2995">
        <v>55</v>
      </c>
      <c r="B57" s="2996" t="s">
        <v>3551</v>
      </c>
      <c r="C57" s="2997">
        <v>134.65</v>
      </c>
      <c r="D57" s="2998">
        <v>43188</v>
      </c>
      <c r="E57" s="2998">
        <v>43318</v>
      </c>
      <c r="F57" s="2998">
        <v>44459</v>
      </c>
      <c r="G57" s="2998">
        <v>43318</v>
      </c>
      <c r="H57" s="2998"/>
      <c r="I57" s="2999">
        <v>1141</v>
      </c>
      <c r="J57" s="2999">
        <v>0</v>
      </c>
      <c r="K57" s="3000">
        <v>192.08260000000001</v>
      </c>
      <c r="L57" s="2988">
        <f t="shared" si="0"/>
        <v>310367.06508000003</v>
      </c>
      <c r="M57" s="3000">
        <v>75.043000000000006</v>
      </c>
      <c r="N57" s="3000">
        <v>143.33330000000001</v>
      </c>
      <c r="O57" s="2988">
        <f t="shared" si="1"/>
        <v>231597.94614000004</v>
      </c>
      <c r="P57" s="3000">
        <v>969480</v>
      </c>
      <c r="Q57" s="3000">
        <v>378757.42</v>
      </c>
      <c r="R57" s="3000">
        <v>72711</v>
      </c>
      <c r="S57" s="3000">
        <v>21600</v>
      </c>
    </row>
    <row r="58" spans="1:19" s="2995" customFormat="1" ht="13.5" customHeight="1">
      <c r="A58" s="2995">
        <v>56</v>
      </c>
      <c r="B58" s="2996" t="s">
        <v>3551</v>
      </c>
      <c r="C58" s="2997">
        <v>39.06</v>
      </c>
      <c r="D58" s="2998">
        <v>43188</v>
      </c>
      <c r="E58" s="2998">
        <v>43333</v>
      </c>
      <c r="F58" s="2998">
        <v>44094</v>
      </c>
      <c r="G58" s="2998">
        <v>43333</v>
      </c>
      <c r="H58" s="2998"/>
      <c r="I58" s="2999">
        <v>761</v>
      </c>
      <c r="J58" s="2999">
        <v>0</v>
      </c>
      <c r="K58" s="3000">
        <v>449.28</v>
      </c>
      <c r="L58" s="2988">
        <f t="shared" si="0"/>
        <v>210586.52159999998</v>
      </c>
      <c r="M58" s="3000">
        <v>75.064499999999995</v>
      </c>
      <c r="N58" s="3000">
        <v>324</v>
      </c>
      <c r="O58" s="2988">
        <f t="shared" si="1"/>
        <v>151865.28</v>
      </c>
      <c r="P58" s="3000">
        <v>438721.92</v>
      </c>
      <c r="Q58" s="3000">
        <v>73300.5</v>
      </c>
      <c r="R58" s="3000">
        <v>14061.6</v>
      </c>
      <c r="S58" s="3000">
        <v>14400</v>
      </c>
    </row>
    <row r="59" spans="1:19" s="2995" customFormat="1" ht="13.5" customHeight="1">
      <c r="A59" s="2995">
        <v>57</v>
      </c>
      <c r="B59" s="2996" t="s">
        <v>3551</v>
      </c>
      <c r="C59" s="2997">
        <v>948.69</v>
      </c>
      <c r="D59" s="2998">
        <v>43077</v>
      </c>
      <c r="E59" s="2998">
        <v>43289</v>
      </c>
      <c r="F59" s="2998">
        <v>45189</v>
      </c>
      <c r="G59" s="2998">
        <v>43289</v>
      </c>
      <c r="H59" s="2998"/>
      <c r="I59" s="2999">
        <v>1900</v>
      </c>
      <c r="J59" s="2999">
        <v>0</v>
      </c>
      <c r="K59" s="3000">
        <v>96.220200000000006</v>
      </c>
      <c r="L59" s="2988">
        <f t="shared" si="0"/>
        <v>1095397.6984560001</v>
      </c>
      <c r="M59" s="3000">
        <v>75.025800000000004</v>
      </c>
      <c r="N59" s="3000">
        <v>74</v>
      </c>
      <c r="O59" s="2988">
        <f t="shared" si="1"/>
        <v>842436.72</v>
      </c>
      <c r="P59" s="3000">
        <v>5697832.1600000001</v>
      </c>
      <c r="Q59" s="3000">
        <v>4442776.4800000004</v>
      </c>
      <c r="R59" s="3000">
        <v>853821</v>
      </c>
      <c r="S59" s="3000">
        <v>0</v>
      </c>
    </row>
    <row r="60" spans="1:19" s="2995" customFormat="1" ht="13.5" customHeight="1">
      <c r="A60" s="2995">
        <v>58</v>
      </c>
      <c r="B60" s="2996" t="s">
        <v>3551</v>
      </c>
      <c r="C60" s="2997">
        <v>263.61</v>
      </c>
      <c r="D60" s="2998">
        <v>43091</v>
      </c>
      <c r="E60" s="2998">
        <v>43302</v>
      </c>
      <c r="F60" s="2998">
        <v>44824</v>
      </c>
      <c r="G60" s="2998">
        <v>43302</v>
      </c>
      <c r="H60" s="2998"/>
      <c r="I60" s="2999">
        <v>1522</v>
      </c>
      <c r="J60" s="2999">
        <v>0</v>
      </c>
      <c r="K60" s="3000">
        <v>187.2</v>
      </c>
      <c r="L60" s="2988">
        <f t="shared" si="0"/>
        <v>592173.50399999996</v>
      </c>
      <c r="M60" s="3000">
        <v>75.032300000000006</v>
      </c>
      <c r="N60" s="3000">
        <v>140</v>
      </c>
      <c r="O60" s="2988">
        <f t="shared" si="1"/>
        <v>442864.80000000005</v>
      </c>
      <c r="P60" s="3000">
        <v>2467389.6</v>
      </c>
      <c r="Q60" s="3000">
        <v>988962.68</v>
      </c>
      <c r="R60" s="3000">
        <v>189799.2</v>
      </c>
      <c r="S60" s="3000">
        <v>0</v>
      </c>
    </row>
    <row r="61" spans="1:19" s="2995" customFormat="1" ht="13.5" customHeight="1">
      <c r="A61" s="2995">
        <v>59</v>
      </c>
      <c r="B61" s="2996" t="s">
        <v>3551</v>
      </c>
      <c r="C61" s="2997">
        <v>345.88</v>
      </c>
      <c r="D61" s="2998">
        <v>43098</v>
      </c>
      <c r="E61" s="2998">
        <v>43302</v>
      </c>
      <c r="F61" s="2998">
        <v>44824</v>
      </c>
      <c r="G61" s="2998">
        <v>43302</v>
      </c>
      <c r="H61" s="2998"/>
      <c r="I61" s="2999">
        <v>1522</v>
      </c>
      <c r="J61" s="2999">
        <v>0</v>
      </c>
      <c r="K61" s="3000">
        <v>133.19999999999999</v>
      </c>
      <c r="L61" s="2988">
        <f t="shared" si="0"/>
        <v>552854.59199999995</v>
      </c>
      <c r="M61" s="3000">
        <v>75.032300000000006</v>
      </c>
      <c r="N61" s="3000">
        <v>100</v>
      </c>
      <c r="O61" s="2988">
        <f t="shared" si="1"/>
        <v>415056</v>
      </c>
      <c r="P61" s="3000">
        <v>2303560.7999999998</v>
      </c>
      <c r="Q61" s="3000">
        <v>1297607.8700000001</v>
      </c>
      <c r="R61" s="3000">
        <v>249033.60000000001</v>
      </c>
      <c r="S61" s="3000">
        <v>0</v>
      </c>
    </row>
    <row r="62" spans="1:19" s="2995" customFormat="1" ht="13.5" customHeight="1">
      <c r="A62" s="2995">
        <v>60</v>
      </c>
      <c r="B62" s="2996" t="s">
        <v>3551</v>
      </c>
      <c r="C62" s="2997">
        <v>135.57</v>
      </c>
      <c r="D62" s="2998">
        <v>43188</v>
      </c>
      <c r="E62" s="2998">
        <v>43333</v>
      </c>
      <c r="F62" s="2998">
        <v>44459</v>
      </c>
      <c r="G62" s="2998">
        <v>43333</v>
      </c>
      <c r="H62" s="2998"/>
      <c r="I62" s="2999">
        <v>1126</v>
      </c>
      <c r="J62" s="2999">
        <v>0</v>
      </c>
      <c r="K62" s="3000">
        <v>262.70269999999999</v>
      </c>
      <c r="L62" s="2988">
        <f t="shared" si="0"/>
        <v>427375.26046799996</v>
      </c>
      <c r="M62" s="3000">
        <v>75.043599999999998</v>
      </c>
      <c r="N62" s="3000">
        <v>200</v>
      </c>
      <c r="O62" s="2988">
        <f t="shared" si="1"/>
        <v>325368</v>
      </c>
      <c r="P62" s="3000">
        <v>1317740.3999999999</v>
      </c>
      <c r="Q62" s="3000">
        <v>376425.41</v>
      </c>
      <c r="R62" s="3000">
        <v>73207.8</v>
      </c>
      <c r="S62" s="3000">
        <v>0</v>
      </c>
    </row>
    <row r="63" spans="1:19" s="2995" customFormat="1" ht="13.5" customHeight="1">
      <c r="A63" s="2995">
        <v>61</v>
      </c>
      <c r="B63" s="2996" t="s">
        <v>3551</v>
      </c>
      <c r="C63" s="2997">
        <v>78.31</v>
      </c>
      <c r="D63" s="2998">
        <v>43098</v>
      </c>
      <c r="E63" s="2998">
        <v>43333</v>
      </c>
      <c r="F63" s="2998">
        <v>44459</v>
      </c>
      <c r="G63" s="2998">
        <v>43333</v>
      </c>
      <c r="H63" s="2998"/>
      <c r="I63" s="2999">
        <v>1126</v>
      </c>
      <c r="J63" s="2999">
        <v>0</v>
      </c>
      <c r="K63" s="3000">
        <v>306.72969999999998</v>
      </c>
      <c r="L63" s="2988">
        <f t="shared" si="0"/>
        <v>288240.03368400002</v>
      </c>
      <c r="M63" s="3000">
        <v>75.043599999999998</v>
      </c>
      <c r="N63" s="3000">
        <v>220.5001</v>
      </c>
      <c r="O63" s="2988">
        <f t="shared" si="1"/>
        <v>207208.35397200001</v>
      </c>
      <c r="P63" s="3000">
        <v>888740.2</v>
      </c>
      <c r="Q63" s="3000">
        <v>217436.56</v>
      </c>
      <c r="R63" s="3000">
        <v>42287.4</v>
      </c>
      <c r="S63" s="3000">
        <v>0</v>
      </c>
    </row>
    <row r="64" spans="1:19" s="2995" customFormat="1" ht="13.5" customHeight="1">
      <c r="A64" s="2995">
        <v>62</v>
      </c>
      <c r="B64" s="2996" t="s">
        <v>3551</v>
      </c>
      <c r="C64" s="2997">
        <v>25.85</v>
      </c>
      <c r="D64" s="2998">
        <v>43222</v>
      </c>
      <c r="E64" s="2998">
        <v>43333</v>
      </c>
      <c r="F64" s="2998">
        <v>44094</v>
      </c>
      <c r="G64" s="2998">
        <v>43333</v>
      </c>
      <c r="H64" s="2998"/>
      <c r="I64" s="2999">
        <v>761</v>
      </c>
      <c r="J64" s="2999">
        <v>0</v>
      </c>
      <c r="K64" s="3000">
        <v>446.4</v>
      </c>
      <c r="L64" s="2988">
        <f t="shared" si="0"/>
        <v>138473.28</v>
      </c>
      <c r="M64" s="3000">
        <v>75.064499999999995</v>
      </c>
      <c r="N64" s="3000">
        <v>320</v>
      </c>
      <c r="O64" s="2988">
        <f t="shared" si="1"/>
        <v>99264</v>
      </c>
      <c r="P64" s="3000">
        <v>288486</v>
      </c>
      <c r="Q64" s="3000">
        <v>48510.44</v>
      </c>
      <c r="R64" s="3000">
        <v>9306</v>
      </c>
      <c r="S64" s="3000">
        <v>14400</v>
      </c>
    </row>
    <row r="65" spans="1:19" s="2995" customFormat="1" ht="13.5" customHeight="1">
      <c r="A65" s="2995">
        <v>63</v>
      </c>
      <c r="B65" s="2996" t="s">
        <v>3551</v>
      </c>
      <c r="C65" s="2997">
        <v>505.21</v>
      </c>
      <c r="D65" s="2998">
        <v>43082</v>
      </c>
      <c r="E65" s="2998">
        <v>43302</v>
      </c>
      <c r="F65" s="2998">
        <v>45189</v>
      </c>
      <c r="G65" s="2998">
        <v>43302</v>
      </c>
      <c r="H65" s="2998"/>
      <c r="I65" s="2999">
        <v>1887</v>
      </c>
      <c r="J65" s="2999">
        <v>0</v>
      </c>
      <c r="K65" s="3000">
        <v>128.38059999999999</v>
      </c>
      <c r="L65" s="2988">
        <f t="shared" si="0"/>
        <v>778309.95511199988</v>
      </c>
      <c r="M65" s="3000">
        <v>75.025999999999996</v>
      </c>
      <c r="N65" s="3000">
        <v>97.333299999999994</v>
      </c>
      <c r="O65" s="2988">
        <f t="shared" si="1"/>
        <v>590085.07791599992</v>
      </c>
      <c r="P65" s="3000">
        <v>4021269.51</v>
      </c>
      <c r="Q65" s="3000">
        <v>2350041.35</v>
      </c>
      <c r="R65" s="3000">
        <v>454689</v>
      </c>
      <c r="S65" s="3000">
        <v>0</v>
      </c>
    </row>
    <row r="66" spans="1:19" s="2995" customFormat="1" ht="13.5" customHeight="1">
      <c r="A66" s="2995">
        <v>64</v>
      </c>
      <c r="B66" s="2996" t="s">
        <v>3551</v>
      </c>
      <c r="C66" s="2997">
        <v>115.69</v>
      </c>
      <c r="D66" s="2998">
        <v>43097</v>
      </c>
      <c r="E66" s="2998">
        <v>43333</v>
      </c>
      <c r="F66" s="2998">
        <v>44094</v>
      </c>
      <c r="G66" s="2998">
        <v>43333</v>
      </c>
      <c r="H66" s="2998"/>
      <c r="I66" s="2999">
        <v>761</v>
      </c>
      <c r="J66" s="2999">
        <v>0</v>
      </c>
      <c r="K66" s="3000">
        <v>299.52</v>
      </c>
      <c r="L66" s="2988">
        <f t="shared" si="0"/>
        <v>415817.62559999991</v>
      </c>
      <c r="M66" s="3000">
        <v>75.064499999999995</v>
      </c>
      <c r="N66" s="3000">
        <v>216</v>
      </c>
      <c r="O66" s="2988">
        <f t="shared" si="1"/>
        <v>299868.48</v>
      </c>
      <c r="P66" s="3000">
        <v>866286.72</v>
      </c>
      <c r="Q66" s="3000">
        <v>217105.35</v>
      </c>
      <c r="R66" s="3000">
        <v>41648.400000000001</v>
      </c>
      <c r="S66" s="3000">
        <v>14400</v>
      </c>
    </row>
    <row r="67" spans="1:19" s="2995" customFormat="1" ht="13.5" customHeight="1">
      <c r="A67" s="2995">
        <v>65</v>
      </c>
      <c r="B67" s="2996" t="s">
        <v>3551</v>
      </c>
      <c r="C67" s="2997">
        <v>439.83</v>
      </c>
      <c r="D67" s="2998">
        <v>43098</v>
      </c>
      <c r="E67" s="2998">
        <v>43319</v>
      </c>
      <c r="F67" s="2998">
        <v>45189</v>
      </c>
      <c r="G67" s="2998">
        <v>43319</v>
      </c>
      <c r="H67" s="2998"/>
      <c r="I67" s="2999">
        <v>1870</v>
      </c>
      <c r="J67" s="2999">
        <v>0</v>
      </c>
      <c r="K67" s="3000">
        <v>154.6739</v>
      </c>
      <c r="L67" s="2988">
        <f t="shared" si="0"/>
        <v>816362.657244</v>
      </c>
      <c r="M67" s="3000">
        <v>75.026200000000003</v>
      </c>
      <c r="N67" s="3000">
        <v>122.47329999999999</v>
      </c>
      <c r="O67" s="2988">
        <f t="shared" si="1"/>
        <v>646409.17846799991</v>
      </c>
      <c r="P67" s="3000">
        <v>4180566.49</v>
      </c>
      <c r="Q67" s="3000">
        <v>2027829.12</v>
      </c>
      <c r="R67" s="3000">
        <v>395847</v>
      </c>
      <c r="S67" s="3000">
        <v>0</v>
      </c>
    </row>
    <row r="68" spans="1:19" s="3001" customFormat="1" ht="13.5" customHeight="1">
      <c r="A68" s="3001">
        <v>66</v>
      </c>
      <c r="B68" s="3002" t="s">
        <v>3552</v>
      </c>
      <c r="C68" s="3003">
        <v>1117.05</v>
      </c>
      <c r="D68" s="3004">
        <v>43077</v>
      </c>
      <c r="E68" s="3004">
        <v>43272</v>
      </c>
      <c r="F68" s="3004">
        <v>45555</v>
      </c>
      <c r="G68" s="3004">
        <v>43272</v>
      </c>
      <c r="H68" s="3004"/>
      <c r="I68" s="3005">
        <v>2283</v>
      </c>
      <c r="J68" s="3005">
        <v>0</v>
      </c>
      <c r="K68" s="3006">
        <v>197.053</v>
      </c>
      <c r="L68" s="2988">
        <f t="shared" ref="L68:L131" si="2">K68*C68*12</f>
        <v>2641416.6437999997</v>
      </c>
      <c r="M68" s="3006">
        <v>75</v>
      </c>
      <c r="N68" s="3006">
        <v>150.53149999999999</v>
      </c>
      <c r="O68" s="2988">
        <f t="shared" ref="O68:O131" si="3">N68*C68*12</f>
        <v>2017814.5448999999</v>
      </c>
      <c r="P68" s="3006">
        <v>16508855.130000001</v>
      </c>
      <c r="Q68" s="3006">
        <v>6283406.25</v>
      </c>
      <c r="R68" s="3006">
        <v>1206414</v>
      </c>
      <c r="S68" s="3006">
        <v>86400</v>
      </c>
    </row>
    <row r="69" spans="1:19" s="3001" customFormat="1" ht="13.5" customHeight="1">
      <c r="A69" s="3001">
        <v>67</v>
      </c>
      <c r="B69" s="3002" t="s">
        <v>3552</v>
      </c>
      <c r="C69" s="3003">
        <v>97.21</v>
      </c>
      <c r="D69" s="3004">
        <v>43098</v>
      </c>
      <c r="E69" s="3004">
        <v>43333</v>
      </c>
      <c r="F69" s="3004">
        <v>44459</v>
      </c>
      <c r="G69" s="3004">
        <v>43333</v>
      </c>
      <c r="H69" s="3004"/>
      <c r="I69" s="3005">
        <v>1126</v>
      </c>
      <c r="J69" s="3005">
        <v>0</v>
      </c>
      <c r="K69" s="3006">
        <v>315.89190000000002</v>
      </c>
      <c r="L69" s="2988">
        <f t="shared" si="2"/>
        <v>368494.21918800002</v>
      </c>
      <c r="M69" s="3006">
        <v>75.043599999999998</v>
      </c>
      <c r="N69" s="3006">
        <v>233.33330000000001</v>
      </c>
      <c r="O69" s="2988">
        <f t="shared" si="3"/>
        <v>272187.96111600002</v>
      </c>
      <c r="P69" s="3006">
        <v>1136190.48</v>
      </c>
      <c r="Q69" s="3006">
        <v>269914.53999999998</v>
      </c>
      <c r="R69" s="3006">
        <v>52493.4</v>
      </c>
      <c r="S69" s="3006">
        <v>21600</v>
      </c>
    </row>
    <row r="70" spans="1:19" s="3001" customFormat="1" ht="13.5" customHeight="1">
      <c r="A70" s="3001">
        <v>68</v>
      </c>
      <c r="B70" s="3002" t="s">
        <v>3552</v>
      </c>
      <c r="C70" s="3003">
        <v>328.77</v>
      </c>
      <c r="D70" s="3004">
        <v>43200</v>
      </c>
      <c r="E70" s="3004">
        <v>43319</v>
      </c>
      <c r="F70" s="3004">
        <v>44459</v>
      </c>
      <c r="G70" s="3004">
        <v>43319</v>
      </c>
      <c r="H70" s="3004"/>
      <c r="I70" s="3005">
        <v>1140</v>
      </c>
      <c r="J70" s="3005">
        <v>0</v>
      </c>
      <c r="K70" s="3006">
        <v>250.24289999999999</v>
      </c>
      <c r="L70" s="2988">
        <f t="shared" si="2"/>
        <v>987268.29879599996</v>
      </c>
      <c r="M70" s="3006">
        <v>75.043099999999995</v>
      </c>
      <c r="N70" s="3006">
        <v>187.33330000000001</v>
      </c>
      <c r="O70" s="2988">
        <f t="shared" si="3"/>
        <v>739074.828492</v>
      </c>
      <c r="P70" s="3006">
        <v>3081232.44</v>
      </c>
      <c r="Q70" s="3006">
        <v>924002.78</v>
      </c>
      <c r="R70" s="3006">
        <v>177535.8</v>
      </c>
      <c r="S70" s="3006">
        <v>0</v>
      </c>
    </row>
    <row r="71" spans="1:19" s="3001" customFormat="1" ht="13.5" customHeight="1">
      <c r="A71" s="3001">
        <v>69</v>
      </c>
      <c r="B71" s="3002" t="s">
        <v>3552</v>
      </c>
      <c r="C71" s="3003">
        <v>123.07</v>
      </c>
      <c r="D71" s="3004">
        <v>43182</v>
      </c>
      <c r="E71" s="3004">
        <v>43333</v>
      </c>
      <c r="F71" s="3004">
        <v>44459</v>
      </c>
      <c r="G71" s="3004">
        <v>43333</v>
      </c>
      <c r="H71" s="3004"/>
      <c r="I71" s="3005">
        <v>1126</v>
      </c>
      <c r="J71" s="3005">
        <v>0</v>
      </c>
      <c r="K71" s="3006">
        <v>326.59460000000001</v>
      </c>
      <c r="L71" s="2988">
        <f t="shared" si="2"/>
        <v>482327.969064</v>
      </c>
      <c r="M71" s="3006">
        <v>75.043599999999998</v>
      </c>
      <c r="N71" s="3006">
        <v>241.33330000000001</v>
      </c>
      <c r="O71" s="2988">
        <f t="shared" si="3"/>
        <v>356410.67077199998</v>
      </c>
      <c r="P71" s="3006">
        <v>1487177.87</v>
      </c>
      <c r="Q71" s="3006">
        <v>341717.75</v>
      </c>
      <c r="R71" s="3006">
        <v>66457.8</v>
      </c>
      <c r="S71" s="3006">
        <v>21600</v>
      </c>
    </row>
    <row r="72" spans="1:19" s="3001" customFormat="1" ht="13.5" customHeight="1">
      <c r="A72" s="3001">
        <v>70</v>
      </c>
      <c r="B72" s="3002" t="s">
        <v>3552</v>
      </c>
      <c r="C72" s="3003">
        <v>163.44</v>
      </c>
      <c r="D72" s="3004">
        <v>43105</v>
      </c>
      <c r="E72" s="3004">
        <v>43315</v>
      </c>
      <c r="F72" s="3004">
        <v>44459</v>
      </c>
      <c r="G72" s="3004">
        <v>43315</v>
      </c>
      <c r="H72" s="3004"/>
      <c r="I72" s="3005">
        <v>1144</v>
      </c>
      <c r="J72" s="3005">
        <v>0</v>
      </c>
      <c r="K72" s="3006">
        <v>161.0616</v>
      </c>
      <c r="L72" s="2988">
        <f t="shared" si="2"/>
        <v>315886.89484800003</v>
      </c>
      <c r="M72" s="3006">
        <v>75.042900000000003</v>
      </c>
      <c r="N72" s="3006">
        <v>117.6</v>
      </c>
      <c r="O72" s="2988">
        <f t="shared" si="3"/>
        <v>230646.52799999999</v>
      </c>
      <c r="P72" s="3006">
        <v>989269.67</v>
      </c>
      <c r="Q72" s="3006">
        <v>460927.16</v>
      </c>
      <c r="R72" s="3006">
        <v>88257.600000000006</v>
      </c>
      <c r="S72" s="3006">
        <v>0</v>
      </c>
    </row>
    <row r="73" spans="1:19" s="3001" customFormat="1" ht="13.5" customHeight="1">
      <c r="A73" s="3001">
        <v>71</v>
      </c>
      <c r="B73" s="3002" t="s">
        <v>3552</v>
      </c>
      <c r="C73" s="3003">
        <v>61.89</v>
      </c>
      <c r="D73" s="3004">
        <v>43124</v>
      </c>
      <c r="E73" s="3004">
        <v>43333</v>
      </c>
      <c r="F73" s="3004">
        <v>44094</v>
      </c>
      <c r="G73" s="3004">
        <v>43333</v>
      </c>
      <c r="H73" s="3004"/>
      <c r="I73" s="3005">
        <v>761</v>
      </c>
      <c r="J73" s="3005">
        <v>0</v>
      </c>
      <c r="K73" s="3006">
        <v>354.24</v>
      </c>
      <c r="L73" s="2988">
        <f t="shared" si="2"/>
        <v>263086.9632</v>
      </c>
      <c r="M73" s="3006">
        <v>75.064499999999995</v>
      </c>
      <c r="N73" s="3006">
        <v>252</v>
      </c>
      <c r="O73" s="2988">
        <f t="shared" si="3"/>
        <v>187155.36000000002</v>
      </c>
      <c r="P73" s="3006">
        <v>548097.84</v>
      </c>
      <c r="Q73" s="3006">
        <v>116143.57</v>
      </c>
      <c r="R73" s="3006">
        <v>22280.400000000001</v>
      </c>
      <c r="S73" s="3006">
        <v>14400</v>
      </c>
    </row>
    <row r="74" spans="1:19" s="3001" customFormat="1" ht="13.5" customHeight="1">
      <c r="A74" s="3001">
        <v>72</v>
      </c>
      <c r="B74" s="3002" t="s">
        <v>3552</v>
      </c>
      <c r="C74" s="3003">
        <v>515.41</v>
      </c>
      <c r="D74" s="3004">
        <v>43084</v>
      </c>
      <c r="E74" s="3004">
        <v>43272</v>
      </c>
      <c r="F74" s="3004">
        <v>45189</v>
      </c>
      <c r="G74" s="3004">
        <v>43272</v>
      </c>
      <c r="H74" s="3004"/>
      <c r="I74" s="3005">
        <v>1917</v>
      </c>
      <c r="J74" s="3005">
        <v>0</v>
      </c>
      <c r="K74" s="3006">
        <v>113.6743</v>
      </c>
      <c r="L74" s="2988">
        <f t="shared" si="2"/>
        <v>703066.45155600004</v>
      </c>
      <c r="M74" s="3006">
        <v>30</v>
      </c>
      <c r="N74" s="3006">
        <v>87.526700000000005</v>
      </c>
      <c r="O74" s="2988">
        <f t="shared" si="3"/>
        <v>541345.63736399997</v>
      </c>
      <c r="P74" s="3006">
        <v>3691098.44</v>
      </c>
      <c r="Q74" s="3006">
        <v>974124.9</v>
      </c>
      <c r="R74" s="3006">
        <v>0</v>
      </c>
      <c r="S74" s="3006">
        <v>0</v>
      </c>
    </row>
    <row r="75" spans="1:19" s="3001" customFormat="1" ht="13.5" customHeight="1">
      <c r="A75" s="3001">
        <v>73</v>
      </c>
      <c r="B75" s="3002" t="s">
        <v>3552</v>
      </c>
      <c r="C75" s="3003">
        <v>78.83</v>
      </c>
      <c r="D75" s="3004">
        <v>43188</v>
      </c>
      <c r="E75" s="3004">
        <v>43333</v>
      </c>
      <c r="F75" s="3004">
        <v>44094</v>
      </c>
      <c r="G75" s="3004">
        <v>43333</v>
      </c>
      <c r="H75" s="3004"/>
      <c r="I75" s="3005">
        <v>761</v>
      </c>
      <c r="J75" s="3005">
        <v>0</v>
      </c>
      <c r="K75" s="3006">
        <v>269.56799999999998</v>
      </c>
      <c r="L75" s="2988">
        <f t="shared" si="2"/>
        <v>255000.54527999996</v>
      </c>
      <c r="M75" s="3006">
        <v>75.064499999999995</v>
      </c>
      <c r="N75" s="3006">
        <v>194.4</v>
      </c>
      <c r="O75" s="2988">
        <f t="shared" si="3"/>
        <v>183894.62400000001</v>
      </c>
      <c r="P75" s="3006">
        <v>531251.13</v>
      </c>
      <c r="Q75" s="3006">
        <v>147933.4</v>
      </c>
      <c r="R75" s="3006">
        <v>28378.799999999999</v>
      </c>
      <c r="S75" s="3006">
        <v>14400</v>
      </c>
    </row>
    <row r="76" spans="1:19" s="3001" customFormat="1" ht="13.5" customHeight="1">
      <c r="A76" s="3001">
        <v>74</v>
      </c>
      <c r="B76" s="3002" t="s">
        <v>3552</v>
      </c>
      <c r="C76" s="3003">
        <v>58.28</v>
      </c>
      <c r="D76" s="3004">
        <v>43188</v>
      </c>
      <c r="E76" s="3004">
        <v>43333</v>
      </c>
      <c r="F76" s="3004">
        <v>44094</v>
      </c>
      <c r="G76" s="3004">
        <v>43333</v>
      </c>
      <c r="H76" s="3004"/>
      <c r="I76" s="3005">
        <v>761</v>
      </c>
      <c r="J76" s="3005">
        <v>0</v>
      </c>
      <c r="K76" s="3006">
        <v>299.52</v>
      </c>
      <c r="L76" s="2988">
        <f t="shared" si="2"/>
        <v>209472.30720000001</v>
      </c>
      <c r="M76" s="3006">
        <v>75.064499999999995</v>
      </c>
      <c r="N76" s="3006">
        <v>216</v>
      </c>
      <c r="O76" s="2988">
        <f t="shared" si="3"/>
        <v>151061.76000000001</v>
      </c>
      <c r="P76" s="3006">
        <v>436400.64000000001</v>
      </c>
      <c r="Q76" s="3006">
        <v>109369</v>
      </c>
      <c r="R76" s="3006">
        <v>20980.799999999999</v>
      </c>
      <c r="S76" s="3006">
        <v>14400</v>
      </c>
    </row>
    <row r="77" spans="1:19" s="3001" customFormat="1" ht="13.5" customHeight="1">
      <c r="A77" s="3001">
        <v>75</v>
      </c>
      <c r="B77" s="3002" t="s">
        <v>3552</v>
      </c>
      <c r="C77" s="3003">
        <v>93.75</v>
      </c>
      <c r="D77" s="3004">
        <v>43098</v>
      </c>
      <c r="E77" s="3004">
        <v>43333</v>
      </c>
      <c r="F77" s="3004">
        <v>44094</v>
      </c>
      <c r="G77" s="3004">
        <v>43333</v>
      </c>
      <c r="H77" s="3004"/>
      <c r="I77" s="3005">
        <v>761</v>
      </c>
      <c r="J77" s="3005">
        <v>0</v>
      </c>
      <c r="K77" s="3006">
        <v>319.68</v>
      </c>
      <c r="L77" s="2988">
        <f t="shared" si="2"/>
        <v>359640</v>
      </c>
      <c r="M77" s="3006">
        <v>75.064499999999995</v>
      </c>
      <c r="N77" s="3006">
        <v>230.66669999999999</v>
      </c>
      <c r="O77" s="2988">
        <f t="shared" si="3"/>
        <v>259500.03749999998</v>
      </c>
      <c r="P77" s="3006">
        <v>749250</v>
      </c>
      <c r="Q77" s="3006">
        <v>175932.46</v>
      </c>
      <c r="R77" s="3006">
        <v>33750</v>
      </c>
      <c r="S77" s="3006">
        <v>14400</v>
      </c>
    </row>
    <row r="78" spans="1:19" s="3001" customFormat="1" ht="13.5" customHeight="1">
      <c r="A78" s="3001">
        <v>76</v>
      </c>
      <c r="B78" s="3002" t="s">
        <v>3552</v>
      </c>
      <c r="C78" s="3003">
        <v>71.739999999999995</v>
      </c>
      <c r="D78" s="3004">
        <v>43098</v>
      </c>
      <c r="E78" s="3004">
        <v>43333</v>
      </c>
      <c r="F78" s="3004">
        <v>44094</v>
      </c>
      <c r="G78" s="3004">
        <v>43333</v>
      </c>
      <c r="H78" s="3004"/>
      <c r="I78" s="3005">
        <v>761</v>
      </c>
      <c r="J78" s="3005">
        <v>0</v>
      </c>
      <c r="K78" s="3006">
        <v>348</v>
      </c>
      <c r="L78" s="2988">
        <f t="shared" si="2"/>
        <v>299586.24</v>
      </c>
      <c r="M78" s="3006">
        <v>75.064499999999995</v>
      </c>
      <c r="N78" s="3006">
        <v>253.33330000000001</v>
      </c>
      <c r="O78" s="2988">
        <f t="shared" si="3"/>
        <v>218089.57130399998</v>
      </c>
      <c r="P78" s="3006">
        <v>624138</v>
      </c>
      <c r="Q78" s="3006">
        <v>134628.21</v>
      </c>
      <c r="R78" s="3006">
        <v>25826.400000000001</v>
      </c>
      <c r="S78" s="3006">
        <v>14400</v>
      </c>
    </row>
    <row r="79" spans="1:19" s="3001" customFormat="1" ht="13.5" customHeight="1">
      <c r="A79" s="3001">
        <v>77</v>
      </c>
      <c r="B79" s="3002" t="s">
        <v>3552</v>
      </c>
      <c r="C79" s="3003">
        <v>152.21</v>
      </c>
      <c r="D79" s="3004">
        <v>43189</v>
      </c>
      <c r="E79" s="3004">
        <v>43302</v>
      </c>
      <c r="F79" s="3004">
        <v>44459</v>
      </c>
      <c r="G79" s="3004">
        <v>43302</v>
      </c>
      <c r="H79" s="3004"/>
      <c r="I79" s="3005">
        <v>1157</v>
      </c>
      <c r="J79" s="3005">
        <v>0</v>
      </c>
      <c r="K79" s="3006">
        <v>307.57889999999998</v>
      </c>
      <c r="L79" s="2988">
        <f t="shared" si="2"/>
        <v>561799.01242799999</v>
      </c>
      <c r="M79" s="3006">
        <v>75.042400000000001</v>
      </c>
      <c r="N79" s="3006">
        <v>233.33340000000001</v>
      </c>
      <c r="O79" s="2988">
        <f t="shared" si="3"/>
        <v>426188.12176800007</v>
      </c>
      <c r="P79" s="3006">
        <v>1779030.48</v>
      </c>
      <c r="Q79" s="3006">
        <v>434044</v>
      </c>
      <c r="R79" s="3006">
        <v>82193.399999999994</v>
      </c>
      <c r="S79" s="3006">
        <v>21600</v>
      </c>
    </row>
    <row r="80" spans="1:19" s="3001" customFormat="1" ht="13.5" customHeight="1">
      <c r="A80" s="3001">
        <v>78</v>
      </c>
      <c r="B80" s="3002" t="s">
        <v>3552</v>
      </c>
      <c r="C80" s="3003">
        <v>111.24</v>
      </c>
      <c r="D80" s="3004">
        <v>43165</v>
      </c>
      <c r="E80" s="3004">
        <v>43333</v>
      </c>
      <c r="F80" s="3004">
        <v>44459</v>
      </c>
      <c r="G80" s="3004">
        <v>43333</v>
      </c>
      <c r="H80" s="3004"/>
      <c r="I80" s="3005">
        <v>1126</v>
      </c>
      <c r="J80" s="3005">
        <v>0</v>
      </c>
      <c r="K80" s="3006">
        <v>348</v>
      </c>
      <c r="L80" s="2988">
        <f t="shared" si="2"/>
        <v>464538.24</v>
      </c>
      <c r="M80" s="3006">
        <v>75.043599999999998</v>
      </c>
      <c r="N80" s="3006">
        <v>257.33330000000001</v>
      </c>
      <c r="O80" s="2988">
        <f t="shared" si="3"/>
        <v>343509.07550399995</v>
      </c>
      <c r="P80" s="3006">
        <v>1432326.24</v>
      </c>
      <c r="Q80" s="3006">
        <v>308870.42</v>
      </c>
      <c r="R80" s="3006">
        <v>60069.599999999999</v>
      </c>
      <c r="S80" s="3006">
        <v>0</v>
      </c>
    </row>
    <row r="81" spans="1:19" s="3001" customFormat="1" ht="13.5" customHeight="1">
      <c r="A81" s="3001">
        <v>79</v>
      </c>
      <c r="B81" s="3002" t="s">
        <v>3552</v>
      </c>
      <c r="C81" s="3003">
        <v>369.51</v>
      </c>
      <c r="D81" s="3004">
        <v>43077</v>
      </c>
      <c r="E81" s="3004">
        <v>43272</v>
      </c>
      <c r="F81" s="3004">
        <v>45189</v>
      </c>
      <c r="G81" s="3004">
        <v>43272</v>
      </c>
      <c r="H81" s="3004"/>
      <c r="I81" s="3005">
        <v>1917</v>
      </c>
      <c r="J81" s="3005">
        <v>0</v>
      </c>
      <c r="K81" s="3006">
        <v>179.33699999999999</v>
      </c>
      <c r="L81" s="2988">
        <f t="shared" si="2"/>
        <v>795201.77843999979</v>
      </c>
      <c r="M81" s="3006">
        <v>75</v>
      </c>
      <c r="N81" s="3006">
        <v>146</v>
      </c>
      <c r="O81" s="2988">
        <f t="shared" si="3"/>
        <v>647381.52</v>
      </c>
      <c r="P81" s="3006">
        <v>4174810.2</v>
      </c>
      <c r="Q81" s="3006">
        <v>1745934.75</v>
      </c>
      <c r="R81" s="3006">
        <v>332559</v>
      </c>
      <c r="S81" s="3006">
        <v>36000</v>
      </c>
    </row>
    <row r="82" spans="1:19" s="3001" customFormat="1" ht="13.5" customHeight="1">
      <c r="A82" s="3001">
        <v>80</v>
      </c>
      <c r="B82" s="3002" t="s">
        <v>3552</v>
      </c>
      <c r="C82" s="3003">
        <v>55.8</v>
      </c>
      <c r="D82" s="3004">
        <v>43097</v>
      </c>
      <c r="E82" s="3004">
        <v>43333</v>
      </c>
      <c r="F82" s="3004">
        <v>44094</v>
      </c>
      <c r="G82" s="3004">
        <v>43333</v>
      </c>
      <c r="H82" s="3004"/>
      <c r="I82" s="3005">
        <v>761</v>
      </c>
      <c r="J82" s="3005">
        <v>0</v>
      </c>
      <c r="K82" s="3006">
        <v>331.2</v>
      </c>
      <c r="L82" s="2988">
        <f t="shared" si="2"/>
        <v>221771.51999999999</v>
      </c>
      <c r="M82" s="3006">
        <v>75.064499999999995</v>
      </c>
      <c r="N82" s="3006">
        <v>240</v>
      </c>
      <c r="O82" s="2988">
        <f t="shared" si="3"/>
        <v>160704</v>
      </c>
      <c r="P82" s="3006">
        <v>462024</v>
      </c>
      <c r="Q82" s="3006">
        <v>104715</v>
      </c>
      <c r="R82" s="3006">
        <v>20088</v>
      </c>
      <c r="S82" s="3006">
        <v>14400</v>
      </c>
    </row>
    <row r="83" spans="1:19" s="3001" customFormat="1" ht="13.5" customHeight="1">
      <c r="A83" s="3001">
        <v>81</v>
      </c>
      <c r="B83" s="3002" t="s">
        <v>3552</v>
      </c>
      <c r="C83" s="3003">
        <v>121.22</v>
      </c>
      <c r="D83" s="3004">
        <v>43077</v>
      </c>
      <c r="E83" s="3004">
        <v>43333</v>
      </c>
      <c r="F83" s="3004">
        <v>44459</v>
      </c>
      <c r="G83" s="3004">
        <v>43333</v>
      </c>
      <c r="H83" s="3004"/>
      <c r="I83" s="3005">
        <v>1126</v>
      </c>
      <c r="J83" s="3005">
        <v>0</v>
      </c>
      <c r="K83" s="3006">
        <v>379.45949999999999</v>
      </c>
      <c r="L83" s="2988">
        <f t="shared" si="2"/>
        <v>551976.96707999997</v>
      </c>
      <c r="M83" s="3006">
        <v>75.043599999999998</v>
      </c>
      <c r="N83" s="3006">
        <v>280.66660000000002</v>
      </c>
      <c r="O83" s="2988">
        <f t="shared" si="3"/>
        <v>408268.86302400008</v>
      </c>
      <c r="P83" s="3006">
        <v>1701928.79</v>
      </c>
      <c r="Q83" s="3006">
        <v>336581.02</v>
      </c>
      <c r="R83" s="3006">
        <v>65458.8</v>
      </c>
      <c r="S83" s="3006">
        <v>21600</v>
      </c>
    </row>
    <row r="84" spans="1:19" s="3001" customFormat="1" ht="13.5" customHeight="1">
      <c r="A84" s="3001">
        <v>82</v>
      </c>
      <c r="B84" s="3002" t="s">
        <v>3552</v>
      </c>
      <c r="C84" s="3003">
        <v>155.37</v>
      </c>
      <c r="D84" s="3004">
        <v>43098</v>
      </c>
      <c r="E84" s="3004">
        <v>43318</v>
      </c>
      <c r="F84" s="3004">
        <v>44094</v>
      </c>
      <c r="G84" s="3004">
        <v>43318</v>
      </c>
      <c r="H84" s="3004"/>
      <c r="I84" s="3005">
        <v>776</v>
      </c>
      <c r="J84" s="3005">
        <v>0</v>
      </c>
      <c r="K84" s="3006">
        <v>205.77719999999999</v>
      </c>
      <c r="L84" s="2988">
        <f t="shared" si="2"/>
        <v>383659.242768</v>
      </c>
      <c r="M84" s="3006">
        <v>75.063299999999998</v>
      </c>
      <c r="N84" s="3006">
        <v>151.33330000000001</v>
      </c>
      <c r="O84" s="2988">
        <f t="shared" si="3"/>
        <v>282151.85785200004</v>
      </c>
      <c r="P84" s="3006">
        <v>814760.28</v>
      </c>
      <c r="Q84" s="3006">
        <v>297207.77</v>
      </c>
      <c r="R84" s="3006">
        <v>55933.2</v>
      </c>
      <c r="S84" s="3006">
        <v>14400</v>
      </c>
    </row>
    <row r="85" spans="1:19" s="3001" customFormat="1" ht="13.5" customHeight="1">
      <c r="A85" s="3001">
        <v>83</v>
      </c>
      <c r="B85" s="3002" t="s">
        <v>3552</v>
      </c>
      <c r="C85" s="3003">
        <v>155.4</v>
      </c>
      <c r="D85" s="3004">
        <v>43097</v>
      </c>
      <c r="E85" s="3004">
        <v>43333</v>
      </c>
      <c r="F85" s="3004">
        <v>44094</v>
      </c>
      <c r="G85" s="3004">
        <v>43333</v>
      </c>
      <c r="H85" s="3004"/>
      <c r="I85" s="3005">
        <v>761</v>
      </c>
      <c r="J85" s="3005">
        <v>0</v>
      </c>
      <c r="K85" s="3006">
        <v>269.76</v>
      </c>
      <c r="L85" s="2988">
        <f t="shared" si="2"/>
        <v>503048.44799999997</v>
      </c>
      <c r="M85" s="3006">
        <v>75.064499999999995</v>
      </c>
      <c r="N85" s="3006">
        <v>194.66669999999999</v>
      </c>
      <c r="O85" s="2988">
        <f t="shared" si="3"/>
        <v>363014.46216</v>
      </c>
      <c r="P85" s="3006">
        <v>1048017.6</v>
      </c>
      <c r="Q85" s="3006">
        <v>291625.65000000002</v>
      </c>
      <c r="R85" s="3006">
        <v>55944</v>
      </c>
      <c r="S85" s="3006">
        <v>14400</v>
      </c>
    </row>
    <row r="86" spans="1:19" s="3001" customFormat="1" ht="13.5" customHeight="1">
      <c r="A86" s="3001">
        <v>84</v>
      </c>
      <c r="B86" s="3002" t="s">
        <v>3552</v>
      </c>
      <c r="C86" s="3003">
        <v>90.34</v>
      </c>
      <c r="D86" s="3004">
        <v>43189</v>
      </c>
      <c r="E86" s="3004">
        <v>43333</v>
      </c>
      <c r="F86" s="3004">
        <v>44459</v>
      </c>
      <c r="G86" s="3004">
        <v>43333</v>
      </c>
      <c r="H86" s="3004"/>
      <c r="I86" s="3005">
        <v>1126</v>
      </c>
      <c r="J86" s="3005">
        <v>0</v>
      </c>
      <c r="K86" s="3006">
        <v>315.86590000000001</v>
      </c>
      <c r="L86" s="2988">
        <f t="shared" si="2"/>
        <v>342423.90487200004</v>
      </c>
      <c r="M86" s="3006">
        <v>75.043599999999998</v>
      </c>
      <c r="N86" s="3006">
        <v>233.2801</v>
      </c>
      <c r="O86" s="2988">
        <f t="shared" si="3"/>
        <v>252894.29080800002</v>
      </c>
      <c r="P86" s="3006">
        <v>1055807.2</v>
      </c>
      <c r="Q86" s="3006">
        <v>250839.21</v>
      </c>
      <c r="R86" s="3006">
        <v>48783.6</v>
      </c>
      <c r="S86" s="3006">
        <v>0</v>
      </c>
    </row>
    <row r="87" spans="1:19" s="3001" customFormat="1" ht="13.5" customHeight="1">
      <c r="A87" s="3001">
        <v>85</v>
      </c>
      <c r="B87" s="3002" t="s">
        <v>3552</v>
      </c>
      <c r="C87" s="3003">
        <v>431.27</v>
      </c>
      <c r="D87" s="3004">
        <v>43097</v>
      </c>
      <c r="E87" s="3004">
        <v>43302</v>
      </c>
      <c r="F87" s="3004">
        <v>45189</v>
      </c>
      <c r="G87" s="3004">
        <v>43302</v>
      </c>
      <c r="H87" s="3004"/>
      <c r="I87" s="3005">
        <v>1887</v>
      </c>
      <c r="J87" s="3005">
        <v>0</v>
      </c>
      <c r="K87" s="3006">
        <v>141.94839999999999</v>
      </c>
      <c r="L87" s="2988">
        <f t="shared" si="2"/>
        <v>734617.03761599993</v>
      </c>
      <c r="M87" s="3006">
        <v>75.025999999999996</v>
      </c>
      <c r="N87" s="3006">
        <v>113.4</v>
      </c>
      <c r="O87" s="2988">
        <f t="shared" si="3"/>
        <v>586872.21600000001</v>
      </c>
      <c r="P87" s="3006">
        <v>3795521.03</v>
      </c>
      <c r="Q87" s="3006">
        <v>2006101.1</v>
      </c>
      <c r="R87" s="3006">
        <v>388143</v>
      </c>
      <c r="S87" s="3006">
        <v>0</v>
      </c>
    </row>
    <row r="88" spans="1:19" s="3001" customFormat="1" ht="13.5" customHeight="1">
      <c r="A88" s="3001">
        <v>86</v>
      </c>
      <c r="B88" s="3002" t="s">
        <v>3552</v>
      </c>
      <c r="C88" s="3003">
        <v>373.97</v>
      </c>
      <c r="D88" s="3004">
        <v>43186</v>
      </c>
      <c r="E88" s="3004">
        <v>43302</v>
      </c>
      <c r="F88" s="3004">
        <v>44824</v>
      </c>
      <c r="G88" s="3004">
        <v>43302</v>
      </c>
      <c r="H88" s="3004"/>
      <c r="I88" s="3005">
        <v>1522</v>
      </c>
      <c r="J88" s="3005">
        <v>0</v>
      </c>
      <c r="K88" s="3006">
        <v>195.36</v>
      </c>
      <c r="L88" s="2988">
        <f t="shared" si="2"/>
        <v>876705.35040000011</v>
      </c>
      <c r="M88" s="3006">
        <v>75.032300000000006</v>
      </c>
      <c r="N88" s="3006">
        <v>152</v>
      </c>
      <c r="O88" s="2988">
        <f t="shared" si="3"/>
        <v>682121.28</v>
      </c>
      <c r="P88" s="3006">
        <v>3652938.96</v>
      </c>
      <c r="Q88" s="3006">
        <v>1402990.68</v>
      </c>
      <c r="R88" s="3006">
        <v>269258.40000000002</v>
      </c>
      <c r="S88" s="3006">
        <v>28800</v>
      </c>
    </row>
    <row r="89" spans="1:19" s="3001" customFormat="1" ht="13.5" customHeight="1">
      <c r="A89" s="3001">
        <v>87</v>
      </c>
      <c r="B89" s="3002" t="s">
        <v>3552</v>
      </c>
      <c r="C89" s="3003">
        <v>65.69</v>
      </c>
      <c r="D89" s="3004">
        <v>43182</v>
      </c>
      <c r="E89" s="3004">
        <v>43333</v>
      </c>
      <c r="F89" s="3004">
        <v>44094</v>
      </c>
      <c r="G89" s="3004">
        <v>43333</v>
      </c>
      <c r="H89" s="3004"/>
      <c r="I89" s="3005">
        <v>761</v>
      </c>
      <c r="J89" s="3005">
        <v>0</v>
      </c>
      <c r="K89" s="3006">
        <v>345.6</v>
      </c>
      <c r="L89" s="2988">
        <f t="shared" si="2"/>
        <v>272429.56799999997</v>
      </c>
      <c r="M89" s="3006">
        <v>75.064499999999995</v>
      </c>
      <c r="N89" s="3006">
        <v>250</v>
      </c>
      <c r="O89" s="2988">
        <f t="shared" si="3"/>
        <v>197070</v>
      </c>
      <c r="P89" s="3006">
        <v>567561.6</v>
      </c>
      <c r="Q89" s="3006">
        <v>123274.7</v>
      </c>
      <c r="R89" s="3006">
        <v>23648.400000000001</v>
      </c>
      <c r="S89" s="3006">
        <v>14400</v>
      </c>
    </row>
    <row r="90" spans="1:19" s="3001" customFormat="1" ht="13.5" customHeight="1">
      <c r="A90" s="3001">
        <v>88</v>
      </c>
      <c r="B90" s="3002" t="s">
        <v>3552</v>
      </c>
      <c r="C90" s="3003">
        <v>152.77000000000001</v>
      </c>
      <c r="D90" s="3004">
        <v>43222</v>
      </c>
      <c r="E90" s="3004">
        <v>43333</v>
      </c>
      <c r="F90" s="3004">
        <v>44459</v>
      </c>
      <c r="G90" s="3004">
        <v>43333</v>
      </c>
      <c r="H90" s="3004"/>
      <c r="I90" s="3005">
        <v>1126</v>
      </c>
      <c r="J90" s="3005">
        <v>0</v>
      </c>
      <c r="K90" s="3006">
        <v>157.94589999999999</v>
      </c>
      <c r="L90" s="2988">
        <f t="shared" si="2"/>
        <v>289552.74171600002</v>
      </c>
      <c r="M90" s="3006">
        <v>75.043599999999998</v>
      </c>
      <c r="N90" s="3006">
        <v>116.66670000000001</v>
      </c>
      <c r="O90" s="2988">
        <f t="shared" si="3"/>
        <v>213878.06110799999</v>
      </c>
      <c r="P90" s="3006">
        <v>892787.88</v>
      </c>
      <c r="Q90" s="3006">
        <v>424183.15</v>
      </c>
      <c r="R90" s="3006">
        <v>82495.8</v>
      </c>
      <c r="S90" s="3006">
        <v>0</v>
      </c>
    </row>
    <row r="91" spans="1:19" s="3001" customFormat="1" ht="13.5" customHeight="1">
      <c r="A91" s="3001">
        <v>89</v>
      </c>
      <c r="B91" s="3002" t="s">
        <v>3552</v>
      </c>
      <c r="C91" s="3003">
        <v>255.22</v>
      </c>
      <c r="D91" s="3004">
        <v>43188</v>
      </c>
      <c r="E91" s="3004">
        <v>43302</v>
      </c>
      <c r="F91" s="3004">
        <v>45189</v>
      </c>
      <c r="G91" s="3004">
        <v>43302</v>
      </c>
      <c r="H91" s="3004"/>
      <c r="I91" s="3005">
        <v>1887</v>
      </c>
      <c r="J91" s="3005">
        <v>0</v>
      </c>
      <c r="K91" s="3006">
        <v>153.30969999999999</v>
      </c>
      <c r="L91" s="2988">
        <f t="shared" si="2"/>
        <v>469532.41960799997</v>
      </c>
      <c r="M91" s="3006">
        <v>75.025999999999996</v>
      </c>
      <c r="N91" s="3006">
        <v>122.4667</v>
      </c>
      <c r="O91" s="2988">
        <f t="shared" si="3"/>
        <v>375071.41408800002</v>
      </c>
      <c r="P91" s="3006">
        <v>2425917.15</v>
      </c>
      <c r="Q91" s="3006">
        <v>1187184.6499999999</v>
      </c>
      <c r="R91" s="3006">
        <v>229698</v>
      </c>
      <c r="S91" s="3006">
        <v>0</v>
      </c>
    </row>
    <row r="92" spans="1:19" s="3001" customFormat="1" ht="13.5" customHeight="1">
      <c r="A92" s="3001">
        <v>90</v>
      </c>
      <c r="B92" s="3002" t="s">
        <v>3552</v>
      </c>
      <c r="C92" s="3003">
        <v>160.93</v>
      </c>
      <c r="D92" s="3004">
        <v>43193</v>
      </c>
      <c r="E92" s="3004">
        <v>43333</v>
      </c>
      <c r="F92" s="3004">
        <v>44459</v>
      </c>
      <c r="G92" s="3004">
        <v>43333</v>
      </c>
      <c r="H92" s="3004"/>
      <c r="I92" s="3005">
        <v>1126</v>
      </c>
      <c r="J92" s="3005">
        <v>0</v>
      </c>
      <c r="K92" s="3006">
        <v>116.7568</v>
      </c>
      <c r="L92" s="2988">
        <f t="shared" si="2"/>
        <v>225476.061888</v>
      </c>
      <c r="M92" s="3006">
        <v>75.043599999999998</v>
      </c>
      <c r="N92" s="3006">
        <v>86.666700000000006</v>
      </c>
      <c r="O92" s="2988">
        <f t="shared" si="3"/>
        <v>167367.26437200003</v>
      </c>
      <c r="P92" s="3006">
        <v>695217.6</v>
      </c>
      <c r="Q92" s="3006">
        <v>446840.31</v>
      </c>
      <c r="R92" s="3006">
        <v>86902.2</v>
      </c>
      <c r="S92" s="3006">
        <v>0</v>
      </c>
    </row>
    <row r="93" spans="1:19" s="3001" customFormat="1" ht="13.5" customHeight="1">
      <c r="A93" s="3001">
        <v>91</v>
      </c>
      <c r="B93" s="3002" t="s">
        <v>3552</v>
      </c>
      <c r="C93" s="3003">
        <v>293.61</v>
      </c>
      <c r="D93" s="3004">
        <v>43165</v>
      </c>
      <c r="E93" s="3004">
        <v>43302</v>
      </c>
      <c r="F93" s="3004">
        <v>44459</v>
      </c>
      <c r="G93" s="3004">
        <v>43302</v>
      </c>
      <c r="H93" s="3004"/>
      <c r="I93" s="3005">
        <v>1157</v>
      </c>
      <c r="J93" s="3005">
        <v>0</v>
      </c>
      <c r="K93" s="3006">
        <v>170.52629999999999</v>
      </c>
      <c r="L93" s="2988">
        <f t="shared" si="2"/>
        <v>600818.72331600008</v>
      </c>
      <c r="M93" s="3006">
        <v>75.042400000000001</v>
      </c>
      <c r="N93" s="3006">
        <v>126.66670000000001</v>
      </c>
      <c r="O93" s="2988">
        <f t="shared" si="3"/>
        <v>446287.31744400004</v>
      </c>
      <c r="P93" s="3006">
        <v>1902592.8</v>
      </c>
      <c r="Q93" s="3006">
        <v>837262.06</v>
      </c>
      <c r="R93" s="3006">
        <v>158549.4</v>
      </c>
      <c r="S93" s="3006">
        <v>0</v>
      </c>
    </row>
    <row r="94" spans="1:19" s="3001" customFormat="1" ht="13.5" customHeight="1">
      <c r="A94" s="3001">
        <v>92</v>
      </c>
      <c r="B94" s="3002" t="s">
        <v>3552</v>
      </c>
      <c r="C94" s="3003">
        <v>67.72</v>
      </c>
      <c r="D94" s="3004">
        <v>43097</v>
      </c>
      <c r="E94" s="3004">
        <v>43333</v>
      </c>
      <c r="F94" s="3004">
        <v>44094</v>
      </c>
      <c r="G94" s="3004">
        <v>43333</v>
      </c>
      <c r="H94" s="3004"/>
      <c r="I94" s="3005">
        <v>761</v>
      </c>
      <c r="J94" s="3005">
        <v>0</v>
      </c>
      <c r="K94" s="3006">
        <v>419.52</v>
      </c>
      <c r="L94" s="2988">
        <f t="shared" si="2"/>
        <v>340918.7328</v>
      </c>
      <c r="M94" s="3006">
        <v>75.064499999999995</v>
      </c>
      <c r="N94" s="3006">
        <v>302.66669999999999</v>
      </c>
      <c r="O94" s="2988">
        <f t="shared" si="3"/>
        <v>245959.06708800001</v>
      </c>
      <c r="P94" s="3006">
        <v>710247.36</v>
      </c>
      <c r="Q94" s="3006">
        <v>127084.23</v>
      </c>
      <c r="R94" s="3006">
        <v>24379.200000000001</v>
      </c>
      <c r="S94" s="3006">
        <v>14400</v>
      </c>
    </row>
    <row r="95" spans="1:19" s="3007" customFormat="1" ht="13.5" customHeight="1">
      <c r="A95" s="3007">
        <v>93</v>
      </c>
      <c r="B95" s="3008" t="s">
        <v>3553</v>
      </c>
      <c r="C95" s="3009">
        <v>30.6</v>
      </c>
      <c r="D95" s="3010">
        <v>43175</v>
      </c>
      <c r="E95" s="3010">
        <v>43333</v>
      </c>
      <c r="F95" s="3010">
        <v>44094</v>
      </c>
      <c r="G95" s="3010">
        <v>43333</v>
      </c>
      <c r="H95" s="3010"/>
      <c r="I95" s="3011">
        <v>761</v>
      </c>
      <c r="J95" s="3011">
        <v>0</v>
      </c>
      <c r="K95" s="3012">
        <v>504</v>
      </c>
      <c r="L95" s="2988">
        <f t="shared" si="2"/>
        <v>185068.80000000002</v>
      </c>
      <c r="M95" s="3012">
        <v>75.064499999999995</v>
      </c>
      <c r="N95" s="3012">
        <v>360</v>
      </c>
      <c r="O95" s="2988">
        <f t="shared" si="3"/>
        <v>132192</v>
      </c>
      <c r="P95" s="3012">
        <v>385560</v>
      </c>
      <c r="Q95" s="3012">
        <v>57424.35</v>
      </c>
      <c r="R95" s="3012">
        <v>11016</v>
      </c>
      <c r="S95" s="3012">
        <v>0</v>
      </c>
    </row>
    <row r="96" spans="1:19" s="3007" customFormat="1" ht="13.5" customHeight="1">
      <c r="A96" s="3007">
        <v>94</v>
      </c>
      <c r="B96" s="3008" t="s">
        <v>3553</v>
      </c>
      <c r="C96" s="3009">
        <v>66.31</v>
      </c>
      <c r="D96" s="3010">
        <v>43186</v>
      </c>
      <c r="E96" s="3010">
        <v>43334</v>
      </c>
      <c r="F96" s="3010">
        <v>44459</v>
      </c>
      <c r="G96" s="3010">
        <v>43334</v>
      </c>
      <c r="H96" s="3010"/>
      <c r="I96" s="3011">
        <v>1125</v>
      </c>
      <c r="J96" s="3011">
        <v>0</v>
      </c>
      <c r="K96" s="3012">
        <v>389.52879999999999</v>
      </c>
      <c r="L96" s="2988">
        <f t="shared" si="2"/>
        <v>309955.85673600005</v>
      </c>
      <c r="M96" s="3012">
        <v>75.043599999999998</v>
      </c>
      <c r="N96" s="3012">
        <v>300</v>
      </c>
      <c r="O96" s="2988">
        <f t="shared" si="3"/>
        <v>238716</v>
      </c>
      <c r="P96" s="3012">
        <v>954864</v>
      </c>
      <c r="Q96" s="3012">
        <v>183956.77</v>
      </c>
      <c r="R96" s="3012">
        <v>35807.4</v>
      </c>
      <c r="S96" s="3012">
        <v>21600</v>
      </c>
    </row>
    <row r="97" spans="1:19" s="3007" customFormat="1" ht="13.5" customHeight="1">
      <c r="A97" s="3007">
        <v>95</v>
      </c>
      <c r="B97" s="3008" t="s">
        <v>3553</v>
      </c>
      <c r="C97" s="3009">
        <v>121.05</v>
      </c>
      <c r="D97" s="3010">
        <v>43182</v>
      </c>
      <c r="E97" s="3010">
        <v>43302</v>
      </c>
      <c r="F97" s="3010">
        <v>44459</v>
      </c>
      <c r="G97" s="3010">
        <v>43302</v>
      </c>
      <c r="H97" s="3010"/>
      <c r="I97" s="3011">
        <v>1157</v>
      </c>
      <c r="J97" s="3011">
        <v>0</v>
      </c>
      <c r="K97" s="3012">
        <v>307.8947</v>
      </c>
      <c r="L97" s="2988">
        <f t="shared" si="2"/>
        <v>447247.84122</v>
      </c>
      <c r="M97" s="3012">
        <v>75.042400000000001</v>
      </c>
      <c r="N97" s="3012">
        <v>233.33330000000001</v>
      </c>
      <c r="O97" s="2988">
        <f t="shared" si="3"/>
        <v>338939.95157999999</v>
      </c>
      <c r="P97" s="3012">
        <v>1416285</v>
      </c>
      <c r="Q97" s="3012">
        <v>345187.74</v>
      </c>
      <c r="R97" s="3012">
        <v>65367</v>
      </c>
      <c r="S97" s="3012">
        <v>21600</v>
      </c>
    </row>
    <row r="98" spans="1:19" s="3007" customFormat="1" ht="13.5" customHeight="1">
      <c r="A98" s="3007">
        <v>96</v>
      </c>
      <c r="B98" s="3008" t="s">
        <v>3553</v>
      </c>
      <c r="C98" s="3009">
        <v>159.44999999999999</v>
      </c>
      <c r="D98" s="3010">
        <v>43098</v>
      </c>
      <c r="E98" s="3010">
        <v>43302</v>
      </c>
      <c r="F98" s="3010">
        <v>44459</v>
      </c>
      <c r="G98" s="3010">
        <v>43302</v>
      </c>
      <c r="H98" s="3010"/>
      <c r="I98" s="3011">
        <v>1157</v>
      </c>
      <c r="J98" s="3011">
        <v>0</v>
      </c>
      <c r="K98" s="3012">
        <v>257.05259999999998</v>
      </c>
      <c r="L98" s="2988">
        <f t="shared" si="2"/>
        <v>491844.44483999989</v>
      </c>
      <c r="M98" s="3012">
        <v>75.042400000000001</v>
      </c>
      <c r="N98" s="3012">
        <v>190</v>
      </c>
      <c r="O98" s="2988">
        <f t="shared" si="3"/>
        <v>363545.99999999994</v>
      </c>
      <c r="P98" s="3012">
        <v>1557507.6</v>
      </c>
      <c r="Q98" s="3012">
        <v>454689.68</v>
      </c>
      <c r="R98" s="3012">
        <v>86103</v>
      </c>
      <c r="S98" s="3012">
        <v>21600</v>
      </c>
    </row>
    <row r="99" spans="1:19" s="3007" customFormat="1" ht="13.5" customHeight="1">
      <c r="A99" s="3007">
        <v>97</v>
      </c>
      <c r="B99" s="3008" t="s">
        <v>3553</v>
      </c>
      <c r="C99" s="3009">
        <v>173.89</v>
      </c>
      <c r="D99" s="3010">
        <v>43084</v>
      </c>
      <c r="E99" s="3010">
        <v>43302</v>
      </c>
      <c r="F99" s="3010">
        <v>44824</v>
      </c>
      <c r="G99" s="3010">
        <v>43302</v>
      </c>
      <c r="H99" s="3010"/>
      <c r="I99" s="3011">
        <v>1522</v>
      </c>
      <c r="J99" s="3011">
        <v>0</v>
      </c>
      <c r="K99" s="3012">
        <v>194.4</v>
      </c>
      <c r="L99" s="2988">
        <f t="shared" si="2"/>
        <v>405650.592</v>
      </c>
      <c r="M99" s="3012">
        <v>75.032300000000006</v>
      </c>
      <c r="N99" s="3012">
        <v>150</v>
      </c>
      <c r="O99" s="2988">
        <f t="shared" si="3"/>
        <v>313001.99999999994</v>
      </c>
      <c r="P99" s="3012">
        <v>1690210.8</v>
      </c>
      <c r="Q99" s="3012">
        <v>652367.97</v>
      </c>
      <c r="R99" s="3012">
        <v>125200.8</v>
      </c>
      <c r="S99" s="3012">
        <v>0</v>
      </c>
    </row>
    <row r="100" spans="1:19" s="3007" customFormat="1" ht="13.5" customHeight="1">
      <c r="A100" s="3007">
        <v>98</v>
      </c>
      <c r="B100" s="3008" t="s">
        <v>3553</v>
      </c>
      <c r="C100" s="3009">
        <v>406.08</v>
      </c>
      <c r="D100" s="3010">
        <v>43187</v>
      </c>
      <c r="E100" s="3010">
        <v>43302</v>
      </c>
      <c r="F100" s="3010">
        <v>45189</v>
      </c>
      <c r="G100" s="3010">
        <v>43302</v>
      </c>
      <c r="H100" s="3010"/>
      <c r="I100" s="3011">
        <v>1887</v>
      </c>
      <c r="J100" s="3011">
        <v>0</v>
      </c>
      <c r="K100" s="3012">
        <v>160.93549999999999</v>
      </c>
      <c r="L100" s="2988">
        <f t="shared" si="2"/>
        <v>784232.25407999987</v>
      </c>
      <c r="M100" s="3012">
        <v>75.025999999999996</v>
      </c>
      <c r="N100" s="3012">
        <v>122.0667</v>
      </c>
      <c r="O100" s="2988">
        <f t="shared" si="3"/>
        <v>594826.14643199998</v>
      </c>
      <c r="P100" s="3012">
        <v>4051866.24</v>
      </c>
      <c r="Q100" s="3012">
        <v>1888926.97</v>
      </c>
      <c r="R100" s="3012">
        <v>365472</v>
      </c>
      <c r="S100" s="3012">
        <v>36000</v>
      </c>
    </row>
    <row r="101" spans="1:19" s="3007" customFormat="1" ht="13.5" customHeight="1">
      <c r="A101" s="3007">
        <v>99</v>
      </c>
      <c r="B101" s="3008" t="s">
        <v>3553</v>
      </c>
      <c r="C101" s="3009">
        <v>77.63</v>
      </c>
      <c r="D101" s="3010">
        <v>43165</v>
      </c>
      <c r="E101" s="3010">
        <v>43333</v>
      </c>
      <c r="F101" s="3010">
        <v>44094</v>
      </c>
      <c r="G101" s="3010">
        <v>43333</v>
      </c>
      <c r="H101" s="3010"/>
      <c r="I101" s="3011">
        <v>761</v>
      </c>
      <c r="J101" s="3011">
        <v>0</v>
      </c>
      <c r="K101" s="3012">
        <v>360</v>
      </c>
      <c r="L101" s="2988">
        <f t="shared" si="2"/>
        <v>335361.59999999998</v>
      </c>
      <c r="M101" s="3012">
        <v>75.064499999999995</v>
      </c>
      <c r="N101" s="3012">
        <v>260</v>
      </c>
      <c r="O101" s="2988">
        <f t="shared" si="3"/>
        <v>242205.59999999998</v>
      </c>
      <c r="P101" s="3012">
        <v>698670</v>
      </c>
      <c r="Q101" s="3012">
        <v>145681.46</v>
      </c>
      <c r="R101" s="3012">
        <v>27946.799999999999</v>
      </c>
      <c r="S101" s="3012">
        <v>14400</v>
      </c>
    </row>
    <row r="102" spans="1:19" s="3007" customFormat="1" ht="13.5" customHeight="1">
      <c r="A102" s="3007">
        <v>100</v>
      </c>
      <c r="B102" s="3008" t="s">
        <v>3553</v>
      </c>
      <c r="C102" s="3009">
        <v>230.4</v>
      </c>
      <c r="D102" s="3010">
        <v>43105</v>
      </c>
      <c r="E102" s="3010">
        <v>43302</v>
      </c>
      <c r="F102" s="3010">
        <v>45189</v>
      </c>
      <c r="G102" s="3010">
        <v>43302</v>
      </c>
      <c r="H102" s="3010"/>
      <c r="I102" s="3011">
        <v>1887</v>
      </c>
      <c r="J102" s="3011">
        <v>0</v>
      </c>
      <c r="K102" s="3012">
        <v>225.87100000000001</v>
      </c>
      <c r="L102" s="2988">
        <f t="shared" si="2"/>
        <v>624488.14080000005</v>
      </c>
      <c r="M102" s="3012">
        <v>75.025999999999996</v>
      </c>
      <c r="N102" s="3012">
        <v>172</v>
      </c>
      <c r="O102" s="2988">
        <f t="shared" si="3"/>
        <v>475545.60000000003</v>
      </c>
      <c r="P102" s="3012">
        <v>3226521.6000000001</v>
      </c>
      <c r="Q102" s="3012">
        <v>1071731.6100000001</v>
      </c>
      <c r="R102" s="3012">
        <v>207360</v>
      </c>
      <c r="S102" s="3012">
        <v>0</v>
      </c>
    </row>
    <row r="103" spans="1:19" s="3007" customFormat="1" ht="13.5" customHeight="1">
      <c r="A103" s="3007">
        <v>101</v>
      </c>
      <c r="B103" s="3008" t="s">
        <v>3553</v>
      </c>
      <c r="C103" s="3009">
        <v>152.47</v>
      </c>
      <c r="D103" s="3010">
        <v>43097</v>
      </c>
      <c r="E103" s="3010">
        <v>43304</v>
      </c>
      <c r="F103" s="3010">
        <v>44824</v>
      </c>
      <c r="G103" s="3010">
        <v>43304</v>
      </c>
      <c r="H103" s="3010"/>
      <c r="I103" s="3011">
        <v>1520</v>
      </c>
      <c r="J103" s="3011">
        <v>0</v>
      </c>
      <c r="K103" s="3012">
        <v>296.78289999999998</v>
      </c>
      <c r="L103" s="2988">
        <f t="shared" si="2"/>
        <v>543005.8651559999</v>
      </c>
      <c r="M103" s="3012">
        <v>75.032300000000006</v>
      </c>
      <c r="N103" s="3012">
        <v>223.33330000000001</v>
      </c>
      <c r="O103" s="2988">
        <f t="shared" si="3"/>
        <v>408619.53901200002</v>
      </c>
      <c r="P103" s="3012">
        <v>2259605.4</v>
      </c>
      <c r="Q103" s="3012">
        <v>571270.66</v>
      </c>
      <c r="R103" s="3012">
        <v>109778.4</v>
      </c>
      <c r="S103" s="3012">
        <v>0</v>
      </c>
    </row>
    <row r="104" spans="1:19" s="3007" customFormat="1" ht="13.5" customHeight="1">
      <c r="A104" s="3007">
        <v>102</v>
      </c>
      <c r="B104" s="3008" t="s">
        <v>3553</v>
      </c>
      <c r="C104" s="3009">
        <v>35.020000000000003</v>
      </c>
      <c r="D104" s="3010">
        <v>43097</v>
      </c>
      <c r="E104" s="3010">
        <v>43333</v>
      </c>
      <c r="F104" s="3010">
        <v>44094</v>
      </c>
      <c r="G104" s="3010">
        <v>43333</v>
      </c>
      <c r="H104" s="3010"/>
      <c r="I104" s="3011">
        <v>761</v>
      </c>
      <c r="J104" s="3011">
        <v>0</v>
      </c>
      <c r="K104" s="3012">
        <v>504</v>
      </c>
      <c r="L104" s="2988">
        <f t="shared" si="2"/>
        <v>211800.96000000002</v>
      </c>
      <c r="M104" s="3012">
        <v>75.064499999999995</v>
      </c>
      <c r="N104" s="3012">
        <v>360</v>
      </c>
      <c r="O104" s="2988">
        <f t="shared" si="3"/>
        <v>151286.40000000002</v>
      </c>
      <c r="P104" s="3012">
        <v>441252</v>
      </c>
      <c r="Q104" s="3012">
        <v>65718.98</v>
      </c>
      <c r="R104" s="3012">
        <v>12607.2</v>
      </c>
      <c r="S104" s="3012">
        <v>14400</v>
      </c>
    </row>
    <row r="105" spans="1:19" s="3007" customFormat="1" ht="13.5" customHeight="1">
      <c r="A105" s="3007">
        <v>103</v>
      </c>
      <c r="B105" s="3008" t="s">
        <v>3553</v>
      </c>
      <c r="C105" s="3009">
        <v>172.42</v>
      </c>
      <c r="D105" s="3010">
        <v>43218</v>
      </c>
      <c r="E105" s="3010">
        <v>43319</v>
      </c>
      <c r="F105" s="3010">
        <v>44459</v>
      </c>
      <c r="G105" s="3010">
        <v>43319</v>
      </c>
      <c r="H105" s="3010"/>
      <c r="I105" s="3011">
        <v>1140</v>
      </c>
      <c r="J105" s="3011">
        <v>0</v>
      </c>
      <c r="K105" s="3012">
        <v>257.61239999999998</v>
      </c>
      <c r="L105" s="2988">
        <f t="shared" si="2"/>
        <v>533010.3600959999</v>
      </c>
      <c r="M105" s="3012">
        <v>75.043099999999995</v>
      </c>
      <c r="N105" s="3012">
        <v>187.4667</v>
      </c>
      <c r="O105" s="2988">
        <f t="shared" si="3"/>
        <v>387876.10096800001</v>
      </c>
      <c r="P105" s="3012">
        <v>1663508.16</v>
      </c>
      <c r="Q105" s="3012">
        <v>484583.63</v>
      </c>
      <c r="R105" s="3012">
        <v>93106.8</v>
      </c>
      <c r="S105" s="3012">
        <v>0</v>
      </c>
    </row>
    <row r="106" spans="1:19" s="3007" customFormat="1" ht="13.5" customHeight="1">
      <c r="A106" s="3007">
        <v>104</v>
      </c>
      <c r="B106" s="3008" t="s">
        <v>3553</v>
      </c>
      <c r="C106" s="3009">
        <v>232.83</v>
      </c>
      <c r="D106" s="3010">
        <v>43187</v>
      </c>
      <c r="E106" s="3010">
        <v>43304</v>
      </c>
      <c r="F106" s="3010">
        <v>45189</v>
      </c>
      <c r="G106" s="3010">
        <v>43304</v>
      </c>
      <c r="H106" s="3010"/>
      <c r="I106" s="3011">
        <v>1885</v>
      </c>
      <c r="J106" s="3011">
        <v>0</v>
      </c>
      <c r="K106" s="3012">
        <v>235.83250000000001</v>
      </c>
      <c r="L106" s="2988">
        <f t="shared" si="2"/>
        <v>658906.57170000009</v>
      </c>
      <c r="M106" s="3012">
        <v>75.025999999999996</v>
      </c>
      <c r="N106" s="3012">
        <v>178.66669999999999</v>
      </c>
      <c r="O106" s="2988">
        <f t="shared" si="3"/>
        <v>499187.61313199997</v>
      </c>
      <c r="P106" s="3012">
        <v>3400808.12</v>
      </c>
      <c r="Q106" s="3012">
        <v>1081908.44</v>
      </c>
      <c r="R106" s="3012">
        <v>209547</v>
      </c>
      <c r="S106" s="3012">
        <v>0</v>
      </c>
    </row>
    <row r="107" spans="1:19" s="3007" customFormat="1" ht="13.5" customHeight="1">
      <c r="A107" s="3007">
        <v>105</v>
      </c>
      <c r="B107" s="3008" t="s">
        <v>3553</v>
      </c>
      <c r="C107" s="3009">
        <v>329.77</v>
      </c>
      <c r="D107" s="3010">
        <v>43098</v>
      </c>
      <c r="E107" s="3010">
        <v>43302</v>
      </c>
      <c r="F107" s="3010">
        <v>45189</v>
      </c>
      <c r="G107" s="3010">
        <v>43302</v>
      </c>
      <c r="H107" s="3010"/>
      <c r="I107" s="3011">
        <v>1887</v>
      </c>
      <c r="J107" s="3011">
        <v>0</v>
      </c>
      <c r="K107" s="3012">
        <v>176.5258</v>
      </c>
      <c r="L107" s="2988">
        <f t="shared" si="2"/>
        <v>698554.95679199998</v>
      </c>
      <c r="M107" s="3012">
        <v>75.025999999999996</v>
      </c>
      <c r="N107" s="3012">
        <v>133.80000000000001</v>
      </c>
      <c r="O107" s="2988">
        <f t="shared" si="3"/>
        <v>529478.71200000006</v>
      </c>
      <c r="P107" s="3012">
        <v>3609200.76</v>
      </c>
      <c r="Q107" s="3012">
        <v>1533962.39</v>
      </c>
      <c r="R107" s="3012">
        <v>296793</v>
      </c>
      <c r="S107" s="3012">
        <v>36000</v>
      </c>
    </row>
    <row r="108" spans="1:19" s="3007" customFormat="1" ht="13.5" customHeight="1">
      <c r="A108" s="3007">
        <v>106</v>
      </c>
      <c r="B108" s="3008" t="s">
        <v>3553</v>
      </c>
      <c r="C108" s="3009">
        <v>232.25</v>
      </c>
      <c r="D108" s="3010">
        <v>43217</v>
      </c>
      <c r="E108" s="3010">
        <v>43273</v>
      </c>
      <c r="F108" s="3010">
        <v>47016</v>
      </c>
      <c r="G108" s="3010">
        <v>43273</v>
      </c>
      <c r="H108" s="3010"/>
      <c r="I108" s="3011">
        <v>3743</v>
      </c>
      <c r="J108" s="3011">
        <v>0</v>
      </c>
      <c r="K108" s="3012">
        <v>296.46800000000002</v>
      </c>
      <c r="L108" s="2988">
        <f t="shared" si="2"/>
        <v>826256.31599999999</v>
      </c>
      <c r="M108" s="3012">
        <v>74.999300000000005</v>
      </c>
      <c r="N108" s="3012">
        <v>251.33330000000001</v>
      </c>
      <c r="O108" s="2988">
        <f t="shared" si="3"/>
        <v>700465.90710000007</v>
      </c>
      <c r="P108" s="3012">
        <v>8466906</v>
      </c>
      <c r="Q108" s="3012">
        <v>2141925.63</v>
      </c>
      <c r="R108" s="3012">
        <v>418050</v>
      </c>
      <c r="S108" s="3012">
        <v>0</v>
      </c>
    </row>
    <row r="109" spans="1:19" s="3007" customFormat="1" ht="13.5" customHeight="1">
      <c r="A109" s="3007">
        <v>107</v>
      </c>
      <c r="B109" s="3008" t="s">
        <v>3553</v>
      </c>
      <c r="C109" s="3009">
        <v>212.68</v>
      </c>
      <c r="D109" s="3010">
        <v>43098</v>
      </c>
      <c r="E109" s="3010">
        <v>43302</v>
      </c>
      <c r="F109" s="3010">
        <v>44459</v>
      </c>
      <c r="G109" s="3010">
        <v>43302</v>
      </c>
      <c r="H109" s="3010"/>
      <c r="I109" s="3011">
        <v>1157</v>
      </c>
      <c r="J109" s="3011">
        <v>0</v>
      </c>
      <c r="K109" s="3012">
        <v>213.3553</v>
      </c>
      <c r="L109" s="2988">
        <f t="shared" si="2"/>
        <v>544516.862448</v>
      </c>
      <c r="M109" s="3012">
        <v>75.042400000000001</v>
      </c>
      <c r="N109" s="3012">
        <v>160</v>
      </c>
      <c r="O109" s="2988">
        <f t="shared" si="3"/>
        <v>408345.60000000003</v>
      </c>
      <c r="P109" s="3012">
        <v>1724303.1</v>
      </c>
      <c r="Q109" s="3012">
        <v>606481.03</v>
      </c>
      <c r="R109" s="3012">
        <v>114847.2</v>
      </c>
      <c r="S109" s="3012">
        <v>21600</v>
      </c>
    </row>
    <row r="110" spans="1:19" s="3007" customFormat="1" ht="13.5" customHeight="1">
      <c r="A110" s="3007">
        <v>108</v>
      </c>
      <c r="B110" s="3008" t="s">
        <v>3553</v>
      </c>
      <c r="C110" s="3009">
        <v>396.38</v>
      </c>
      <c r="D110" s="3010">
        <v>43217</v>
      </c>
      <c r="E110" s="3010">
        <v>43274</v>
      </c>
      <c r="F110" s="3010">
        <v>45555</v>
      </c>
      <c r="G110" s="3010">
        <v>43274</v>
      </c>
      <c r="H110" s="3010"/>
      <c r="I110" s="3011">
        <v>2281</v>
      </c>
      <c r="J110" s="3011">
        <v>0</v>
      </c>
      <c r="K110" s="3012">
        <v>158.05600000000001</v>
      </c>
      <c r="L110" s="2988">
        <f t="shared" si="2"/>
        <v>751802.84736000001</v>
      </c>
      <c r="M110" s="3012">
        <v>74.997799999999998</v>
      </c>
      <c r="N110" s="3012">
        <v>123.33329999999999</v>
      </c>
      <c r="O110" s="2988">
        <f t="shared" si="3"/>
        <v>586642.24144799996</v>
      </c>
      <c r="P110" s="3012">
        <v>4694724.72</v>
      </c>
      <c r="Q110" s="3012">
        <v>2227655.6</v>
      </c>
      <c r="R110" s="3012">
        <v>428090.4</v>
      </c>
      <c r="S110" s="3012">
        <v>0</v>
      </c>
    </row>
    <row r="111" spans="1:19" s="3007" customFormat="1" ht="13.5" customHeight="1">
      <c r="A111" s="3007">
        <v>109</v>
      </c>
      <c r="B111" s="3008" t="s">
        <v>3553</v>
      </c>
      <c r="C111" s="3009">
        <v>450.51</v>
      </c>
      <c r="D111" s="3010">
        <v>43098</v>
      </c>
      <c r="E111" s="3010">
        <v>43272</v>
      </c>
      <c r="F111" s="3010">
        <v>46285</v>
      </c>
      <c r="G111" s="3010">
        <v>43272</v>
      </c>
      <c r="H111" s="3010"/>
      <c r="I111" s="3011">
        <v>3013</v>
      </c>
      <c r="J111" s="3011">
        <v>0</v>
      </c>
      <c r="K111" s="3012">
        <v>83.590299999999999</v>
      </c>
      <c r="L111" s="2988">
        <f t="shared" si="2"/>
        <v>451899.19263599999</v>
      </c>
      <c r="M111" s="3012">
        <v>40</v>
      </c>
      <c r="N111" s="3012">
        <v>61.74</v>
      </c>
      <c r="O111" s="2988">
        <f t="shared" si="3"/>
        <v>333773.84880000004</v>
      </c>
      <c r="P111" s="3012">
        <v>3728168.4</v>
      </c>
      <c r="Q111" s="3012">
        <v>1784019.6</v>
      </c>
      <c r="R111" s="3012">
        <v>0</v>
      </c>
      <c r="S111" s="3012">
        <v>0</v>
      </c>
    </row>
    <row r="112" spans="1:19" s="3007" customFormat="1" ht="13.5" customHeight="1">
      <c r="A112" s="3007">
        <v>110</v>
      </c>
      <c r="B112" s="3008" t="s">
        <v>3553</v>
      </c>
      <c r="C112" s="3009">
        <v>20.7</v>
      </c>
      <c r="D112" s="3010">
        <v>43160</v>
      </c>
      <c r="E112" s="3010">
        <v>43333</v>
      </c>
      <c r="F112" s="3010">
        <v>44094</v>
      </c>
      <c r="G112" s="3010">
        <v>43333</v>
      </c>
      <c r="H112" s="3010"/>
      <c r="I112" s="3011">
        <v>761</v>
      </c>
      <c r="J112" s="3011">
        <v>0</v>
      </c>
      <c r="K112" s="3012">
        <v>816</v>
      </c>
      <c r="L112" s="2988">
        <f t="shared" si="2"/>
        <v>202694.40000000002</v>
      </c>
      <c r="M112" s="3012">
        <v>75.064499999999995</v>
      </c>
      <c r="N112" s="3012">
        <v>600</v>
      </c>
      <c r="O112" s="2988">
        <f t="shared" si="3"/>
        <v>149040</v>
      </c>
      <c r="P112" s="3012">
        <v>422280</v>
      </c>
      <c r="Q112" s="3012">
        <v>38845.89</v>
      </c>
      <c r="R112" s="3012">
        <v>7452</v>
      </c>
      <c r="S112" s="3012">
        <v>14400</v>
      </c>
    </row>
    <row r="113" spans="1:19" s="3007" customFormat="1" ht="13.5" customHeight="1">
      <c r="A113" s="3007">
        <v>111</v>
      </c>
      <c r="B113" s="3008" t="s">
        <v>3553</v>
      </c>
      <c r="C113" s="3009">
        <v>32</v>
      </c>
      <c r="D113" s="3010">
        <v>43136</v>
      </c>
      <c r="E113" s="3010">
        <v>43333</v>
      </c>
      <c r="F113" s="3010">
        <v>44094</v>
      </c>
      <c r="G113" s="3010">
        <v>43333</v>
      </c>
      <c r="H113" s="3010"/>
      <c r="I113" s="3011">
        <v>761</v>
      </c>
      <c r="J113" s="3011">
        <v>0</v>
      </c>
      <c r="K113" s="3012">
        <v>504</v>
      </c>
      <c r="L113" s="2988">
        <f t="shared" si="2"/>
        <v>193536</v>
      </c>
      <c r="M113" s="3012">
        <v>75.064499999999995</v>
      </c>
      <c r="N113" s="3012">
        <v>360</v>
      </c>
      <c r="O113" s="2988">
        <f t="shared" si="3"/>
        <v>138240</v>
      </c>
      <c r="P113" s="3012">
        <v>403200</v>
      </c>
      <c r="Q113" s="3012">
        <v>60051.61</v>
      </c>
      <c r="R113" s="3012">
        <v>11520</v>
      </c>
      <c r="S113" s="3012">
        <v>0</v>
      </c>
    </row>
    <row r="114" spans="1:19" s="3007" customFormat="1" ht="13.5" customHeight="1">
      <c r="A114" s="3007">
        <v>112</v>
      </c>
      <c r="B114" s="3008" t="s">
        <v>3553</v>
      </c>
      <c r="C114" s="3009">
        <v>6725.7</v>
      </c>
      <c r="D114" s="3010">
        <v>43091</v>
      </c>
      <c r="E114" s="3010">
        <v>43211</v>
      </c>
      <c r="F114" s="3010">
        <v>48842</v>
      </c>
      <c r="G114" s="3010">
        <v>43211</v>
      </c>
      <c r="H114" s="3010"/>
      <c r="I114" s="3011">
        <v>5631</v>
      </c>
      <c r="J114" s="3011">
        <v>0</v>
      </c>
      <c r="K114" s="3012">
        <v>44.336399999999998</v>
      </c>
      <c r="L114" s="2988">
        <f t="shared" si="2"/>
        <v>3578319.90576</v>
      </c>
      <c r="M114" s="3012">
        <v>11.8108</v>
      </c>
      <c r="N114" s="3012">
        <v>36.686700000000002</v>
      </c>
      <c r="O114" s="2988">
        <f t="shared" si="3"/>
        <v>2960924.8582800003</v>
      </c>
      <c r="P114" s="3012">
        <v>55165805.75</v>
      </c>
      <c r="Q114" s="3012">
        <v>14695654.5</v>
      </c>
      <c r="R114" s="3012">
        <v>0</v>
      </c>
      <c r="S114" s="3012">
        <v>0</v>
      </c>
    </row>
    <row r="115" spans="1:19" s="3013" customFormat="1" ht="13.5" customHeight="1">
      <c r="A115" s="3013">
        <v>113</v>
      </c>
      <c r="B115" s="3014" t="s">
        <v>3554</v>
      </c>
      <c r="C115" s="3015">
        <v>984.2</v>
      </c>
      <c r="D115" s="3016">
        <v>43131</v>
      </c>
      <c r="E115" s="3016">
        <v>43241</v>
      </c>
      <c r="F115" s="3016">
        <v>47016</v>
      </c>
      <c r="G115" s="3016">
        <v>43241</v>
      </c>
      <c r="H115" s="3016"/>
      <c r="I115" s="3017">
        <v>3775</v>
      </c>
      <c r="J115" s="3017">
        <v>0</v>
      </c>
      <c r="K115" s="3018">
        <v>83.649699999999996</v>
      </c>
      <c r="L115" s="2988">
        <f t="shared" si="2"/>
        <v>987936.41688000003</v>
      </c>
      <c r="M115" s="3018">
        <v>75.013000000000005</v>
      </c>
      <c r="N115" s="3018">
        <v>67.3733</v>
      </c>
      <c r="O115" s="2988">
        <f t="shared" si="3"/>
        <v>795705.62232000008</v>
      </c>
      <c r="P115" s="3018">
        <v>10208673.529999999</v>
      </c>
      <c r="Q115" s="3018">
        <v>9154647.4199999999</v>
      </c>
      <c r="R115" s="3018">
        <v>0</v>
      </c>
      <c r="S115" s="3018">
        <v>0</v>
      </c>
    </row>
    <row r="116" spans="1:19" s="3013" customFormat="1" ht="13.5" customHeight="1">
      <c r="A116" s="3013">
        <v>114</v>
      </c>
      <c r="B116" s="3014" t="s">
        <v>3554</v>
      </c>
      <c r="C116" s="3015">
        <v>318.94</v>
      </c>
      <c r="D116" s="3016">
        <v>43097</v>
      </c>
      <c r="E116" s="3016">
        <v>43302</v>
      </c>
      <c r="F116" s="3016">
        <v>45189</v>
      </c>
      <c r="G116" s="3016">
        <v>43302</v>
      </c>
      <c r="H116" s="3016"/>
      <c r="I116" s="3017">
        <v>1887</v>
      </c>
      <c r="J116" s="3017">
        <v>0</v>
      </c>
      <c r="K116" s="3018">
        <v>224.6516</v>
      </c>
      <c r="L116" s="2988">
        <f t="shared" si="2"/>
        <v>859804.575648</v>
      </c>
      <c r="M116" s="3018">
        <v>75.025999999999996</v>
      </c>
      <c r="N116" s="3018">
        <v>170.26660000000001</v>
      </c>
      <c r="O116" s="2988">
        <f t="shared" si="3"/>
        <v>651657.95284799999</v>
      </c>
      <c r="P116" s="3018">
        <v>4442323.8899999997</v>
      </c>
      <c r="Q116" s="3018">
        <v>1483585.42</v>
      </c>
      <c r="R116" s="3018">
        <v>287046</v>
      </c>
      <c r="S116" s="3018">
        <v>0</v>
      </c>
    </row>
    <row r="117" spans="1:19" s="3013" customFormat="1" ht="13.5" customHeight="1">
      <c r="A117" s="3013">
        <v>115</v>
      </c>
      <c r="B117" s="3014" t="s">
        <v>3554</v>
      </c>
      <c r="C117" s="3015">
        <v>121.1</v>
      </c>
      <c r="D117" s="3016">
        <v>43188</v>
      </c>
      <c r="E117" s="3016">
        <v>43333</v>
      </c>
      <c r="F117" s="3016">
        <v>44459</v>
      </c>
      <c r="G117" s="3016">
        <v>43333</v>
      </c>
      <c r="H117" s="3016"/>
      <c r="I117" s="3017">
        <v>1126</v>
      </c>
      <c r="J117" s="3017">
        <v>0</v>
      </c>
      <c r="K117" s="3018">
        <v>285.40539999999999</v>
      </c>
      <c r="L117" s="2988">
        <f t="shared" si="2"/>
        <v>414751.12728000002</v>
      </c>
      <c r="M117" s="3018">
        <v>75.043599999999998</v>
      </c>
      <c r="N117" s="3018">
        <v>213.33340000000001</v>
      </c>
      <c r="O117" s="2988">
        <f t="shared" si="3"/>
        <v>310016.09687999997</v>
      </c>
      <c r="P117" s="3018">
        <v>1278816</v>
      </c>
      <c r="Q117" s="3018">
        <v>336247.82</v>
      </c>
      <c r="R117" s="3018">
        <v>65394</v>
      </c>
      <c r="S117" s="3018">
        <v>0</v>
      </c>
    </row>
    <row r="118" spans="1:19" s="3013" customFormat="1" ht="13.5" customHeight="1">
      <c r="A118" s="3013">
        <v>116</v>
      </c>
      <c r="B118" s="3014" t="s">
        <v>3554</v>
      </c>
      <c r="C118" s="3015">
        <v>281.74</v>
      </c>
      <c r="D118" s="3016">
        <v>43098</v>
      </c>
      <c r="E118" s="3016">
        <v>43302</v>
      </c>
      <c r="F118" s="3016">
        <v>45189</v>
      </c>
      <c r="G118" s="3016">
        <v>43302</v>
      </c>
      <c r="H118" s="3016"/>
      <c r="I118" s="3017">
        <v>1887</v>
      </c>
      <c r="J118" s="3017">
        <v>0</v>
      </c>
      <c r="K118" s="3018">
        <v>192.96770000000001</v>
      </c>
      <c r="L118" s="2988">
        <f t="shared" si="2"/>
        <v>652400.63757600007</v>
      </c>
      <c r="M118" s="3018">
        <v>75.025999999999996</v>
      </c>
      <c r="N118" s="3018">
        <v>146.66669999999999</v>
      </c>
      <c r="O118" s="2988">
        <f t="shared" si="3"/>
        <v>495862.51269600005</v>
      </c>
      <c r="P118" s="3018">
        <v>3370737.36</v>
      </c>
      <c r="Q118" s="3018">
        <v>1310545.42</v>
      </c>
      <c r="R118" s="3018">
        <v>253566</v>
      </c>
      <c r="S118" s="3018">
        <v>0</v>
      </c>
    </row>
    <row r="119" spans="1:19" s="3013" customFormat="1" ht="13.5" customHeight="1">
      <c r="A119" s="3013">
        <v>117</v>
      </c>
      <c r="B119" s="3014" t="s">
        <v>3554</v>
      </c>
      <c r="C119" s="3015">
        <v>264.14999999999998</v>
      </c>
      <c r="D119" s="3016">
        <v>43188</v>
      </c>
      <c r="E119" s="3016">
        <v>43302</v>
      </c>
      <c r="F119" s="3016">
        <v>45189</v>
      </c>
      <c r="G119" s="3016">
        <v>43302</v>
      </c>
      <c r="H119" s="3016"/>
      <c r="I119" s="3017">
        <v>1887</v>
      </c>
      <c r="J119" s="3017">
        <v>0</v>
      </c>
      <c r="K119" s="3018">
        <v>192.50710000000001</v>
      </c>
      <c r="L119" s="2988">
        <f t="shared" si="2"/>
        <v>610209.00558</v>
      </c>
      <c r="M119" s="3018">
        <v>75.025999999999996</v>
      </c>
      <c r="N119" s="3018">
        <v>145.86670000000001</v>
      </c>
      <c r="O119" s="2988">
        <f t="shared" si="3"/>
        <v>462368.26565999998</v>
      </c>
      <c r="P119" s="3018">
        <v>3152746.55</v>
      </c>
      <c r="Q119" s="3018">
        <v>1228723.55</v>
      </c>
      <c r="R119" s="3018">
        <v>237735</v>
      </c>
      <c r="S119" s="3018">
        <v>0</v>
      </c>
    </row>
    <row r="120" spans="1:19" s="3013" customFormat="1" ht="13.5" customHeight="1">
      <c r="A120" s="3013">
        <v>118</v>
      </c>
      <c r="B120" s="3014" t="s">
        <v>3554</v>
      </c>
      <c r="C120" s="3015">
        <v>78.31</v>
      </c>
      <c r="D120" s="3016">
        <v>43186</v>
      </c>
      <c r="E120" s="3016">
        <v>43304</v>
      </c>
      <c r="F120" s="3016">
        <v>44459</v>
      </c>
      <c r="G120" s="3016">
        <v>43304</v>
      </c>
      <c r="H120" s="3016"/>
      <c r="I120" s="3017">
        <v>1155</v>
      </c>
      <c r="J120" s="3017">
        <v>0</v>
      </c>
      <c r="K120" s="3018">
        <v>299.24489999999997</v>
      </c>
      <c r="L120" s="2988">
        <f t="shared" si="2"/>
        <v>281206.41742800002</v>
      </c>
      <c r="M120" s="3018">
        <v>75.042500000000004</v>
      </c>
      <c r="N120" s="3018">
        <v>220.66669999999999</v>
      </c>
      <c r="O120" s="2988">
        <f t="shared" si="3"/>
        <v>207364.91132399999</v>
      </c>
      <c r="P120" s="3018">
        <v>888975.12</v>
      </c>
      <c r="Q120" s="3018">
        <v>222930.89</v>
      </c>
      <c r="R120" s="3018">
        <v>42287.4</v>
      </c>
      <c r="S120" s="3018">
        <v>0</v>
      </c>
    </row>
    <row r="121" spans="1:19" s="3013" customFormat="1" ht="13.5" customHeight="1">
      <c r="A121" s="3013">
        <v>119</v>
      </c>
      <c r="B121" s="3014" t="s">
        <v>3554</v>
      </c>
      <c r="C121" s="3015">
        <v>231.6</v>
      </c>
      <c r="D121" s="3016">
        <v>43098</v>
      </c>
      <c r="E121" s="3016">
        <v>43302</v>
      </c>
      <c r="F121" s="3016">
        <v>45189</v>
      </c>
      <c r="G121" s="3016">
        <v>43302</v>
      </c>
      <c r="H121" s="3016"/>
      <c r="I121" s="3017">
        <v>1887</v>
      </c>
      <c r="J121" s="3017">
        <v>0</v>
      </c>
      <c r="K121" s="3018">
        <v>261.48390000000001</v>
      </c>
      <c r="L121" s="2988">
        <f t="shared" si="2"/>
        <v>726716.05488000007</v>
      </c>
      <c r="M121" s="3018">
        <v>75.025999999999996</v>
      </c>
      <c r="N121" s="3018">
        <v>200.66669999999999</v>
      </c>
      <c r="O121" s="2988">
        <f t="shared" si="3"/>
        <v>557692.89263999998</v>
      </c>
      <c r="P121" s="3018">
        <v>3754699.2</v>
      </c>
      <c r="Q121" s="3018">
        <v>1077313.55</v>
      </c>
      <c r="R121" s="3018">
        <v>208440</v>
      </c>
      <c r="S121" s="3018">
        <v>36000</v>
      </c>
    </row>
    <row r="122" spans="1:19" s="3013" customFormat="1" ht="13.5" customHeight="1">
      <c r="A122" s="3013">
        <v>120</v>
      </c>
      <c r="B122" s="3014" t="s">
        <v>3554</v>
      </c>
      <c r="C122" s="3015">
        <v>152.66999999999999</v>
      </c>
      <c r="D122" s="3016">
        <v>43098</v>
      </c>
      <c r="E122" s="3016">
        <v>43302</v>
      </c>
      <c r="F122" s="3016">
        <v>45189</v>
      </c>
      <c r="G122" s="3016">
        <v>43302</v>
      </c>
      <c r="H122" s="3016"/>
      <c r="I122" s="3017">
        <v>1887</v>
      </c>
      <c r="J122" s="3017">
        <v>0</v>
      </c>
      <c r="K122" s="3018">
        <v>225.87100000000001</v>
      </c>
      <c r="L122" s="2988">
        <f t="shared" si="2"/>
        <v>413804.70683999994</v>
      </c>
      <c r="M122" s="3018">
        <v>75.025999999999996</v>
      </c>
      <c r="N122" s="3018">
        <v>172</v>
      </c>
      <c r="O122" s="2988">
        <f t="shared" si="3"/>
        <v>315110.88</v>
      </c>
      <c r="P122" s="3018">
        <v>2137990.6800000002</v>
      </c>
      <c r="Q122" s="3018">
        <v>710161.74</v>
      </c>
      <c r="R122" s="3018">
        <v>137403</v>
      </c>
      <c r="S122" s="3018">
        <v>0</v>
      </c>
    </row>
    <row r="123" spans="1:19" s="3013" customFormat="1" ht="13.5" customHeight="1">
      <c r="A123" s="3013">
        <v>121</v>
      </c>
      <c r="B123" s="3014" t="s">
        <v>3554</v>
      </c>
      <c r="C123" s="3015">
        <v>217.95</v>
      </c>
      <c r="D123" s="3016">
        <v>43187</v>
      </c>
      <c r="E123" s="3016">
        <v>43302</v>
      </c>
      <c r="F123" s="3016">
        <v>44824</v>
      </c>
      <c r="G123" s="3016">
        <v>43302</v>
      </c>
      <c r="H123" s="3016"/>
      <c r="I123" s="3017">
        <v>1522</v>
      </c>
      <c r="J123" s="3017">
        <v>0</v>
      </c>
      <c r="K123" s="3018">
        <v>233.52</v>
      </c>
      <c r="L123" s="2988">
        <f t="shared" si="2"/>
        <v>610748.20799999998</v>
      </c>
      <c r="M123" s="3018">
        <v>75.032300000000006</v>
      </c>
      <c r="N123" s="3018">
        <v>174.66669999999999</v>
      </c>
      <c r="O123" s="2988">
        <f t="shared" si="3"/>
        <v>456823.28717999998</v>
      </c>
      <c r="P123" s="3018">
        <v>2544784.2000000002</v>
      </c>
      <c r="Q123" s="3018">
        <v>817664.03</v>
      </c>
      <c r="R123" s="3018">
        <v>156924</v>
      </c>
      <c r="S123" s="3018">
        <v>0</v>
      </c>
    </row>
    <row r="124" spans="1:19" s="3013" customFormat="1" ht="13.5" customHeight="1">
      <c r="A124" s="3013">
        <v>122</v>
      </c>
      <c r="B124" s="3014" t="s">
        <v>3554</v>
      </c>
      <c r="C124" s="3015">
        <v>35.630000000000003</v>
      </c>
      <c r="D124" s="3016">
        <v>43200</v>
      </c>
      <c r="E124" s="3016">
        <v>43333</v>
      </c>
      <c r="F124" s="3016">
        <v>44094</v>
      </c>
      <c r="G124" s="3016">
        <v>43333</v>
      </c>
      <c r="H124" s="3016"/>
      <c r="I124" s="3017">
        <v>761</v>
      </c>
      <c r="J124" s="3017">
        <v>0</v>
      </c>
      <c r="K124" s="3018">
        <v>475.2</v>
      </c>
      <c r="L124" s="2988">
        <f t="shared" si="2"/>
        <v>203176.51199999999</v>
      </c>
      <c r="M124" s="3018">
        <v>75.064499999999995</v>
      </c>
      <c r="N124" s="3018">
        <v>340</v>
      </c>
      <c r="O124" s="2988">
        <f t="shared" si="3"/>
        <v>145370.40000000002</v>
      </c>
      <c r="P124" s="3018">
        <v>423284.4</v>
      </c>
      <c r="Q124" s="3018">
        <v>66863.72</v>
      </c>
      <c r="R124" s="3018">
        <v>12826.8</v>
      </c>
      <c r="S124" s="3018">
        <v>0</v>
      </c>
    </row>
    <row r="125" spans="1:19" s="3013" customFormat="1" ht="13.5" customHeight="1">
      <c r="A125" s="3013">
        <v>123</v>
      </c>
      <c r="B125" s="3014" t="s">
        <v>3554</v>
      </c>
      <c r="C125" s="3015">
        <v>169.08</v>
      </c>
      <c r="D125" s="3016">
        <v>43097</v>
      </c>
      <c r="E125" s="3016">
        <v>43319</v>
      </c>
      <c r="F125" s="3016">
        <v>44459</v>
      </c>
      <c r="G125" s="3016">
        <v>43319</v>
      </c>
      <c r="H125" s="3016"/>
      <c r="I125" s="3017">
        <v>1140</v>
      </c>
      <c r="J125" s="3017">
        <v>0</v>
      </c>
      <c r="K125" s="3018">
        <v>212.75450000000001</v>
      </c>
      <c r="L125" s="2988">
        <f t="shared" si="2"/>
        <v>431670.3703200001</v>
      </c>
      <c r="M125" s="3018">
        <v>75.043099999999995</v>
      </c>
      <c r="N125" s="3018">
        <v>155.33330000000001</v>
      </c>
      <c r="O125" s="2988">
        <f t="shared" si="3"/>
        <v>315165.05236800003</v>
      </c>
      <c r="P125" s="3018">
        <v>1347229.44</v>
      </c>
      <c r="Q125" s="3018">
        <v>475196.61</v>
      </c>
      <c r="R125" s="3018">
        <v>91303.2</v>
      </c>
      <c r="S125" s="3018">
        <v>21600</v>
      </c>
    </row>
    <row r="126" spans="1:19" s="3013" customFormat="1" ht="13.5" customHeight="1">
      <c r="A126" s="3013">
        <v>124</v>
      </c>
      <c r="B126" s="3014" t="s">
        <v>3554</v>
      </c>
      <c r="C126" s="3015">
        <v>287.06</v>
      </c>
      <c r="D126" s="3016">
        <v>43097</v>
      </c>
      <c r="E126" s="3016">
        <v>43274</v>
      </c>
      <c r="F126" s="3016">
        <v>45555</v>
      </c>
      <c r="G126" s="3016">
        <v>43274</v>
      </c>
      <c r="H126" s="3016"/>
      <c r="I126" s="3017">
        <v>2281</v>
      </c>
      <c r="J126" s="3017">
        <v>0</v>
      </c>
      <c r="K126" s="3018">
        <v>88.396000000000001</v>
      </c>
      <c r="L126" s="2988">
        <f t="shared" si="2"/>
        <v>304499.46912000002</v>
      </c>
      <c r="M126" s="3018">
        <v>74.997799999999998</v>
      </c>
      <c r="N126" s="3018">
        <v>70</v>
      </c>
      <c r="O126" s="2988">
        <f t="shared" si="3"/>
        <v>241130.40000000002</v>
      </c>
      <c r="P126" s="3018">
        <v>1901485.43</v>
      </c>
      <c r="Q126" s="3018">
        <v>1613277.2</v>
      </c>
      <c r="R126" s="3018">
        <v>310024.8</v>
      </c>
      <c r="S126" s="3018">
        <v>0</v>
      </c>
    </row>
    <row r="127" spans="1:19" s="3013" customFormat="1" ht="13.5" customHeight="1">
      <c r="A127" s="3013">
        <v>125</v>
      </c>
      <c r="B127" s="3014" t="s">
        <v>3554</v>
      </c>
      <c r="C127" s="3015">
        <v>324.24</v>
      </c>
      <c r="D127" s="3016">
        <v>43222</v>
      </c>
      <c r="E127" s="3016">
        <v>43274</v>
      </c>
      <c r="F127" s="3016">
        <v>45189</v>
      </c>
      <c r="G127" s="3016">
        <v>43274</v>
      </c>
      <c r="H127" s="3016"/>
      <c r="I127" s="3017">
        <v>1915</v>
      </c>
      <c r="J127" s="3017">
        <v>0</v>
      </c>
      <c r="K127" s="3018">
        <v>143.00360000000001</v>
      </c>
      <c r="L127" s="2988">
        <f t="shared" si="2"/>
        <v>556409.84716800007</v>
      </c>
      <c r="M127" s="3018">
        <v>74.997399999999999</v>
      </c>
      <c r="N127" s="3018">
        <v>120</v>
      </c>
      <c r="O127" s="2988">
        <f t="shared" si="3"/>
        <v>466905.60000000003</v>
      </c>
      <c r="P127" s="3018">
        <v>2918160</v>
      </c>
      <c r="Q127" s="3018">
        <v>1530412.8</v>
      </c>
      <c r="R127" s="3018">
        <v>291816</v>
      </c>
      <c r="S127" s="3018">
        <v>0</v>
      </c>
    </row>
    <row r="128" spans="1:19" s="3013" customFormat="1" ht="13.5" customHeight="1">
      <c r="A128" s="3013">
        <v>126</v>
      </c>
      <c r="B128" s="3014" t="s">
        <v>3554</v>
      </c>
      <c r="C128" s="3015">
        <v>136.07</v>
      </c>
      <c r="D128" s="3016">
        <v>43186</v>
      </c>
      <c r="E128" s="3016">
        <v>43304</v>
      </c>
      <c r="F128" s="3016">
        <v>44459</v>
      </c>
      <c r="G128" s="3016">
        <v>43304</v>
      </c>
      <c r="H128" s="3016"/>
      <c r="I128" s="3017">
        <v>1155</v>
      </c>
      <c r="J128" s="3017">
        <v>0</v>
      </c>
      <c r="K128" s="3018">
        <v>269.88979999999998</v>
      </c>
      <c r="L128" s="2988">
        <f t="shared" si="2"/>
        <v>440686.86103199999</v>
      </c>
      <c r="M128" s="3018">
        <v>75.042500000000004</v>
      </c>
      <c r="N128" s="3018">
        <v>198.4667</v>
      </c>
      <c r="O128" s="2988">
        <f t="shared" si="3"/>
        <v>324064.36642800004</v>
      </c>
      <c r="P128" s="3018">
        <v>1393139.12</v>
      </c>
      <c r="Q128" s="3018">
        <v>387360.56</v>
      </c>
      <c r="R128" s="3018">
        <v>73477.8</v>
      </c>
      <c r="S128" s="3018">
        <v>21600</v>
      </c>
    </row>
    <row r="129" spans="1:19" s="3013" customFormat="1" ht="13.5" customHeight="1">
      <c r="A129" s="3013">
        <v>127</v>
      </c>
      <c r="B129" s="3014" t="s">
        <v>3554</v>
      </c>
      <c r="C129" s="3015">
        <v>170.19</v>
      </c>
      <c r="D129" s="3016">
        <v>43098</v>
      </c>
      <c r="E129" s="3016">
        <v>43304</v>
      </c>
      <c r="F129" s="3016">
        <v>44459</v>
      </c>
      <c r="G129" s="3016">
        <v>43304</v>
      </c>
      <c r="H129" s="3016"/>
      <c r="I129" s="3017">
        <v>1155</v>
      </c>
      <c r="J129" s="3017">
        <v>0</v>
      </c>
      <c r="K129" s="3018">
        <v>189.79589999999999</v>
      </c>
      <c r="L129" s="2988">
        <f t="shared" si="2"/>
        <v>387616.37065199995</v>
      </c>
      <c r="M129" s="3018">
        <v>75.042500000000004</v>
      </c>
      <c r="N129" s="3018">
        <v>140</v>
      </c>
      <c r="O129" s="2988">
        <f t="shared" si="3"/>
        <v>285919.19999999995</v>
      </c>
      <c r="P129" s="3018">
        <v>1225368</v>
      </c>
      <c r="Q129" s="3018">
        <v>484492.5</v>
      </c>
      <c r="R129" s="3018">
        <v>91902.6</v>
      </c>
      <c r="S129" s="3018">
        <v>0</v>
      </c>
    </row>
    <row r="130" spans="1:19" s="3013" customFormat="1" ht="13.5" customHeight="1">
      <c r="A130" s="3013">
        <v>128</v>
      </c>
      <c r="B130" s="3014" t="s">
        <v>3554</v>
      </c>
      <c r="C130" s="3015">
        <v>310.64</v>
      </c>
      <c r="D130" s="3016">
        <v>43091</v>
      </c>
      <c r="E130" s="3016">
        <v>43302</v>
      </c>
      <c r="F130" s="3016">
        <v>45189</v>
      </c>
      <c r="G130" s="3016">
        <v>43302</v>
      </c>
      <c r="H130" s="3016"/>
      <c r="I130" s="3017">
        <v>1887</v>
      </c>
      <c r="J130" s="3017">
        <v>0</v>
      </c>
      <c r="K130" s="3018">
        <v>139.93549999999999</v>
      </c>
      <c r="L130" s="2988">
        <f t="shared" si="2"/>
        <v>521634.76463999995</v>
      </c>
      <c r="M130" s="3018">
        <v>75.025999999999996</v>
      </c>
      <c r="N130" s="3018">
        <v>106.66670000000001</v>
      </c>
      <c r="O130" s="2988">
        <f t="shared" si="3"/>
        <v>397619.32425599999</v>
      </c>
      <c r="P130" s="3018">
        <v>2695112.64</v>
      </c>
      <c r="Q130" s="3018">
        <v>1444977.03</v>
      </c>
      <c r="R130" s="3018">
        <v>279576</v>
      </c>
      <c r="S130" s="3018">
        <v>0</v>
      </c>
    </row>
    <row r="131" spans="1:19" s="3013" customFormat="1" ht="13.5" customHeight="1">
      <c r="A131" s="3013">
        <v>129</v>
      </c>
      <c r="B131" s="3014" t="s">
        <v>3554</v>
      </c>
      <c r="C131" s="3015">
        <v>99.49</v>
      </c>
      <c r="D131" s="3016">
        <v>43181</v>
      </c>
      <c r="E131" s="3016">
        <v>43333</v>
      </c>
      <c r="F131" s="3016">
        <v>44459</v>
      </c>
      <c r="G131" s="3016">
        <v>43333</v>
      </c>
      <c r="H131" s="3016"/>
      <c r="I131" s="3017">
        <v>1126</v>
      </c>
      <c r="J131" s="3017">
        <v>0</v>
      </c>
      <c r="K131" s="3018">
        <v>220.21619999999999</v>
      </c>
      <c r="L131" s="2988">
        <f t="shared" si="2"/>
        <v>262911.71685599996</v>
      </c>
      <c r="M131" s="3018">
        <v>75.043599999999998</v>
      </c>
      <c r="N131" s="3018">
        <v>158.66669999999999</v>
      </c>
      <c r="O131" s="2988">
        <f t="shared" si="3"/>
        <v>189428.99979599996</v>
      </c>
      <c r="P131" s="3018">
        <v>810644.53</v>
      </c>
      <c r="Q131" s="3018">
        <v>276245.21999999997</v>
      </c>
      <c r="R131" s="3018">
        <v>53724.6</v>
      </c>
      <c r="S131" s="3018">
        <v>0</v>
      </c>
    </row>
    <row r="132" spans="1:19" s="3013" customFormat="1" ht="13.5" customHeight="1">
      <c r="A132" s="3013">
        <v>130</v>
      </c>
      <c r="B132" s="3014" t="s">
        <v>3554</v>
      </c>
      <c r="C132" s="3015">
        <v>27</v>
      </c>
      <c r="D132" s="3016">
        <v>43222</v>
      </c>
      <c r="E132" s="3016">
        <v>43333</v>
      </c>
      <c r="F132" s="3016">
        <v>44094</v>
      </c>
      <c r="G132" s="3016">
        <v>43333</v>
      </c>
      <c r="H132" s="3016"/>
      <c r="I132" s="3017">
        <v>761</v>
      </c>
      <c r="J132" s="3017">
        <v>0</v>
      </c>
      <c r="K132" s="3018">
        <v>542.4</v>
      </c>
      <c r="L132" s="2988">
        <f t="shared" ref="L132:L158" si="4">K132*C132*12</f>
        <v>175737.59999999998</v>
      </c>
      <c r="M132" s="3018">
        <v>75.064499999999995</v>
      </c>
      <c r="N132" s="3018">
        <v>386.66669999999999</v>
      </c>
      <c r="O132" s="2988">
        <f t="shared" ref="O132:O158" si="5">N132*C132*12</f>
        <v>125280.01079999999</v>
      </c>
      <c r="P132" s="3018">
        <v>366120</v>
      </c>
      <c r="Q132" s="3018">
        <v>50668.55</v>
      </c>
      <c r="R132" s="3018">
        <v>9720</v>
      </c>
      <c r="S132" s="3018">
        <v>14400</v>
      </c>
    </row>
    <row r="133" spans="1:19" s="3001" customFormat="1" ht="13.5" customHeight="1">
      <c r="A133" s="3001">
        <v>131</v>
      </c>
      <c r="B133" s="3002" t="s">
        <v>3555</v>
      </c>
      <c r="C133" s="3003">
        <v>5609.67</v>
      </c>
      <c r="D133" s="3004">
        <v>43077</v>
      </c>
      <c r="E133" s="3004">
        <v>43211</v>
      </c>
      <c r="F133" s="3004">
        <v>48842</v>
      </c>
      <c r="G133" s="3004">
        <v>43211</v>
      </c>
      <c r="H133" s="3004"/>
      <c r="I133" s="3005">
        <v>5631</v>
      </c>
      <c r="J133" s="3005">
        <v>0</v>
      </c>
      <c r="K133" s="3006">
        <v>67.072900000000004</v>
      </c>
      <c r="L133" s="2988">
        <f t="shared" si="4"/>
        <v>4515082.0193160009</v>
      </c>
      <c r="M133" s="3006">
        <v>24.3919</v>
      </c>
      <c r="N133" s="3006">
        <v>52.213299999999997</v>
      </c>
      <c r="O133" s="2988">
        <f t="shared" si="5"/>
        <v>3514792.5913319997</v>
      </c>
      <c r="P133" s="3006">
        <v>69607477.920000002</v>
      </c>
      <c r="Q133" s="3006">
        <v>25313635.879999999</v>
      </c>
      <c r="R133" s="3006">
        <v>0</v>
      </c>
      <c r="S133" s="3006">
        <v>0</v>
      </c>
    </row>
    <row r="134" spans="1:19" s="3001" customFormat="1" ht="13.5" customHeight="1">
      <c r="A134" s="3001">
        <v>132</v>
      </c>
      <c r="B134" s="3002" t="s">
        <v>3555</v>
      </c>
      <c r="C134" s="3003">
        <v>119</v>
      </c>
      <c r="D134" s="3004">
        <v>43080</v>
      </c>
      <c r="E134" s="3004">
        <v>43302</v>
      </c>
      <c r="F134" s="3004">
        <v>44459</v>
      </c>
      <c r="G134" s="3004">
        <v>43302</v>
      </c>
      <c r="H134" s="3004"/>
      <c r="I134" s="3005">
        <v>1157</v>
      </c>
      <c r="J134" s="3005">
        <v>0</v>
      </c>
      <c r="K134" s="3006">
        <v>473.68419999999998</v>
      </c>
      <c r="L134" s="2988">
        <f t="shared" si="4"/>
        <v>676421.03759999992</v>
      </c>
      <c r="M134" s="3006">
        <v>75.042400000000001</v>
      </c>
      <c r="N134" s="3006">
        <v>366.66660000000002</v>
      </c>
      <c r="O134" s="2988">
        <f t="shared" si="5"/>
        <v>523599.90480000002</v>
      </c>
      <c r="P134" s="3006">
        <v>2141999.9900000002</v>
      </c>
      <c r="Q134" s="3006">
        <v>339341.94</v>
      </c>
      <c r="R134" s="3006">
        <v>64260</v>
      </c>
      <c r="S134" s="3006">
        <v>0</v>
      </c>
    </row>
    <row r="135" spans="1:19" s="3001" customFormat="1" ht="13.5" customHeight="1">
      <c r="A135" s="3001">
        <v>133</v>
      </c>
      <c r="B135" s="3002" t="s">
        <v>3555</v>
      </c>
      <c r="C135" s="3003">
        <v>64.14</v>
      </c>
      <c r="D135" s="3004">
        <v>43188</v>
      </c>
      <c r="E135" s="3004">
        <v>43333</v>
      </c>
      <c r="F135" s="3004">
        <v>44094</v>
      </c>
      <c r="G135" s="3004">
        <v>43333</v>
      </c>
      <c r="H135" s="3004"/>
      <c r="I135" s="3005">
        <v>761</v>
      </c>
      <c r="J135" s="3005">
        <v>0</v>
      </c>
      <c r="K135" s="3006">
        <v>409.44</v>
      </c>
      <c r="L135" s="2988">
        <f t="shared" si="4"/>
        <v>315137.77919999999</v>
      </c>
      <c r="M135" s="3006">
        <v>75.064499999999995</v>
      </c>
      <c r="N135" s="3006">
        <v>295.33330000000001</v>
      </c>
      <c r="O135" s="2988">
        <f t="shared" si="5"/>
        <v>227312.13434400002</v>
      </c>
      <c r="P135" s="3006">
        <v>656537.04</v>
      </c>
      <c r="Q135" s="3006">
        <v>120365.95</v>
      </c>
      <c r="R135" s="3006">
        <v>23090.400000000001</v>
      </c>
      <c r="S135" s="3006">
        <v>14400</v>
      </c>
    </row>
    <row r="136" spans="1:19" s="3001" customFormat="1" ht="13.5" customHeight="1">
      <c r="A136" s="3001">
        <v>134</v>
      </c>
      <c r="B136" s="3002" t="s">
        <v>3555</v>
      </c>
      <c r="C136" s="3003">
        <v>104.58</v>
      </c>
      <c r="D136" s="3004">
        <v>43182</v>
      </c>
      <c r="E136" s="3004">
        <v>43333</v>
      </c>
      <c r="F136" s="3004">
        <v>44094</v>
      </c>
      <c r="G136" s="3004">
        <v>43333</v>
      </c>
      <c r="H136" s="3004"/>
      <c r="I136" s="3005">
        <v>761</v>
      </c>
      <c r="J136" s="3005">
        <v>0</v>
      </c>
      <c r="K136" s="3006">
        <v>360</v>
      </c>
      <c r="L136" s="2988">
        <f t="shared" si="4"/>
        <v>451785.60000000003</v>
      </c>
      <c r="M136" s="3006">
        <v>75.064499999999995</v>
      </c>
      <c r="N136" s="3006">
        <v>260</v>
      </c>
      <c r="O136" s="2988">
        <f t="shared" si="5"/>
        <v>326289.59999999998</v>
      </c>
      <c r="P136" s="3006">
        <v>941220</v>
      </c>
      <c r="Q136" s="3006">
        <v>196256.18</v>
      </c>
      <c r="R136" s="3006">
        <v>37648.800000000003</v>
      </c>
      <c r="S136" s="3006">
        <v>0</v>
      </c>
    </row>
    <row r="137" spans="1:19" s="3001" customFormat="1" ht="13.5" customHeight="1">
      <c r="A137" s="3001">
        <v>135</v>
      </c>
      <c r="B137" s="3002" t="s">
        <v>3555</v>
      </c>
      <c r="C137" s="3003">
        <v>31.24</v>
      </c>
      <c r="D137" s="3004">
        <v>43188</v>
      </c>
      <c r="E137" s="3004">
        <v>43333</v>
      </c>
      <c r="F137" s="3004">
        <v>44094</v>
      </c>
      <c r="G137" s="3004">
        <v>43333</v>
      </c>
      <c r="H137" s="3004"/>
      <c r="I137" s="3005">
        <v>761</v>
      </c>
      <c r="J137" s="3005">
        <v>0</v>
      </c>
      <c r="K137" s="3006">
        <v>364.8</v>
      </c>
      <c r="L137" s="2988">
        <f t="shared" si="4"/>
        <v>136756.22399999999</v>
      </c>
      <c r="M137" s="3006">
        <v>39.064500000000002</v>
      </c>
      <c r="N137" s="3006">
        <v>263.33319999999998</v>
      </c>
      <c r="O137" s="2988">
        <f t="shared" si="5"/>
        <v>98718.350015999982</v>
      </c>
      <c r="P137" s="3006">
        <v>284908.79999999999</v>
      </c>
      <c r="Q137" s="3006">
        <v>30509.39</v>
      </c>
      <c r="R137" s="3006">
        <v>11246.4</v>
      </c>
      <c r="S137" s="3006">
        <v>0</v>
      </c>
    </row>
    <row r="138" spans="1:19" s="3001" customFormat="1" ht="13.5" customHeight="1">
      <c r="A138" s="3001">
        <v>136</v>
      </c>
      <c r="B138" s="3002" t="s">
        <v>3555</v>
      </c>
      <c r="C138" s="3003">
        <v>31.24</v>
      </c>
      <c r="D138" s="3004">
        <v>43185</v>
      </c>
      <c r="E138" s="3004">
        <v>43333</v>
      </c>
      <c r="F138" s="3004">
        <v>44094</v>
      </c>
      <c r="G138" s="3004">
        <v>43333</v>
      </c>
      <c r="H138" s="3004"/>
      <c r="I138" s="3005">
        <v>761</v>
      </c>
      <c r="J138" s="3005">
        <v>0</v>
      </c>
      <c r="K138" s="3006">
        <v>379.392</v>
      </c>
      <c r="L138" s="2988">
        <f t="shared" si="4"/>
        <v>142226.47295999998</v>
      </c>
      <c r="M138" s="3006">
        <v>75.064499999999995</v>
      </c>
      <c r="N138" s="3006">
        <v>273.59989999999999</v>
      </c>
      <c r="O138" s="2988">
        <f t="shared" si="5"/>
        <v>102567.13051199997</v>
      </c>
      <c r="P138" s="3006">
        <v>296305.17</v>
      </c>
      <c r="Q138" s="3006">
        <v>58625.39</v>
      </c>
      <c r="R138" s="3006">
        <v>11246.4</v>
      </c>
      <c r="S138" s="3006">
        <v>14400</v>
      </c>
    </row>
    <row r="139" spans="1:19" s="3001" customFormat="1" ht="13.5" customHeight="1">
      <c r="A139" s="3001">
        <v>137</v>
      </c>
      <c r="B139" s="3002" t="s">
        <v>3555</v>
      </c>
      <c r="C139" s="3003">
        <v>30.7</v>
      </c>
      <c r="D139" s="3004">
        <v>43188</v>
      </c>
      <c r="E139" s="3004">
        <v>43333</v>
      </c>
      <c r="F139" s="3004">
        <v>44094</v>
      </c>
      <c r="G139" s="3004">
        <v>43333</v>
      </c>
      <c r="H139" s="3004"/>
      <c r="I139" s="3005">
        <v>761</v>
      </c>
      <c r="J139" s="3005">
        <v>0</v>
      </c>
      <c r="K139" s="3006">
        <v>400.8</v>
      </c>
      <c r="L139" s="2988">
        <f t="shared" si="4"/>
        <v>147654.72</v>
      </c>
      <c r="M139" s="3006">
        <v>75.064499999999995</v>
      </c>
      <c r="N139" s="3006">
        <v>290</v>
      </c>
      <c r="O139" s="2988">
        <f t="shared" si="5"/>
        <v>106836</v>
      </c>
      <c r="P139" s="3006">
        <v>307614</v>
      </c>
      <c r="Q139" s="3006">
        <v>57612.02</v>
      </c>
      <c r="R139" s="3006">
        <v>11052</v>
      </c>
      <c r="S139" s="3006">
        <v>14400</v>
      </c>
    </row>
    <row r="140" spans="1:19" s="3001" customFormat="1" ht="13.5" customHeight="1">
      <c r="A140" s="3001">
        <v>138</v>
      </c>
      <c r="B140" s="3002" t="s">
        <v>3555</v>
      </c>
      <c r="C140" s="3003">
        <v>164.68</v>
      </c>
      <c r="D140" s="3004">
        <v>43167</v>
      </c>
      <c r="E140" s="3004">
        <v>43273</v>
      </c>
      <c r="F140" s="3004">
        <v>47016</v>
      </c>
      <c r="G140" s="3004">
        <v>43273</v>
      </c>
      <c r="H140" s="3004"/>
      <c r="I140" s="3005">
        <v>3743</v>
      </c>
      <c r="J140" s="3005">
        <v>0</v>
      </c>
      <c r="K140" s="3006">
        <v>368.24489999999997</v>
      </c>
      <c r="L140" s="2988">
        <f t="shared" si="4"/>
        <v>727710.84158400004</v>
      </c>
      <c r="M140" s="3006">
        <v>74.999300000000005</v>
      </c>
      <c r="N140" s="3006">
        <v>310.29329999999999</v>
      </c>
      <c r="O140" s="2988">
        <f t="shared" si="5"/>
        <v>613189.20772800001</v>
      </c>
      <c r="P140" s="3006">
        <v>7457079.3099999996</v>
      </c>
      <c r="Q140" s="3006">
        <v>1518761.3</v>
      </c>
      <c r="R140" s="3006">
        <v>296424</v>
      </c>
      <c r="S140" s="3006">
        <v>0</v>
      </c>
    </row>
    <row r="141" spans="1:19" s="3001" customFormat="1" ht="13.5" customHeight="1">
      <c r="A141" s="3001">
        <v>139</v>
      </c>
      <c r="B141" s="3002" t="s">
        <v>3555</v>
      </c>
      <c r="C141" s="3003">
        <v>142.86000000000001</v>
      </c>
      <c r="D141" s="3004">
        <v>43097</v>
      </c>
      <c r="E141" s="3004">
        <v>43318</v>
      </c>
      <c r="F141" s="3004">
        <v>44459</v>
      </c>
      <c r="G141" s="3004">
        <v>43318</v>
      </c>
      <c r="H141" s="3004"/>
      <c r="I141" s="3005">
        <v>1141</v>
      </c>
      <c r="J141" s="3005">
        <v>0</v>
      </c>
      <c r="K141" s="3006">
        <v>273.71769999999998</v>
      </c>
      <c r="L141" s="2988">
        <f t="shared" si="4"/>
        <v>469239.727464</v>
      </c>
      <c r="M141" s="3006">
        <v>75.043000000000006</v>
      </c>
      <c r="N141" s="3006">
        <v>200</v>
      </c>
      <c r="O141" s="2988">
        <f t="shared" si="5"/>
        <v>342864.00000000006</v>
      </c>
      <c r="P141" s="3006">
        <v>1465743.6</v>
      </c>
      <c r="Q141" s="3006">
        <v>401851.35</v>
      </c>
      <c r="R141" s="3006">
        <v>77144.399999999994</v>
      </c>
      <c r="S141" s="3006">
        <v>0</v>
      </c>
    </row>
    <row r="142" spans="1:19" s="3001" customFormat="1" ht="13.5" customHeight="1">
      <c r="A142" s="3001">
        <v>140</v>
      </c>
      <c r="B142" s="3002" t="s">
        <v>3555</v>
      </c>
      <c r="C142" s="3003">
        <v>169.89</v>
      </c>
      <c r="D142" s="3004">
        <v>43188</v>
      </c>
      <c r="E142" s="3004">
        <v>43302</v>
      </c>
      <c r="F142" s="3004">
        <v>44824</v>
      </c>
      <c r="G142" s="3004">
        <v>43302</v>
      </c>
      <c r="H142" s="3004"/>
      <c r="I142" s="3005">
        <v>1522</v>
      </c>
      <c r="J142" s="3005">
        <v>0</v>
      </c>
      <c r="K142" s="3006">
        <v>279.31200000000001</v>
      </c>
      <c r="L142" s="2988">
        <f t="shared" si="4"/>
        <v>569427.78816</v>
      </c>
      <c r="M142" s="3006">
        <v>75.032300000000006</v>
      </c>
      <c r="N142" s="3006">
        <v>208.4</v>
      </c>
      <c r="O142" s="2988">
        <f t="shared" si="5"/>
        <v>424860.91200000001</v>
      </c>
      <c r="P142" s="3006">
        <v>2372615.7999999998</v>
      </c>
      <c r="Q142" s="3006">
        <v>637361.52</v>
      </c>
      <c r="R142" s="3006">
        <v>122320.8</v>
      </c>
      <c r="S142" s="3006">
        <v>0</v>
      </c>
    </row>
    <row r="143" spans="1:19" s="3001" customFormat="1" ht="13.5" customHeight="1">
      <c r="A143" s="3001">
        <v>141</v>
      </c>
      <c r="B143" s="3002" t="s">
        <v>3555</v>
      </c>
      <c r="C143" s="3003">
        <v>100.24</v>
      </c>
      <c r="D143" s="3004">
        <v>43080</v>
      </c>
      <c r="E143" s="3004">
        <v>43333</v>
      </c>
      <c r="F143" s="3004">
        <v>44094</v>
      </c>
      <c r="G143" s="3004">
        <v>43333</v>
      </c>
      <c r="H143" s="3004"/>
      <c r="I143" s="3005">
        <v>761</v>
      </c>
      <c r="J143" s="3005">
        <v>0</v>
      </c>
      <c r="K143" s="3006">
        <v>419.52</v>
      </c>
      <c r="L143" s="2988">
        <f t="shared" si="4"/>
        <v>504632.21759999997</v>
      </c>
      <c r="M143" s="3006">
        <v>75.064499999999995</v>
      </c>
      <c r="N143" s="3006">
        <v>302.66669999999999</v>
      </c>
      <c r="O143" s="2988">
        <f t="shared" si="5"/>
        <v>364071.72009599995</v>
      </c>
      <c r="P143" s="3006">
        <v>1051317.1200000001</v>
      </c>
      <c r="Q143" s="3006">
        <v>188111.68</v>
      </c>
      <c r="R143" s="3006">
        <v>36086.400000000001</v>
      </c>
      <c r="S143" s="3006">
        <v>14400</v>
      </c>
    </row>
    <row r="144" spans="1:19" s="3001" customFormat="1" ht="13.5" customHeight="1">
      <c r="A144" s="3001">
        <v>142</v>
      </c>
      <c r="B144" s="3002" t="s">
        <v>3555</v>
      </c>
      <c r="C144" s="3003">
        <v>85.21</v>
      </c>
      <c r="D144" s="3004">
        <v>43080</v>
      </c>
      <c r="E144" s="3004">
        <v>43333</v>
      </c>
      <c r="F144" s="3004">
        <v>44094</v>
      </c>
      <c r="G144" s="3004">
        <v>43333</v>
      </c>
      <c r="H144" s="3004"/>
      <c r="I144" s="3005">
        <v>761</v>
      </c>
      <c r="J144" s="3005">
        <v>0</v>
      </c>
      <c r="K144" s="3006">
        <v>419.52</v>
      </c>
      <c r="L144" s="2988">
        <f t="shared" si="4"/>
        <v>428967.59039999993</v>
      </c>
      <c r="M144" s="3006">
        <v>75.064499999999995</v>
      </c>
      <c r="N144" s="3006">
        <v>302.66669999999999</v>
      </c>
      <c r="O144" s="2988">
        <f t="shared" si="5"/>
        <v>309482.75408399996</v>
      </c>
      <c r="P144" s="3006">
        <v>893682.48</v>
      </c>
      <c r="Q144" s="3006">
        <v>159906.19</v>
      </c>
      <c r="R144" s="3006">
        <v>30675.599999999999</v>
      </c>
      <c r="S144" s="3006">
        <v>14400</v>
      </c>
    </row>
    <row r="145" spans="1:19" s="3001" customFormat="1" ht="13.5" customHeight="1">
      <c r="A145" s="3001">
        <v>143</v>
      </c>
      <c r="B145" s="3002" t="s">
        <v>3555</v>
      </c>
      <c r="C145" s="3003">
        <v>30.97</v>
      </c>
      <c r="D145" s="3004">
        <v>43210</v>
      </c>
      <c r="E145" s="3004">
        <v>43333</v>
      </c>
      <c r="F145" s="3004">
        <v>44094</v>
      </c>
      <c r="G145" s="3004">
        <v>43333</v>
      </c>
      <c r="H145" s="3004"/>
      <c r="I145" s="3005">
        <v>761</v>
      </c>
      <c r="J145" s="3005">
        <v>0</v>
      </c>
      <c r="K145" s="3006">
        <v>417.6</v>
      </c>
      <c r="L145" s="2988">
        <f t="shared" si="4"/>
        <v>155196.864</v>
      </c>
      <c r="M145" s="3006">
        <v>75.064499999999995</v>
      </c>
      <c r="N145" s="3006">
        <v>300</v>
      </c>
      <c r="O145" s="2988">
        <f t="shared" si="5"/>
        <v>111492</v>
      </c>
      <c r="P145" s="3006">
        <v>323326.8</v>
      </c>
      <c r="Q145" s="3006">
        <v>58118.7</v>
      </c>
      <c r="R145" s="3006">
        <v>11149.2</v>
      </c>
      <c r="S145" s="3006">
        <v>14400</v>
      </c>
    </row>
    <row r="146" spans="1:19" s="3001" customFormat="1" ht="13.5" customHeight="1">
      <c r="A146" s="3001">
        <v>144</v>
      </c>
      <c r="B146" s="3002" t="s">
        <v>3555</v>
      </c>
      <c r="C146" s="3003">
        <v>418.74</v>
      </c>
      <c r="D146" s="3004">
        <v>43097</v>
      </c>
      <c r="E146" s="3004">
        <v>43274</v>
      </c>
      <c r="F146" s="3004">
        <v>45189</v>
      </c>
      <c r="G146" s="3004">
        <v>43274</v>
      </c>
      <c r="H146" s="3004"/>
      <c r="I146" s="3005">
        <v>1915</v>
      </c>
      <c r="J146" s="3005">
        <v>0</v>
      </c>
      <c r="K146" s="3006">
        <v>94.878100000000003</v>
      </c>
      <c r="L146" s="2988">
        <f t="shared" si="4"/>
        <v>476751.06712800002</v>
      </c>
      <c r="M146" s="3006">
        <v>29.998999999999999</v>
      </c>
      <c r="N146" s="3006">
        <v>73</v>
      </c>
      <c r="O146" s="2988">
        <f t="shared" si="5"/>
        <v>366816.24</v>
      </c>
      <c r="P146" s="3006">
        <v>2500380.31</v>
      </c>
      <c r="Q146" s="3006">
        <v>790581.12</v>
      </c>
      <c r="R146" s="3006">
        <v>376866</v>
      </c>
      <c r="S146" s="3006">
        <v>0</v>
      </c>
    </row>
    <row r="147" spans="1:19" s="3001" customFormat="1" ht="13.5" customHeight="1">
      <c r="A147" s="3001">
        <v>145</v>
      </c>
      <c r="B147" s="3002" t="s">
        <v>3555</v>
      </c>
      <c r="C147" s="3003">
        <v>96.05</v>
      </c>
      <c r="D147" s="3004">
        <v>43136</v>
      </c>
      <c r="E147" s="3004">
        <v>43333</v>
      </c>
      <c r="F147" s="3004">
        <v>44459</v>
      </c>
      <c r="G147" s="3004">
        <v>43333</v>
      </c>
      <c r="H147" s="3004"/>
      <c r="I147" s="3005">
        <v>1126</v>
      </c>
      <c r="J147" s="3005">
        <v>0</v>
      </c>
      <c r="K147" s="3006">
        <v>491.67570000000001</v>
      </c>
      <c r="L147" s="2988">
        <f t="shared" si="4"/>
        <v>566705.41181999992</v>
      </c>
      <c r="M147" s="3006">
        <v>75.043599999999998</v>
      </c>
      <c r="N147" s="3006">
        <v>354</v>
      </c>
      <c r="O147" s="2988">
        <f t="shared" si="5"/>
        <v>408020.39999999997</v>
      </c>
      <c r="P147" s="3006">
        <v>1747341.6</v>
      </c>
      <c r="Q147" s="3006">
        <v>266693.67</v>
      </c>
      <c r="R147" s="3006">
        <v>51867</v>
      </c>
      <c r="S147" s="3006">
        <v>0</v>
      </c>
    </row>
    <row r="148" spans="1:19" s="3001" customFormat="1" ht="13.5" customHeight="1">
      <c r="A148" s="3001">
        <v>146</v>
      </c>
      <c r="B148" s="3002" t="s">
        <v>3555</v>
      </c>
      <c r="C148" s="3003">
        <v>46.2</v>
      </c>
      <c r="D148" s="3004">
        <v>43175</v>
      </c>
      <c r="E148" s="3004">
        <v>43334</v>
      </c>
      <c r="F148" s="3004">
        <v>44094</v>
      </c>
      <c r="G148" s="3004">
        <v>43334</v>
      </c>
      <c r="H148" s="3004"/>
      <c r="I148" s="3005">
        <v>760</v>
      </c>
      <c r="J148" s="3005">
        <v>0</v>
      </c>
      <c r="K148" s="3006">
        <v>427.75189999999998</v>
      </c>
      <c r="L148" s="2988">
        <f t="shared" si="4"/>
        <v>237145.65336</v>
      </c>
      <c r="M148" s="3006">
        <v>75.064599999999999</v>
      </c>
      <c r="N148" s="3006">
        <v>306.66669999999999</v>
      </c>
      <c r="O148" s="2988">
        <f t="shared" si="5"/>
        <v>170016.01848000003</v>
      </c>
      <c r="P148" s="3006">
        <v>493416</v>
      </c>
      <c r="Q148" s="3006">
        <v>86587.74</v>
      </c>
      <c r="R148" s="3006">
        <v>16632</v>
      </c>
      <c r="S148" s="3006">
        <v>14400</v>
      </c>
    </row>
    <row r="149" spans="1:19" s="3001" customFormat="1" ht="13.5" customHeight="1">
      <c r="A149" s="3001">
        <v>147</v>
      </c>
      <c r="B149" s="3002" t="s">
        <v>3555</v>
      </c>
      <c r="C149" s="3003">
        <v>32.24</v>
      </c>
      <c r="D149" s="3004">
        <v>43098</v>
      </c>
      <c r="E149" s="3004">
        <v>43333</v>
      </c>
      <c r="F149" s="3004">
        <v>44094</v>
      </c>
      <c r="G149" s="3004">
        <v>43333</v>
      </c>
      <c r="H149" s="3004"/>
      <c r="I149" s="3005">
        <v>761</v>
      </c>
      <c r="J149" s="3005">
        <v>0</v>
      </c>
      <c r="K149" s="3006">
        <v>531.36</v>
      </c>
      <c r="L149" s="2988">
        <f t="shared" si="4"/>
        <v>205572.55680000002</v>
      </c>
      <c r="M149" s="3006">
        <v>75.064499999999995</v>
      </c>
      <c r="N149" s="3006">
        <v>378</v>
      </c>
      <c r="O149" s="2988">
        <f t="shared" si="5"/>
        <v>146240.64000000001</v>
      </c>
      <c r="P149" s="3006">
        <v>428276.16</v>
      </c>
      <c r="Q149" s="3006">
        <v>60502</v>
      </c>
      <c r="R149" s="3006">
        <v>11606.4</v>
      </c>
      <c r="S149" s="3006">
        <v>14400</v>
      </c>
    </row>
    <row r="150" spans="1:19" s="3001" customFormat="1" ht="13.5" customHeight="1">
      <c r="A150" s="3001">
        <v>148</v>
      </c>
      <c r="B150" s="3002" t="s">
        <v>3555</v>
      </c>
      <c r="C150" s="3003">
        <v>155.13999999999999</v>
      </c>
      <c r="D150" s="3004">
        <v>43080</v>
      </c>
      <c r="E150" s="3004">
        <v>43318</v>
      </c>
      <c r="F150" s="3004">
        <v>44459</v>
      </c>
      <c r="G150" s="3004">
        <v>43318</v>
      </c>
      <c r="H150" s="3004"/>
      <c r="I150" s="3005">
        <v>1141</v>
      </c>
      <c r="J150" s="3005">
        <v>0</v>
      </c>
      <c r="K150" s="3006">
        <v>277.03120000000001</v>
      </c>
      <c r="L150" s="2988">
        <f t="shared" si="4"/>
        <v>515743.44441599993</v>
      </c>
      <c r="M150" s="3006">
        <v>75.043000000000006</v>
      </c>
      <c r="N150" s="3006">
        <v>207.9</v>
      </c>
      <c r="O150" s="2988">
        <f t="shared" si="5"/>
        <v>387043.272</v>
      </c>
      <c r="P150" s="3006">
        <v>1611004.79</v>
      </c>
      <c r="Q150" s="3006">
        <v>436393.81</v>
      </c>
      <c r="R150" s="3006">
        <v>83775.600000000006</v>
      </c>
      <c r="S150" s="3006">
        <v>0</v>
      </c>
    </row>
    <row r="151" spans="1:19" s="3001" customFormat="1" ht="13.5" customHeight="1">
      <c r="A151" s="3001">
        <v>149</v>
      </c>
      <c r="B151" s="3002" t="s">
        <v>3555</v>
      </c>
      <c r="C151" s="3003">
        <v>161.57</v>
      </c>
      <c r="D151" s="3004">
        <v>43186</v>
      </c>
      <c r="E151" s="3004">
        <v>43304</v>
      </c>
      <c r="F151" s="3004">
        <v>44824</v>
      </c>
      <c r="G151" s="3004">
        <v>43304</v>
      </c>
      <c r="H151" s="3004"/>
      <c r="I151" s="3005">
        <v>1520</v>
      </c>
      <c r="J151" s="3005">
        <v>0</v>
      </c>
      <c r="K151" s="3006">
        <v>279.66090000000003</v>
      </c>
      <c r="L151" s="2988">
        <f t="shared" si="4"/>
        <v>542217.73935600009</v>
      </c>
      <c r="M151" s="3006">
        <v>75.032300000000006</v>
      </c>
      <c r="N151" s="3006">
        <v>208.3801</v>
      </c>
      <c r="O151" s="2988">
        <f t="shared" si="5"/>
        <v>404015.67308399995</v>
      </c>
      <c r="P151" s="3006">
        <v>2256325.0499999998</v>
      </c>
      <c r="Q151" s="3006">
        <v>605366.31000000006</v>
      </c>
      <c r="R151" s="3006">
        <v>116330.4</v>
      </c>
      <c r="S151" s="3006">
        <v>0</v>
      </c>
    </row>
    <row r="152" spans="1:19" s="3001" customFormat="1" ht="13.5" customHeight="1">
      <c r="A152" s="3001">
        <v>150</v>
      </c>
      <c r="B152" s="3002" t="s">
        <v>3555</v>
      </c>
      <c r="C152" s="3003">
        <v>184.38</v>
      </c>
      <c r="D152" s="3004">
        <v>43097</v>
      </c>
      <c r="E152" s="3004">
        <v>43302</v>
      </c>
      <c r="F152" s="3004">
        <v>44459</v>
      </c>
      <c r="G152" s="3004">
        <v>43302</v>
      </c>
      <c r="H152" s="3004"/>
      <c r="I152" s="3005">
        <v>1157</v>
      </c>
      <c r="J152" s="3005">
        <v>0</v>
      </c>
      <c r="K152" s="3006">
        <v>270</v>
      </c>
      <c r="L152" s="2988">
        <f t="shared" si="4"/>
        <v>597391.19999999995</v>
      </c>
      <c r="M152" s="3006">
        <v>75.042400000000001</v>
      </c>
      <c r="N152" s="3006">
        <v>200</v>
      </c>
      <c r="O152" s="2988">
        <f t="shared" si="5"/>
        <v>442512</v>
      </c>
      <c r="P152" s="3006">
        <v>1891738.8</v>
      </c>
      <c r="Q152" s="3006">
        <v>525780.39</v>
      </c>
      <c r="R152" s="3006">
        <v>99565.2</v>
      </c>
      <c r="S152" s="3006">
        <v>21600</v>
      </c>
    </row>
    <row r="153" spans="1:19" s="3001" customFormat="1" ht="13.5" customHeight="1">
      <c r="A153" s="3001">
        <v>151</v>
      </c>
      <c r="B153" s="3002" t="s">
        <v>3555</v>
      </c>
      <c r="C153" s="3003">
        <v>48.08</v>
      </c>
      <c r="D153" s="3004">
        <v>43165</v>
      </c>
      <c r="E153" s="3004">
        <v>43333</v>
      </c>
      <c r="F153" s="3004">
        <v>44094</v>
      </c>
      <c r="G153" s="3004">
        <v>43333</v>
      </c>
      <c r="H153" s="3004"/>
      <c r="I153" s="3005">
        <v>761</v>
      </c>
      <c r="J153" s="3005">
        <v>0</v>
      </c>
      <c r="K153" s="3006">
        <v>504</v>
      </c>
      <c r="L153" s="2988">
        <f t="shared" si="4"/>
        <v>290787.83999999997</v>
      </c>
      <c r="M153" s="3006">
        <v>75.064499999999995</v>
      </c>
      <c r="N153" s="3006">
        <v>360</v>
      </c>
      <c r="O153" s="2988">
        <f t="shared" si="5"/>
        <v>207705.59999999998</v>
      </c>
      <c r="P153" s="3006">
        <v>605808</v>
      </c>
      <c r="Q153" s="3006">
        <v>90227.55</v>
      </c>
      <c r="R153" s="3006">
        <v>17308.8</v>
      </c>
      <c r="S153" s="3006">
        <v>14400</v>
      </c>
    </row>
    <row r="154" spans="1:19" s="3001" customFormat="1" ht="13.5" customHeight="1">
      <c r="A154" s="3001">
        <v>152</v>
      </c>
      <c r="B154" s="3002" t="s">
        <v>3555</v>
      </c>
      <c r="C154" s="3003">
        <v>28.46</v>
      </c>
      <c r="D154" s="3004">
        <v>43097</v>
      </c>
      <c r="E154" s="3004">
        <v>43333</v>
      </c>
      <c r="F154" s="3004">
        <v>44094</v>
      </c>
      <c r="G154" s="3004">
        <v>43333</v>
      </c>
      <c r="H154" s="3004"/>
      <c r="I154" s="3005">
        <v>761</v>
      </c>
      <c r="J154" s="3005">
        <v>0</v>
      </c>
      <c r="K154" s="3006">
        <v>634.08000000000004</v>
      </c>
      <c r="L154" s="2988">
        <f t="shared" si="4"/>
        <v>216551.00160000002</v>
      </c>
      <c r="M154" s="3006">
        <v>75.064499999999995</v>
      </c>
      <c r="N154" s="3006">
        <v>457.33350000000002</v>
      </c>
      <c r="O154" s="2988">
        <f t="shared" si="5"/>
        <v>156188.53692000001</v>
      </c>
      <c r="P154" s="3006">
        <v>451147.92</v>
      </c>
      <c r="Q154" s="3006">
        <v>53408.4</v>
      </c>
      <c r="R154" s="3006">
        <v>10245.6</v>
      </c>
      <c r="S154" s="3006">
        <v>14400</v>
      </c>
    </row>
    <row r="155" spans="1:19" s="3001" customFormat="1" ht="13.5" customHeight="1">
      <c r="A155" s="3001">
        <v>153</v>
      </c>
      <c r="B155" s="3002" t="s">
        <v>3555</v>
      </c>
      <c r="C155" s="3003">
        <v>180.96</v>
      </c>
      <c r="D155" s="3004">
        <v>43097</v>
      </c>
      <c r="E155" s="3004">
        <v>43333</v>
      </c>
      <c r="F155" s="3004">
        <v>44459</v>
      </c>
      <c r="G155" s="3004">
        <v>43333</v>
      </c>
      <c r="H155" s="3004"/>
      <c r="I155" s="3005">
        <v>1126</v>
      </c>
      <c r="J155" s="3005">
        <v>0</v>
      </c>
      <c r="K155" s="3006">
        <v>284.7568</v>
      </c>
      <c r="L155" s="2988">
        <f t="shared" si="4"/>
        <v>618355.08633600001</v>
      </c>
      <c r="M155" s="3006">
        <v>75.043599999999998</v>
      </c>
      <c r="N155" s="3006">
        <v>210.66669999999999</v>
      </c>
      <c r="O155" s="2988">
        <f t="shared" si="5"/>
        <v>457466.95238400006</v>
      </c>
      <c r="P155" s="3006">
        <v>1906594.56</v>
      </c>
      <c r="Q155" s="3006">
        <v>502455.87</v>
      </c>
      <c r="R155" s="3006">
        <v>97718.399999999994</v>
      </c>
      <c r="S155" s="3006">
        <v>21600</v>
      </c>
    </row>
    <row r="156" spans="1:19" s="3001" customFormat="1" ht="13.5" customHeight="1">
      <c r="A156" s="3001">
        <v>154</v>
      </c>
      <c r="B156" s="3002" t="s">
        <v>3555</v>
      </c>
      <c r="C156" s="3003">
        <v>38.78</v>
      </c>
      <c r="D156" s="3004">
        <v>43098</v>
      </c>
      <c r="E156" s="3004">
        <v>43333</v>
      </c>
      <c r="F156" s="3004">
        <v>44094</v>
      </c>
      <c r="G156" s="3004">
        <v>43333</v>
      </c>
      <c r="H156" s="3004"/>
      <c r="I156" s="3005">
        <v>761</v>
      </c>
      <c r="J156" s="3005">
        <v>0</v>
      </c>
      <c r="K156" s="3006">
        <v>359.52</v>
      </c>
      <c r="L156" s="2988">
        <f t="shared" si="4"/>
        <v>167306.22719999999</v>
      </c>
      <c r="M156" s="3006">
        <v>75.064499999999995</v>
      </c>
      <c r="N156" s="3006">
        <v>259.33339999999998</v>
      </c>
      <c r="O156" s="2988">
        <f t="shared" si="5"/>
        <v>120683.39102400001</v>
      </c>
      <c r="P156" s="3006">
        <v>348554.64</v>
      </c>
      <c r="Q156" s="3006">
        <v>72775.05</v>
      </c>
      <c r="R156" s="3006">
        <v>13960.8</v>
      </c>
      <c r="S156" s="3006">
        <v>14400</v>
      </c>
    </row>
    <row r="157" spans="1:19" s="3001" customFormat="1" ht="13.5" customHeight="1">
      <c r="A157" s="3001">
        <v>155</v>
      </c>
      <c r="B157" s="3002" t="s">
        <v>3555</v>
      </c>
      <c r="C157" s="3003">
        <v>43.35</v>
      </c>
      <c r="D157" s="3004">
        <v>43098</v>
      </c>
      <c r="E157" s="3004">
        <v>43333</v>
      </c>
      <c r="F157" s="3004">
        <v>44094</v>
      </c>
      <c r="G157" s="3004">
        <v>43333</v>
      </c>
      <c r="H157" s="3004"/>
      <c r="I157" s="3005">
        <v>761</v>
      </c>
      <c r="J157" s="3005">
        <v>0</v>
      </c>
      <c r="K157" s="3006">
        <v>379.392</v>
      </c>
      <c r="L157" s="2988">
        <f t="shared" si="4"/>
        <v>197359.71839999998</v>
      </c>
      <c r="M157" s="3006">
        <v>75.064499999999995</v>
      </c>
      <c r="N157" s="3006">
        <v>273.60000000000002</v>
      </c>
      <c r="O157" s="2988">
        <f t="shared" si="5"/>
        <v>142326.72000000003</v>
      </c>
      <c r="P157" s="3006">
        <v>411166.08</v>
      </c>
      <c r="Q157" s="3006">
        <v>81351.17</v>
      </c>
      <c r="R157" s="3006">
        <v>15606</v>
      </c>
      <c r="S157" s="3006">
        <v>14400</v>
      </c>
    </row>
    <row r="158" spans="1:19" s="3001" customFormat="1" ht="13.5" customHeight="1">
      <c r="A158" s="3001">
        <v>156</v>
      </c>
      <c r="B158" s="3002" t="s">
        <v>3555</v>
      </c>
      <c r="C158" s="3003">
        <v>289.06</v>
      </c>
      <c r="D158" s="3004">
        <v>43082</v>
      </c>
      <c r="E158" s="3004">
        <v>43302</v>
      </c>
      <c r="F158" s="3004">
        <v>44824</v>
      </c>
      <c r="G158" s="3004">
        <v>43302</v>
      </c>
      <c r="H158" s="3004"/>
      <c r="I158" s="3005">
        <v>1522</v>
      </c>
      <c r="J158" s="3005">
        <v>0</v>
      </c>
      <c r="K158" s="3006">
        <v>218.16</v>
      </c>
      <c r="L158" s="2988">
        <f t="shared" si="4"/>
        <v>756735.95519999997</v>
      </c>
      <c r="M158" s="3006">
        <v>75.032300000000006</v>
      </c>
      <c r="N158" s="3006">
        <v>163.33330000000001</v>
      </c>
      <c r="O158" s="2988">
        <f t="shared" si="5"/>
        <v>566557.48437600001</v>
      </c>
      <c r="P158" s="3006">
        <v>3153066.48</v>
      </c>
      <c r="Q158" s="3006">
        <v>1084441.23</v>
      </c>
      <c r="R158" s="3006">
        <v>208123.2</v>
      </c>
      <c r="S158" s="3006">
        <v>28800</v>
      </c>
    </row>
    <row r="159" spans="1:19" s="2976" customFormat="1" ht="16.5">
      <c r="B159" s="2977" t="s">
        <v>3556</v>
      </c>
      <c r="C159" s="2978">
        <f>SUM((C3:C158))</f>
        <v>44025.989999999976</v>
      </c>
      <c r="D159" s="2977" t="s">
        <v>3556</v>
      </c>
      <c r="E159" s="2977" t="s">
        <v>3556</v>
      </c>
      <c r="F159" s="2977" t="s">
        <v>3556</v>
      </c>
      <c r="G159" s="2977" t="s">
        <v>3556</v>
      </c>
      <c r="H159" s="2977"/>
      <c r="I159" s="2977" t="s">
        <v>3556</v>
      </c>
      <c r="J159" s="2977" t="s">
        <v>3556</v>
      </c>
      <c r="K159" s="2979" t="s">
        <v>3556</v>
      </c>
      <c r="L159" s="2979">
        <f>SUM(L3:L158)</f>
        <v>85837874.044619933</v>
      </c>
      <c r="M159" s="2979" t="s">
        <v>3556</v>
      </c>
      <c r="N159" s="2979"/>
      <c r="O159" s="2979">
        <f>SUM(O3:O158)</f>
        <v>65586080.239044011</v>
      </c>
      <c r="P159" s="2979">
        <f t="shared" ref="P159:S159" si="6">SUM((P3:P158))</f>
        <v>458088612.75000012</v>
      </c>
      <c r="Q159" s="2979">
        <f t="shared" si="6"/>
        <v>165233401.80999994</v>
      </c>
      <c r="R159" s="2979">
        <f t="shared" si="6"/>
        <v>19320886.800000004</v>
      </c>
      <c r="S159" s="2979">
        <f t="shared" si="6"/>
        <v>1627200</v>
      </c>
    </row>
    <row r="161" spans="1:18" hidden="1">
      <c r="D161" s="3019" t="s">
        <v>3558</v>
      </c>
      <c r="E161" s="3019" t="s">
        <v>3559</v>
      </c>
      <c r="F161" s="3019" t="s">
        <v>3560</v>
      </c>
      <c r="G161" s="3019" t="s">
        <v>3572</v>
      </c>
      <c r="H161" s="3019" t="s">
        <v>3561</v>
      </c>
      <c r="I161" s="3024" t="s">
        <v>3565</v>
      </c>
      <c r="J161" s="3024" t="s">
        <v>3563</v>
      </c>
      <c r="N161" s="3024" t="s">
        <v>3573</v>
      </c>
      <c r="O161" s="3024"/>
      <c r="P161" s="3024" t="s">
        <v>3574</v>
      </c>
      <c r="Q161" s="3024" t="s">
        <v>3575</v>
      </c>
    </row>
    <row r="162" spans="1:18" hidden="1">
      <c r="B162" s="3023"/>
      <c r="C162" s="3020" t="s">
        <v>3412</v>
      </c>
      <c r="D162" s="3020">
        <f>SUM(C3:C22)</f>
        <v>5441.22</v>
      </c>
      <c r="E162" s="3021">
        <v>19</v>
      </c>
      <c r="F162" s="3021">
        <f>SUM(N3:N22)</f>
        <v>4418.0864000000001</v>
      </c>
      <c r="G162" s="3021">
        <f>ROUND(F162/E162,2)</f>
        <v>232.53</v>
      </c>
      <c r="H162" s="3021">
        <f>ROUND(G162/30,2)</f>
        <v>7.75</v>
      </c>
      <c r="I162" s="3022">
        <f>ROUND(D162/D$169,2)</f>
        <v>0.12</v>
      </c>
      <c r="J162" s="3022">
        <v>1</v>
      </c>
      <c r="K162" s="3022">
        <v>1</v>
      </c>
      <c r="L162" s="3022"/>
      <c r="M162" s="3022">
        <v>6.5</v>
      </c>
      <c r="N162" s="3031">
        <f>SUM(K3:K22)</f>
        <v>5833.7632000000003</v>
      </c>
      <c r="O162" s="3031"/>
      <c r="P162" s="2975">
        <f t="shared" ref="P162:P168" si="7">ROUND(N162/E162,2)</f>
        <v>307.04000000000002</v>
      </c>
      <c r="Q162" s="2975">
        <f>ROUND(P162/30,2)</f>
        <v>10.23</v>
      </c>
      <c r="R162" s="2975">
        <f>P162*D162*12</f>
        <v>20048066.265600003</v>
      </c>
    </row>
    <row r="163" spans="1:18" hidden="1">
      <c r="B163" s="3023"/>
      <c r="C163" s="3020" t="s">
        <v>3416</v>
      </c>
      <c r="D163" s="3021">
        <f>SUM(C23:C40)</f>
        <v>3053.4599999999996</v>
      </c>
      <c r="E163" s="3021">
        <v>18</v>
      </c>
      <c r="F163" s="3021">
        <f>SUM(N23:N40)</f>
        <v>3758.6464999999998</v>
      </c>
      <c r="G163" s="3021">
        <f t="shared" ref="G163:G168" si="8">ROUND(F163/E163,2)</f>
        <v>208.81</v>
      </c>
      <c r="H163" s="3021">
        <f t="shared" ref="H163:H168" si="9">ROUND(G163/30,2)</f>
        <v>6.96</v>
      </c>
      <c r="I163" s="3022">
        <f t="shared" ref="I163:I168" si="10">ROUND(D163/D$169,2)</f>
        <v>7.0000000000000007E-2</v>
      </c>
      <c r="J163" s="2975">
        <f>ROUND(H163/H$162,2)</f>
        <v>0.9</v>
      </c>
      <c r="K163" s="2975">
        <v>0.9</v>
      </c>
      <c r="M163" s="3022">
        <f>M$162*K163</f>
        <v>5.8500000000000005</v>
      </c>
      <c r="N163" s="3031">
        <f>SUM(K23:K40)</f>
        <v>5046.754899999999</v>
      </c>
      <c r="O163" s="3031"/>
      <c r="P163" s="2975">
        <f t="shared" si="7"/>
        <v>280.38</v>
      </c>
      <c r="Q163" s="2975">
        <f t="shared" ref="Q163:Q168" si="11">ROUND(P163/30,2)</f>
        <v>9.35</v>
      </c>
      <c r="R163" s="2975">
        <f t="shared" ref="R163:R168" si="12">P163*D163*12</f>
        <v>10273549.377599999</v>
      </c>
    </row>
    <row r="164" spans="1:18" hidden="1">
      <c r="B164" s="3023"/>
      <c r="C164" s="3020" t="s">
        <v>3417</v>
      </c>
      <c r="D164" s="3021">
        <f>SUM(C41:C67)</f>
        <v>6933.97</v>
      </c>
      <c r="E164" s="3021">
        <v>27</v>
      </c>
      <c r="F164" s="3021">
        <f>SUM(N41:N67)</f>
        <v>5088.839899999999</v>
      </c>
      <c r="G164" s="3021">
        <f t="shared" si="8"/>
        <v>188.48</v>
      </c>
      <c r="H164" s="3021">
        <f t="shared" si="9"/>
        <v>6.28</v>
      </c>
      <c r="I164" s="3022">
        <f t="shared" si="10"/>
        <v>0.16</v>
      </c>
      <c r="J164" s="2975">
        <f t="shared" ref="J164:J168" si="13">ROUND(H164/H$162,2)</f>
        <v>0.81</v>
      </c>
      <c r="K164" s="3022">
        <v>0.8</v>
      </c>
      <c r="L164" s="3022"/>
      <c r="M164" s="3022">
        <f t="shared" ref="M164:M168" si="14">M$162*K164</f>
        <v>5.2</v>
      </c>
      <c r="N164" s="3031">
        <f>SUM(K41:K67)</f>
        <v>6851.0436999999984</v>
      </c>
      <c r="O164" s="3031"/>
      <c r="P164" s="2975">
        <f t="shared" si="7"/>
        <v>253.74</v>
      </c>
      <c r="Q164" s="2975">
        <f t="shared" si="11"/>
        <v>8.4600000000000009</v>
      </c>
      <c r="R164" s="2975">
        <f t="shared" si="12"/>
        <v>21113106.573600002</v>
      </c>
    </row>
    <row r="165" spans="1:18" hidden="1">
      <c r="B165" s="3023"/>
      <c r="C165" s="3020" t="s">
        <v>3418</v>
      </c>
      <c r="D165" s="3021">
        <f>SUM(C68:C94)</f>
        <v>5721.71</v>
      </c>
      <c r="E165" s="3021">
        <v>27</v>
      </c>
      <c r="F165" s="3021">
        <f>SUM(N68:N94)</f>
        <v>5171.204999999999</v>
      </c>
      <c r="G165" s="3021">
        <f t="shared" si="8"/>
        <v>191.53</v>
      </c>
      <c r="H165" s="3021">
        <f t="shared" si="9"/>
        <v>6.38</v>
      </c>
      <c r="I165" s="3022">
        <f t="shared" si="10"/>
        <v>0.13</v>
      </c>
      <c r="J165" s="2975">
        <f t="shared" si="13"/>
        <v>0.82</v>
      </c>
      <c r="K165" s="3022">
        <v>0.8</v>
      </c>
      <c r="L165" s="3022"/>
      <c r="M165" s="3022">
        <f t="shared" si="14"/>
        <v>5.2</v>
      </c>
      <c r="N165" s="3031">
        <f>SUM(K68:K94)</f>
        <v>6993.4719000000005</v>
      </c>
      <c r="O165" s="3031"/>
      <c r="P165" s="2975">
        <f t="shared" si="7"/>
        <v>259.02</v>
      </c>
      <c r="Q165" s="2975">
        <f t="shared" si="11"/>
        <v>8.6300000000000008</v>
      </c>
      <c r="R165" s="2975">
        <f t="shared" si="12"/>
        <v>17784447.8904</v>
      </c>
    </row>
    <row r="166" spans="1:18" hidden="1">
      <c r="B166" s="3023"/>
      <c r="C166" s="3020" t="s">
        <v>3419</v>
      </c>
      <c r="D166" s="3021">
        <f>SUM(C95:C114)</f>
        <v>10258.14</v>
      </c>
      <c r="E166" s="3021">
        <v>20</v>
      </c>
      <c r="F166" s="3021">
        <f>SUM(N95:N114)</f>
        <v>4463.76</v>
      </c>
      <c r="G166" s="3021">
        <f t="shared" si="8"/>
        <v>223.19</v>
      </c>
      <c r="H166" s="3021">
        <f t="shared" si="9"/>
        <v>7.44</v>
      </c>
      <c r="I166" s="3022">
        <f t="shared" si="10"/>
        <v>0.23</v>
      </c>
      <c r="J166" s="2975">
        <f t="shared" si="13"/>
        <v>0.96</v>
      </c>
      <c r="K166" s="3022">
        <v>0.95</v>
      </c>
      <c r="L166" s="3022"/>
      <c r="M166" s="3022">
        <f t="shared" si="14"/>
        <v>6.1749999999999998</v>
      </c>
      <c r="N166" s="3031">
        <f>SUM(K95:K114)</f>
        <v>5986.2421999999997</v>
      </c>
      <c r="O166" s="3031"/>
      <c r="P166" s="2975">
        <f t="shared" si="7"/>
        <v>299.31</v>
      </c>
      <c r="Q166" s="2975">
        <f t="shared" si="11"/>
        <v>9.98</v>
      </c>
      <c r="R166" s="2975">
        <f t="shared" si="12"/>
        <v>36844366.600799993</v>
      </c>
    </row>
    <row r="167" spans="1:18" hidden="1">
      <c r="B167" s="3023"/>
      <c r="C167" s="3020" t="s">
        <v>3420</v>
      </c>
      <c r="D167" s="3021">
        <f>SUM(C115:C132)</f>
        <v>4210.0600000000004</v>
      </c>
      <c r="E167" s="3021">
        <v>18</v>
      </c>
      <c r="F167" s="3021">
        <f>SUM(N115:N132)</f>
        <v>3187.3068999999996</v>
      </c>
      <c r="G167" s="3021">
        <f t="shared" si="8"/>
        <v>177.07</v>
      </c>
      <c r="H167" s="3021">
        <f t="shared" si="9"/>
        <v>5.9</v>
      </c>
      <c r="I167" s="3022">
        <f t="shared" si="10"/>
        <v>0.1</v>
      </c>
      <c r="J167" s="2975">
        <f t="shared" si="13"/>
        <v>0.76</v>
      </c>
      <c r="K167" s="3022">
        <v>0.75</v>
      </c>
      <c r="L167" s="3022"/>
      <c r="M167" s="3022">
        <f t="shared" si="14"/>
        <v>4.875</v>
      </c>
      <c r="N167" s="3031">
        <f>SUM(K115:K132)</f>
        <v>4280.8927999999996</v>
      </c>
      <c r="O167" s="3031"/>
      <c r="P167" s="2975">
        <f t="shared" si="7"/>
        <v>237.83</v>
      </c>
      <c r="Q167" s="2975">
        <f t="shared" si="11"/>
        <v>7.93</v>
      </c>
      <c r="R167" s="2975">
        <f t="shared" si="12"/>
        <v>12015342.837600002</v>
      </c>
    </row>
    <row r="168" spans="1:18" hidden="1">
      <c r="B168" s="3023"/>
      <c r="C168" s="3020" t="s">
        <v>3557</v>
      </c>
      <c r="D168" s="3021">
        <f>SUM(C133:C158)</f>
        <v>8407.43</v>
      </c>
      <c r="E168" s="3021">
        <v>26</v>
      </c>
      <c r="F168" s="3021">
        <f>SUM(N133:N158)</f>
        <v>6877.3866999999991</v>
      </c>
      <c r="G168" s="3021">
        <f t="shared" si="8"/>
        <v>264.51</v>
      </c>
      <c r="H168" s="3021">
        <f t="shared" si="9"/>
        <v>8.82</v>
      </c>
      <c r="I168" s="3022">
        <f t="shared" si="10"/>
        <v>0.19</v>
      </c>
      <c r="J168" s="2975">
        <f t="shared" si="13"/>
        <v>1.1399999999999999</v>
      </c>
      <c r="K168" s="3022">
        <v>1.1000000000000001</v>
      </c>
      <c r="L168" s="3022"/>
      <c r="M168" s="3022">
        <f t="shared" si="14"/>
        <v>7.15</v>
      </c>
      <c r="N168" s="3031">
        <f>SUM(K133:K158)</f>
        <v>9385.3703000000005</v>
      </c>
      <c r="O168" s="3031"/>
      <c r="P168" s="2975">
        <f t="shared" si="7"/>
        <v>360.98</v>
      </c>
      <c r="Q168" s="2975">
        <f t="shared" si="11"/>
        <v>12.03</v>
      </c>
      <c r="R168" s="2975">
        <f t="shared" si="12"/>
        <v>36418968.97680001</v>
      </c>
    </row>
    <row r="169" spans="1:18" hidden="1">
      <c r="B169" s="3025" t="s">
        <v>3429</v>
      </c>
      <c r="C169" s="3021"/>
      <c r="D169" s="3021">
        <f>SUM(D162:D168)</f>
        <v>44025.99</v>
      </c>
      <c r="E169" s="3021"/>
      <c r="F169" s="3021"/>
      <c r="G169" s="3021"/>
      <c r="H169" s="3021">
        <f>ROUND(H162*I162+H163*I163+H164*I164+H165*I165+H166*I166+H167*I167+H168*I168,2)</f>
        <v>7.23</v>
      </c>
      <c r="I169" s="3022"/>
      <c r="J169" s="3022"/>
      <c r="K169" s="3022"/>
      <c r="L169" s="3022"/>
      <c r="M169" s="3022"/>
      <c r="N169" s="3031">
        <f>SUM(N162:N168)</f>
        <v>44377.538999999997</v>
      </c>
      <c r="O169" s="3031"/>
      <c r="Q169" s="2975">
        <f>ROUND(Q162*I162+Q163*I163+Q164*I164+Q165*I165+Q166*I166+Q167*I167+Q168*I168,2)</f>
        <v>9.73</v>
      </c>
    </row>
    <row r="170" spans="1:18">
      <c r="A170" s="3022"/>
      <c r="B170" s="3023"/>
      <c r="C170" s="3021"/>
      <c r="D170" s="3021"/>
      <c r="E170" s="3021"/>
      <c r="F170" s="3021"/>
      <c r="G170" s="3021"/>
      <c r="H170" s="3021"/>
      <c r="I170" s="3022"/>
      <c r="J170" s="3022"/>
      <c r="K170" s="3022"/>
      <c r="L170" s="3022"/>
      <c r="M170" s="3022"/>
    </row>
    <row r="171" spans="1:18">
      <c r="A171" s="3022"/>
      <c r="B171" s="3023"/>
      <c r="C171" s="3021"/>
      <c r="D171" s="3021"/>
      <c r="E171" s="3021"/>
      <c r="F171" s="3021"/>
      <c r="G171" s="3021"/>
      <c r="H171" s="3021"/>
      <c r="I171" s="3022"/>
      <c r="J171" s="3022"/>
      <c r="K171" s="3022"/>
      <c r="L171" s="3022"/>
      <c r="M171" s="3022"/>
    </row>
    <row r="172" spans="1:18">
      <c r="A172" s="3022"/>
      <c r="B172" s="3023"/>
      <c r="C172" s="3021"/>
      <c r="D172" s="3021"/>
      <c r="E172" s="3020" t="s">
        <v>3565</v>
      </c>
      <c r="F172" s="3021"/>
      <c r="G172" s="3021"/>
      <c r="H172" s="3021"/>
      <c r="I172" s="3022"/>
      <c r="J172" s="3022"/>
      <c r="K172" s="3022"/>
      <c r="L172" s="3022"/>
      <c r="M172" s="3022"/>
    </row>
    <row r="173" spans="1:18">
      <c r="A173" s="3022"/>
      <c r="B173" s="3023"/>
      <c r="C173" s="3020" t="s">
        <v>3412</v>
      </c>
      <c r="D173" s="2956">
        <f>面积详情!G31</f>
        <v>14320.11</v>
      </c>
      <c r="E173" s="3021">
        <f>ROUND(D173/D$180,2)</f>
        <v>0.14000000000000001</v>
      </c>
      <c r="F173" s="3021">
        <v>7</v>
      </c>
      <c r="G173" s="3021"/>
      <c r="H173" s="3021"/>
      <c r="I173" s="3022"/>
      <c r="J173" s="3022"/>
      <c r="K173" s="3022"/>
      <c r="L173" s="3022"/>
      <c r="M173" s="3022"/>
    </row>
    <row r="174" spans="1:18">
      <c r="A174" s="3022"/>
      <c r="B174" s="3023"/>
      <c r="C174" s="3020" t="s">
        <v>3416</v>
      </c>
      <c r="D174" s="2956">
        <f>面积详情!G32</f>
        <v>14588.99</v>
      </c>
      <c r="E174" s="3021">
        <f t="shared" ref="E174:E178" si="15">ROUND(D174/D$180,2)</f>
        <v>0.14000000000000001</v>
      </c>
      <c r="F174" s="3021">
        <f t="shared" ref="F174:F179" si="16">M163</f>
        <v>5.8500000000000005</v>
      </c>
      <c r="G174" s="3021"/>
      <c r="H174" s="3021"/>
      <c r="I174" s="3022"/>
      <c r="J174" s="3039">
        <f>C159-C20</f>
        <v>42714.439999999973</v>
      </c>
      <c r="K174" s="3022"/>
      <c r="L174" s="3031">
        <f>L159</f>
        <v>85837874.044619933</v>
      </c>
      <c r="M174" s="3022"/>
    </row>
    <row r="175" spans="1:18">
      <c r="A175" s="3022"/>
      <c r="B175" s="3023"/>
      <c r="C175" s="3020" t="s">
        <v>3417</v>
      </c>
      <c r="D175" s="2956">
        <f>面积详情!G33</f>
        <v>14713.93</v>
      </c>
      <c r="E175" s="3021">
        <f t="shared" si="15"/>
        <v>0.14000000000000001</v>
      </c>
      <c r="F175" s="3021">
        <f t="shared" si="16"/>
        <v>5.2</v>
      </c>
      <c r="G175" s="3021"/>
      <c r="H175" s="3021"/>
      <c r="I175" s="3022"/>
      <c r="J175" s="2975">
        <v>56983.51</v>
      </c>
      <c r="L175" s="2975">
        <f>L174/J174*J175</f>
        <v>114512641.48611906</v>
      </c>
      <c r="M175" s="3022"/>
    </row>
    <row r="176" spans="1:18">
      <c r="A176" s="3022"/>
      <c r="B176" s="3023"/>
      <c r="C176" s="3020" t="s">
        <v>3418</v>
      </c>
      <c r="D176" s="2956">
        <f>面积详情!G34</f>
        <v>14715.7</v>
      </c>
      <c r="E176" s="3021">
        <f t="shared" si="15"/>
        <v>0.14000000000000001</v>
      </c>
      <c r="F176" s="3021">
        <f t="shared" si="16"/>
        <v>5.2</v>
      </c>
      <c r="G176" s="3021"/>
      <c r="H176" s="3021"/>
      <c r="I176" s="3022"/>
      <c r="J176" s="2975">
        <f>D180</f>
        <v>103688.47</v>
      </c>
      <c r="L176" s="2975">
        <f>L175/J176/12/30</f>
        <v>3.0677535389882324</v>
      </c>
      <c r="M176" s="3022"/>
    </row>
    <row r="177" spans="1:14">
      <c r="A177" s="3022"/>
      <c r="B177" s="3023"/>
      <c r="C177" s="3020" t="s">
        <v>3419</v>
      </c>
      <c r="D177" s="2956">
        <f>面积详情!G35</f>
        <v>14978.2</v>
      </c>
      <c r="E177" s="3021">
        <f t="shared" si="15"/>
        <v>0.14000000000000001</v>
      </c>
      <c r="F177" s="3021">
        <f t="shared" si="16"/>
        <v>6.1749999999999998</v>
      </c>
      <c r="G177" s="3021"/>
      <c r="H177" s="3021"/>
      <c r="I177" s="3022"/>
      <c r="J177" s="3022"/>
      <c r="K177" s="3022"/>
      <c r="L177" s="3022"/>
      <c r="M177" s="3022"/>
    </row>
    <row r="178" spans="1:14">
      <c r="A178" s="3022"/>
      <c r="B178" s="3023"/>
      <c r="C178" s="3020" t="s">
        <v>3420</v>
      </c>
      <c r="D178" s="2956">
        <f>面积详情!G36</f>
        <v>12235</v>
      </c>
      <c r="E178" s="3021">
        <f t="shared" si="15"/>
        <v>0.12</v>
      </c>
      <c r="F178" s="3021">
        <f t="shared" si="16"/>
        <v>4.875</v>
      </c>
      <c r="G178" s="3021"/>
      <c r="H178" s="3021"/>
      <c r="I178" s="3022"/>
      <c r="J178" s="3022"/>
      <c r="K178" s="3022"/>
      <c r="L178" s="3022"/>
      <c r="M178" s="3022"/>
    </row>
    <row r="179" spans="1:14">
      <c r="A179" s="3022"/>
      <c r="B179" s="3023"/>
      <c r="C179" s="3020" t="s">
        <v>3564</v>
      </c>
      <c r="D179" s="2956">
        <f>面积详情!G37</f>
        <v>18136.540000000008</v>
      </c>
      <c r="E179" s="3021">
        <f>1-SUM(E173:E178)</f>
        <v>0.17999999999999994</v>
      </c>
      <c r="F179" s="3021">
        <f t="shared" si="16"/>
        <v>7.15</v>
      </c>
      <c r="G179" s="3021"/>
      <c r="H179" s="3021"/>
      <c r="K179" s="3022"/>
      <c r="L179" s="3031"/>
      <c r="M179" s="3022">
        <v>5.6</v>
      </c>
      <c r="N179" s="3022">
        <v>1</v>
      </c>
    </row>
    <row r="180" spans="1:14">
      <c r="A180" s="3022"/>
      <c r="B180" s="3023"/>
      <c r="C180" s="3021"/>
      <c r="D180" s="3021">
        <f>SUM(D173:D179)</f>
        <v>103688.47</v>
      </c>
      <c r="E180" s="3021"/>
      <c r="F180" s="3021">
        <f>ROUND(F173*E173+F174*E174+F175*E175+F176*E176+F177*E177+F178*E178+F179*E179,0)</f>
        <v>6</v>
      </c>
      <c r="G180" s="3021"/>
      <c r="H180" s="3021"/>
      <c r="K180" s="3022"/>
      <c r="L180" s="3022"/>
      <c r="M180" s="3022">
        <f t="shared" ref="M180:M185" si="17">M$179*N180</f>
        <v>5.4319999999999995</v>
      </c>
      <c r="N180" s="3022">
        <v>0.97</v>
      </c>
    </row>
    <row r="181" spans="1:14">
      <c r="A181" s="3022"/>
      <c r="B181" s="3023"/>
      <c r="C181" s="3021"/>
      <c r="D181" s="3021"/>
      <c r="E181" s="3021"/>
      <c r="F181" s="3021"/>
      <c r="G181" s="3021"/>
      <c r="H181" s="3021"/>
      <c r="M181" s="3022">
        <f t="shared" si="17"/>
        <v>4.5919999999999996</v>
      </c>
      <c r="N181" s="3022">
        <v>0.82</v>
      </c>
    </row>
    <row r="182" spans="1:14" s="3022" customFormat="1">
      <c r="B182" s="3023"/>
      <c r="C182" s="3021"/>
      <c r="D182" s="3021"/>
      <c r="E182" s="3021"/>
      <c r="F182" s="3021"/>
      <c r="G182" s="3021"/>
      <c r="H182" s="3021"/>
      <c r="M182" s="3022">
        <f t="shared" si="17"/>
        <v>5.1520000000000001</v>
      </c>
      <c r="N182" s="3022">
        <v>0.92</v>
      </c>
    </row>
    <row r="183" spans="1:14" s="3022" customFormat="1">
      <c r="B183" s="3025" t="s">
        <v>3584</v>
      </c>
      <c r="C183" s="3021"/>
      <c r="D183" s="3021"/>
      <c r="E183" s="3021"/>
      <c r="F183" s="3021"/>
      <c r="G183" s="3021"/>
      <c r="H183" s="3021"/>
      <c r="M183" s="3022">
        <f t="shared" si="17"/>
        <v>2.52</v>
      </c>
      <c r="N183" s="3022">
        <v>0.45</v>
      </c>
    </row>
    <row r="184" spans="1:14" s="3022" customFormat="1">
      <c r="B184" s="3023"/>
      <c r="C184" s="3020"/>
      <c r="D184" s="3020" t="s">
        <v>3585</v>
      </c>
      <c r="E184" s="3020" t="s">
        <v>3593</v>
      </c>
      <c r="F184" s="3020" t="s">
        <v>3597</v>
      </c>
      <c r="G184" s="3020" t="s">
        <v>3594</v>
      </c>
      <c r="H184" s="3020" t="s">
        <v>3598</v>
      </c>
      <c r="I184" s="3040" t="s">
        <v>3599</v>
      </c>
      <c r="M184" s="3022">
        <f>M$179*N184</f>
        <v>4.2559999999999993</v>
      </c>
      <c r="N184" s="3022">
        <v>0.76</v>
      </c>
    </row>
    <row r="185" spans="1:14" s="3022" customFormat="1">
      <c r="B185" s="3023"/>
      <c r="C185" s="3020" t="s">
        <v>3586</v>
      </c>
      <c r="D185" s="3021">
        <f>ROUND(SUM(L3:L22)/12,2)</f>
        <v>946200.99</v>
      </c>
      <c r="E185" s="3021">
        <f>SUM(C3:C19,C21:C22)</f>
        <v>4129.6699999999992</v>
      </c>
      <c r="F185" s="3021">
        <f>ROUND(D185/E185/30,2)</f>
        <v>7.64</v>
      </c>
      <c r="G185" s="3021">
        <f>面积详情!G31</f>
        <v>14320.11</v>
      </c>
      <c r="H185" s="3021">
        <f>ROUND(F185/G$193*H$193,2)</f>
        <v>5.6</v>
      </c>
      <c r="I185" s="3022">
        <v>1</v>
      </c>
      <c r="M185" s="3022">
        <f t="shared" si="17"/>
        <v>3.5279999999999996</v>
      </c>
      <c r="N185" s="3022">
        <v>0.63</v>
      </c>
    </row>
    <row r="186" spans="1:14" s="3022" customFormat="1">
      <c r="B186" s="3023"/>
      <c r="C186" s="3020" t="s">
        <v>3587</v>
      </c>
      <c r="D186" s="3021">
        <f>ROUND(SUM(L23:L40)/12,2)</f>
        <v>675643.87</v>
      </c>
      <c r="E186" s="3021">
        <f>SUM(C23:C40)</f>
        <v>3053.4599999999996</v>
      </c>
      <c r="F186" s="3021">
        <f t="shared" ref="F186:F191" si="18">ROUND(D186/E186/30,2)</f>
        <v>7.38</v>
      </c>
      <c r="G186" s="3021">
        <f>面积详情!G32</f>
        <v>14588.99</v>
      </c>
      <c r="H186" s="3021">
        <f t="shared" ref="H186:H191" si="19">ROUND(F186/G$193*H$193,2)</f>
        <v>5.41</v>
      </c>
      <c r="I186" s="3022">
        <f>ROUND(H186/H$185,2)</f>
        <v>0.97</v>
      </c>
      <c r="M186" s="3022">
        <f>ROUND(M179*E173+M180*E174+M181*E175+M182*E176+M183*E177+M184*E178+M185*E179,1)</f>
        <v>4.4000000000000004</v>
      </c>
    </row>
    <row r="187" spans="1:14" s="3022" customFormat="1">
      <c r="B187" s="3023"/>
      <c r="C187" s="3020" t="s">
        <v>3588</v>
      </c>
      <c r="D187" s="3021">
        <f>ROUND(SUM(L41:L67)/12,2)</f>
        <v>1300590.26</v>
      </c>
      <c r="E187" s="3021">
        <f>SUM(C41:C67)</f>
        <v>6933.97</v>
      </c>
      <c r="F187" s="3021">
        <f t="shared" si="18"/>
        <v>6.25</v>
      </c>
      <c r="G187" s="3021">
        <f>面积详情!G33</f>
        <v>14713.93</v>
      </c>
      <c r="H187" s="3021">
        <f t="shared" si="19"/>
        <v>4.58</v>
      </c>
      <c r="I187" s="3022">
        <f t="shared" ref="I187:I192" si="20">ROUND(H187/H$185,2)</f>
        <v>0.82</v>
      </c>
    </row>
    <row r="188" spans="1:14" s="3022" customFormat="1">
      <c r="B188" s="3023"/>
      <c r="C188" s="3020" t="s">
        <v>3589</v>
      </c>
      <c r="D188" s="3021">
        <f>ROUND(SUM(L68:L94)/12,2)</f>
        <v>1209976.3600000001</v>
      </c>
      <c r="E188" s="3021">
        <f>SUM(C68:C94)</f>
        <v>5721.71</v>
      </c>
      <c r="F188" s="3021">
        <f t="shared" si="18"/>
        <v>7.05</v>
      </c>
      <c r="G188" s="3021">
        <f>面积详情!G34</f>
        <v>14715.7</v>
      </c>
      <c r="H188" s="3021">
        <f t="shared" si="19"/>
        <v>5.17</v>
      </c>
      <c r="I188" s="3022">
        <f t="shared" si="20"/>
        <v>0.92</v>
      </c>
    </row>
    <row r="189" spans="1:14" s="3022" customFormat="1">
      <c r="B189" s="3023"/>
      <c r="C189" s="3020" t="s">
        <v>3590</v>
      </c>
      <c r="D189" s="3021">
        <f>ROUND(SUM(L95:L114)/12,2)</f>
        <v>1064846.1499999999</v>
      </c>
      <c r="E189" s="3021">
        <f>SUM(C95:C114)</f>
        <v>10258.14</v>
      </c>
      <c r="F189" s="3021">
        <f t="shared" si="18"/>
        <v>3.46</v>
      </c>
      <c r="G189" s="3021">
        <f>面积详情!G35</f>
        <v>14978.2</v>
      </c>
      <c r="H189" s="3021">
        <f t="shared" si="19"/>
        <v>2.54</v>
      </c>
      <c r="I189" s="3022">
        <f t="shared" si="20"/>
        <v>0.45</v>
      </c>
    </row>
    <row r="190" spans="1:14" s="3022" customFormat="1">
      <c r="B190" s="3023"/>
      <c r="C190" s="3020" t="s">
        <v>3591</v>
      </c>
      <c r="D190" s="3021">
        <f>ROUND(SUM(L115:L132)/12,2)</f>
        <v>736826.72</v>
      </c>
      <c r="E190" s="3021">
        <f>SUM(C115:C132)</f>
        <v>4210.0600000000004</v>
      </c>
      <c r="F190" s="3021">
        <f t="shared" si="18"/>
        <v>5.83</v>
      </c>
      <c r="G190" s="3021">
        <f>面积详情!G36</f>
        <v>12235</v>
      </c>
      <c r="H190" s="3021">
        <f t="shared" si="19"/>
        <v>4.28</v>
      </c>
      <c r="I190" s="3022">
        <f t="shared" si="20"/>
        <v>0.76</v>
      </c>
    </row>
    <row r="191" spans="1:14" s="3022" customFormat="1">
      <c r="B191" s="3023"/>
      <c r="C191" s="3020" t="s">
        <v>3592</v>
      </c>
      <c r="D191" s="3021">
        <f>ROUND(SUM(L133:L158)/12,2)</f>
        <v>1219071.82</v>
      </c>
      <c r="E191" s="3021">
        <f>SUM(C133:C158)</f>
        <v>8407.43</v>
      </c>
      <c r="F191" s="3021">
        <f t="shared" si="18"/>
        <v>4.83</v>
      </c>
      <c r="G191" s="3021">
        <f>面积详情!G37</f>
        <v>18136.540000000008</v>
      </c>
      <c r="H191" s="3021">
        <f t="shared" si="19"/>
        <v>3.54</v>
      </c>
      <c r="I191" s="3022">
        <f t="shared" si="20"/>
        <v>0.63</v>
      </c>
    </row>
    <row r="192" spans="1:14" s="3022" customFormat="1">
      <c r="B192" s="3023"/>
      <c r="C192" s="3020"/>
      <c r="D192" s="3021"/>
      <c r="E192" s="3021">
        <f>SUM(E185:E191)</f>
        <v>42714.439999999995</v>
      </c>
      <c r="F192" s="3021"/>
      <c r="G192" s="3021">
        <f>SUM(G185:G191)</f>
        <v>103688.47</v>
      </c>
      <c r="H192" s="3021">
        <f>ROUND(H185*E173+H186*E174+H187*E175+H188*E176+H189*E177+H190*E178+H191*E179,1)</f>
        <v>4.4000000000000004</v>
      </c>
      <c r="I192" s="3022">
        <f t="shared" si="20"/>
        <v>0.79</v>
      </c>
    </row>
    <row r="193" spans="2:9" s="3022" customFormat="1">
      <c r="B193" s="3023"/>
      <c r="C193" s="3021"/>
      <c r="D193" s="3020" t="s">
        <v>3595</v>
      </c>
      <c r="E193" s="3021">
        <v>56983.51</v>
      </c>
      <c r="F193" s="3020" t="s">
        <v>3596</v>
      </c>
      <c r="G193" s="3021">
        <f>ROUND(E192/E193,2)</f>
        <v>0.75</v>
      </c>
      <c r="H193" s="3021">
        <f>ROUND(E193/G192,2)</f>
        <v>0.55000000000000004</v>
      </c>
    </row>
    <row r="194" spans="2:9" s="3022" customFormat="1">
      <c r="B194" s="3023"/>
      <c r="C194" s="3021"/>
      <c r="D194" s="3021"/>
      <c r="E194" s="3021"/>
      <c r="F194" s="3021"/>
      <c r="G194" s="3021"/>
      <c r="H194" s="3021"/>
    </row>
    <row r="195" spans="2:9" s="3022" customFormat="1">
      <c r="B195" s="3023"/>
      <c r="C195" s="3021"/>
      <c r="D195" s="3021"/>
      <c r="E195" s="3021"/>
      <c r="F195" s="3021"/>
      <c r="G195" s="3021"/>
      <c r="H195" s="3021"/>
      <c r="I195" s="3021"/>
    </row>
    <row r="196" spans="2:9" s="3022" customFormat="1">
      <c r="B196" s="3023"/>
      <c r="C196" s="3021"/>
      <c r="D196" s="3021"/>
      <c r="E196" s="3021"/>
      <c r="F196" s="3021"/>
      <c r="G196" s="3021"/>
      <c r="H196" s="3021"/>
    </row>
    <row r="197" spans="2:9" s="3022" customFormat="1">
      <c r="B197" s="3023"/>
      <c r="C197" s="3021"/>
      <c r="D197" s="3021"/>
      <c r="E197" s="3021"/>
      <c r="F197" s="3021"/>
      <c r="G197" s="3021"/>
      <c r="H197" s="3021"/>
    </row>
  </sheetData>
  <mergeCells count="17">
    <mergeCell ref="N1:N2"/>
    <mergeCell ref="P1:P2"/>
    <mergeCell ref="Q1:Q2"/>
    <mergeCell ref="R1:R2"/>
    <mergeCell ref="S1:S2"/>
    <mergeCell ref="M1:M2"/>
    <mergeCell ref="A1:A2"/>
    <mergeCell ref="B1:B2"/>
    <mergeCell ref="C1:C2"/>
    <mergeCell ref="D1:D2"/>
    <mergeCell ref="E1:E2"/>
    <mergeCell ref="F1:F2"/>
    <mergeCell ref="G1:G2"/>
    <mergeCell ref="H1:H2"/>
    <mergeCell ref="I1:I2"/>
    <mergeCell ref="J1:J2"/>
    <mergeCell ref="K1:K2"/>
  </mergeCells>
  <phoneticPr fontId="14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
  <sheetViews>
    <sheetView topLeftCell="A67" workbookViewId="0">
      <selection activeCell="J113" sqref="J113"/>
    </sheetView>
  </sheetViews>
  <sheetFormatPr defaultRowHeight="13.5"/>
  <sheetData/>
  <phoneticPr fontId="14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52" t="str">
        <f>IF(项目基本情况!B9="房地产市场价值","估价结果一览表","结果表-2")</f>
        <v>结果表-2</v>
      </c>
      <c r="B1" s="3052"/>
      <c r="C1" s="3052"/>
      <c r="D1" s="3052"/>
      <c r="E1" s="3052"/>
      <c r="F1" s="3052"/>
      <c r="G1" s="3052"/>
      <c r="H1" s="3052"/>
      <c r="I1" s="3052"/>
    </row>
    <row r="2" spans="1:9" ht="30" customHeight="1" thickTop="1">
      <c r="A2" s="3053" t="s">
        <v>1640</v>
      </c>
      <c r="B2" s="3053" t="s">
        <v>1641</v>
      </c>
      <c r="C2" s="3053" t="s">
        <v>1642</v>
      </c>
      <c r="D2" s="3053" t="str">
        <f>结果表!D116</f>
        <v>出让国有建设用地使用权价值</v>
      </c>
      <c r="E2" s="3053"/>
      <c r="F2" s="3053" t="str">
        <f>结果表!F116</f>
        <v>在建建筑物价值</v>
      </c>
      <c r="G2" s="3053"/>
      <c r="H2" s="3053" t="str">
        <f>IF(项目基本情况!B9="房地产市场价值","房地产市场价值","房地产价值")</f>
        <v>房地产价值</v>
      </c>
      <c r="I2" s="3053"/>
    </row>
    <row r="3" spans="1:9" ht="15">
      <c r="A3" s="3054"/>
      <c r="B3" s="3054"/>
      <c r="C3" s="3054"/>
      <c r="D3" s="1047" t="s">
        <v>1637</v>
      </c>
      <c r="E3" s="1047" t="s">
        <v>1643</v>
      </c>
      <c r="F3" s="1047" t="s">
        <v>1637</v>
      </c>
      <c r="G3" s="1047" t="s">
        <v>1638</v>
      </c>
      <c r="H3" s="1047" t="s">
        <v>1637</v>
      </c>
      <c r="I3" s="1047" t="s">
        <v>1638</v>
      </c>
    </row>
    <row r="4" spans="1:9" ht="30">
      <c r="A4" s="1976" t="str">
        <f>项目基本情况!S2</f>
        <v>北京市房山区政通南路2号院1号楼商业用房房地产</v>
      </c>
      <c r="B4" s="1047">
        <f>项目基本情况!C17</f>
        <v>119963.53</v>
      </c>
      <c r="C4" s="1047">
        <f>项目基本情况!C18</f>
        <v>24498.84</v>
      </c>
      <c r="D4" s="1047">
        <f ca="1">结果表!D118</f>
        <v>150234</v>
      </c>
      <c r="E4" s="1047">
        <f ca="1">结果表!E118</f>
        <v>12524</v>
      </c>
      <c r="F4" s="1047">
        <f ca="1">结果表!F118</f>
        <v>102260</v>
      </c>
      <c r="G4" s="1047">
        <f ca="1">结果表!G118</f>
        <v>8524</v>
      </c>
      <c r="H4" s="1047">
        <f ca="1">结果表!H118</f>
        <v>252494</v>
      </c>
      <c r="I4" s="1047">
        <f ca="1">结果表!I118</f>
        <v>21048</v>
      </c>
    </row>
    <row r="5" spans="1:9" ht="30" customHeight="1">
      <c r="A5" s="3054" t="s">
        <v>1639</v>
      </c>
      <c r="B5" s="3054"/>
      <c r="C5" s="3054"/>
      <c r="D5" s="3055" t="str">
        <f ca="1">结果表!D119</f>
        <v>壹拾伍亿零贰佰叁拾肆万元整</v>
      </c>
      <c r="E5" s="3055"/>
      <c r="F5" s="3055" t="str">
        <f ca="1">结果表!F119</f>
        <v>壹拾亿贰仟贰佰陆拾万元整</v>
      </c>
      <c r="G5" s="3055"/>
      <c r="H5" s="3055" t="str">
        <f ca="1">结果表!H119</f>
        <v>贰拾伍亿贰仟肆佰玖拾肆万元整</v>
      </c>
      <c r="I5" s="3055"/>
    </row>
    <row r="6" spans="1:9" ht="15.75">
      <c r="A6" s="3056" t="str">
        <f>结果表!A120</f>
        <v>估价师知悉的法定优先受偿款</v>
      </c>
      <c r="B6" s="3056"/>
      <c r="C6" s="3056"/>
      <c r="D6" s="3056">
        <f>结果表!D120</f>
        <v>65000</v>
      </c>
      <c r="E6" s="3056"/>
      <c r="F6" s="3056"/>
      <c r="G6" s="3056"/>
      <c r="H6" s="3056"/>
      <c r="I6" s="3056"/>
    </row>
    <row r="7" spans="1:9" ht="15">
      <c r="A7" s="3054" t="s">
        <v>1639</v>
      </c>
      <c r="B7" s="3054"/>
      <c r="C7" s="3054"/>
      <c r="D7" s="3057" t="str">
        <f>结果表!D121</f>
        <v>陆亿伍仟万元整</v>
      </c>
      <c r="E7" s="3058"/>
      <c r="F7" s="3058"/>
      <c r="G7" s="3058"/>
      <c r="H7" s="3058"/>
      <c r="I7" s="3059"/>
    </row>
    <row r="8" spans="1:9" ht="15.75">
      <c r="A8" s="3056" t="str">
        <f>结果表!A122</f>
        <v>房地产抵押价值</v>
      </c>
      <c r="B8" s="3056"/>
      <c r="C8" s="3056"/>
      <c r="D8" s="3056">
        <f ca="1">结果表!D122</f>
        <v>187494</v>
      </c>
      <c r="E8" s="3056"/>
      <c r="F8" s="3056"/>
      <c r="G8" s="3056"/>
      <c r="H8" s="3056"/>
      <c r="I8" s="3056"/>
    </row>
    <row r="9" spans="1:9" ht="15">
      <c r="A9" s="3054" t="s">
        <v>1639</v>
      </c>
      <c r="B9" s="3054"/>
      <c r="C9" s="3054"/>
      <c r="D9" s="3055" t="str">
        <f ca="1">结果表!D123</f>
        <v>壹拾捌亿柒仟肆佰玖拾肆万元整</v>
      </c>
      <c r="E9" s="3055"/>
      <c r="F9" s="3055"/>
      <c r="G9" s="3055"/>
      <c r="H9" s="3055"/>
      <c r="I9" s="3055"/>
    </row>
    <row r="10" spans="1:9" ht="15.75">
      <c r="A10" s="3056" t="str">
        <f>结果表!A124</f>
        <v>抵押担保权已注销时的房地产抵押价值</v>
      </c>
      <c r="B10" s="3056"/>
      <c r="C10" s="3056"/>
      <c r="D10" s="3056">
        <f ca="1">结果表!D124</f>
        <v>252494</v>
      </c>
      <c r="E10" s="3056"/>
      <c r="F10" s="3056"/>
      <c r="G10" s="3056"/>
      <c r="H10" s="3056"/>
      <c r="I10" s="3056"/>
    </row>
    <row r="11" spans="1:9" ht="15">
      <c r="A11" s="3054" t="s">
        <v>1639</v>
      </c>
      <c r="B11" s="3054"/>
      <c r="C11" s="3054"/>
      <c r="D11" s="3055" t="str">
        <f ca="1">结果表!D125</f>
        <v>贰拾伍亿贰仟肆佰玖拾肆万元整</v>
      </c>
      <c r="E11" s="3055"/>
      <c r="F11" s="3055"/>
      <c r="G11" s="3055"/>
      <c r="H11" s="3055"/>
      <c r="I11" s="3055"/>
    </row>
    <row r="12" spans="1:9" ht="15.75">
      <c r="A12" s="3056" t="str">
        <f>结果表!A126</f>
        <v/>
      </c>
      <c r="B12" s="3056"/>
      <c r="C12" s="3056"/>
      <c r="D12" s="3056" t="str">
        <f>结果表!D126</f>
        <v>——</v>
      </c>
      <c r="E12" s="3056"/>
      <c r="F12" s="3056"/>
      <c r="G12" s="3056"/>
      <c r="H12" s="3056"/>
      <c r="I12" s="3056"/>
    </row>
    <row r="13" spans="1:9" ht="15.75" thickBot="1">
      <c r="A13" s="3060" t="s">
        <v>1639</v>
      </c>
      <c r="B13" s="3060"/>
      <c r="C13" s="3060"/>
      <c r="D13" s="3061" t="e">
        <f>结果表!D127</f>
        <v>#VALUE!</v>
      </c>
      <c r="E13" s="3061"/>
      <c r="F13" s="3061"/>
      <c r="G13" s="3061"/>
      <c r="H13" s="3061"/>
      <c r="I13" s="3061"/>
    </row>
    <row r="14" spans="1:9" ht="15" thickTop="1">
      <c r="A14" s="3062" t="s">
        <v>1644</v>
      </c>
      <c r="B14" s="3062"/>
      <c r="C14" s="3062"/>
      <c r="D14" s="3062"/>
      <c r="E14" s="3062"/>
      <c r="F14" s="3062"/>
      <c r="G14" s="3062"/>
      <c r="H14" s="3062"/>
      <c r="I14" s="3062"/>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63" t="s">
        <v>1661</v>
      </c>
      <c r="B1" s="3063"/>
      <c r="C1" s="3063"/>
      <c r="D1" s="3063"/>
    </row>
    <row r="2" spans="1:4" ht="18">
      <c r="A2" s="3064" t="s">
        <v>1645</v>
      </c>
      <c r="B2" s="3064"/>
      <c r="C2" s="3064"/>
      <c r="D2" s="3064"/>
    </row>
    <row r="3" spans="1:4" ht="18.75">
      <c r="A3" s="1980" t="s">
        <v>1646</v>
      </c>
      <c r="B3" s="1980" t="s">
        <v>1647</v>
      </c>
      <c r="C3" s="1980" t="s">
        <v>1648</v>
      </c>
      <c r="D3" s="1980" t="s">
        <v>1649</v>
      </c>
    </row>
    <row r="4" spans="1:4" ht="56.25" customHeight="1">
      <c r="A4" s="1981" t="str">
        <f>项目基本情况!B4</f>
        <v>吴薇</v>
      </c>
      <c r="B4" s="1982">
        <f ca="1">项目基本情况!C4</f>
        <v>1419970001</v>
      </c>
      <c r="C4" s="1983"/>
      <c r="D4" s="1984" t="s">
        <v>1650</v>
      </c>
    </row>
    <row r="5" spans="1:4" ht="56.25" customHeight="1">
      <c r="A5" s="1981" t="str">
        <f>项目基本情况!D4</f>
        <v>刘梅</v>
      </c>
      <c r="B5" s="1982">
        <f ca="1">项目基本情况!E4</f>
        <v>1120140022</v>
      </c>
      <c r="C5" s="1985"/>
      <c r="D5" s="1984" t="s">
        <v>1650</v>
      </c>
    </row>
    <row r="6" spans="1:4" ht="18">
      <c r="A6" s="3064" t="s">
        <v>1651</v>
      </c>
      <c r="B6" s="3064"/>
      <c r="C6" s="3064"/>
      <c r="D6" s="3064"/>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65" t="s">
        <v>1654</v>
      </c>
      <c r="B11" s="3066"/>
      <c r="C11" s="3066"/>
      <c r="D11" s="3066"/>
    </row>
    <row r="12" spans="1:4" ht="15.75">
      <c r="A12" s="30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7"/>
      <c r="C12" s="3067"/>
      <c r="D12" s="3067"/>
    </row>
    <row r="13" spans="1:4" ht="30" customHeight="1">
      <c r="A13" s="30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7"/>
      <c r="C13" s="3067"/>
      <c r="D13" s="3067"/>
    </row>
    <row r="14" spans="1:4" ht="15.75" customHeight="1">
      <c r="A14" s="3066" t="str">
        <f>IF(项目基本情况!B8="抵押","4.本次评估估价师所知悉的法定优先受偿款情况说明如下：","——")</f>
        <v>4.本次评估估价师所知悉的法定优先受偿款情况说明如下：</v>
      </c>
      <c r="B14" s="3067"/>
      <c r="C14" s="3067"/>
      <c r="D14" s="3067"/>
    </row>
    <row r="15" spans="1:4" ht="42" customHeight="1">
      <c r="A15" s="3066" t="str">
        <f>IF(项目基本情况!B8="抵押","（1）"&amp;CONCATENATE(项目基本情况!L20,项目基本情况!L21,项目基本情况!L22),"——")</f>
        <v>（1）根据估价对象《房屋所有权证》复印件、《国有土地使用权》复印件，截至价值时点，估价对象已设定抵押。上述抵押权设定日期为2018年3月26日，权利人为中国银行股份有限公司北京海淀支行，权利范围为，权利价值为65000。</v>
      </c>
      <c r="B15" s="3066"/>
      <c r="C15" s="3066"/>
      <c r="D15" s="3066"/>
    </row>
    <row r="16" spans="1:4" ht="30" customHeight="1">
      <c r="A16" s="3069" t="s">
        <v>1655</v>
      </c>
      <c r="B16" s="3069"/>
      <c r="C16" s="3069"/>
      <c r="D16" s="3069"/>
    </row>
    <row r="17" spans="1:4" ht="144" customHeight="1">
      <c r="A17" s="3069" t="s">
        <v>1656</v>
      </c>
      <c r="B17" s="3069"/>
      <c r="C17" s="3069"/>
      <c r="D17" s="3069"/>
    </row>
    <row r="18" spans="1:4" ht="15.75" customHeight="1">
      <c r="A18" s="3066" t="str">
        <f>IF(项目基本情况!B8="抵押",结果表!K120,"——")</f>
        <v>故，本次评估估价师知悉的法定优先受偿款为人民币65000万元整。</v>
      </c>
      <c r="B18" s="3066"/>
      <c r="C18" s="3066"/>
      <c r="D18" s="3066"/>
    </row>
    <row r="19" spans="1:4" ht="46.5" customHeight="1">
      <c r="A19" s="30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6"/>
      <c r="C19" s="3066"/>
      <c r="D19" s="3066"/>
    </row>
    <row r="20" spans="1:4" ht="57.75" customHeight="1">
      <c r="A20" s="30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6"/>
      <c r="C20" s="3066"/>
      <c r="D20" s="3066"/>
    </row>
    <row r="21" spans="1:4" ht="57.75" customHeight="1">
      <c r="A21" s="30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0"/>
      <c r="C21" s="3070"/>
      <c r="D21" s="3070"/>
    </row>
    <row r="22" spans="1:4" ht="18.75" customHeight="1">
      <c r="A22" s="3071" t="s">
        <v>1657</v>
      </c>
      <c r="B22" s="3071"/>
      <c r="C22" s="3071"/>
      <c r="D22" s="3071"/>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68">
        <v>42551</v>
      </c>
      <c r="D31" s="306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77" t="s">
        <v>1668</v>
      </c>
      <c r="B15" s="3072" t="s">
        <v>136</v>
      </c>
      <c r="C15" s="3073"/>
    </row>
    <row r="16" spans="1:7" ht="13.5">
      <c r="A16" s="3078"/>
      <c r="B16" s="3072" t="s">
        <v>69</v>
      </c>
      <c r="C16" s="3073"/>
    </row>
    <row r="17" spans="1:3" ht="13.5">
      <c r="A17" s="3078"/>
      <c r="B17" s="3075" t="s">
        <v>1669</v>
      </c>
      <c r="C17" s="2003" t="s">
        <v>1668</v>
      </c>
    </row>
    <row r="18" spans="1:3" ht="13.5">
      <c r="A18" s="3078"/>
      <c r="B18" s="3075"/>
      <c r="C18" s="2003" t="s">
        <v>1670</v>
      </c>
    </row>
    <row r="19" spans="1:3" ht="13.5">
      <c r="A19" s="3078"/>
      <c r="B19" s="3075"/>
      <c r="C19" s="2003" t="s">
        <v>1671</v>
      </c>
    </row>
    <row r="20" spans="1:3" ht="13.5">
      <c r="A20" s="3079"/>
      <c r="B20" s="3074" t="s">
        <v>1672</v>
      </c>
      <c r="C20" s="3073"/>
    </row>
    <row r="21" spans="1:3" ht="13.5">
      <c r="A21" s="2004" t="s">
        <v>1673</v>
      </c>
      <c r="B21" s="2005"/>
      <c r="C21" s="2006"/>
    </row>
    <row r="22" spans="1:3" ht="13.5">
      <c r="A22" s="3076" t="s">
        <v>1674</v>
      </c>
      <c r="B22" s="3074" t="s">
        <v>1675</v>
      </c>
      <c r="C22" s="3073"/>
    </row>
    <row r="23" spans="1:3" ht="13.5">
      <c r="A23" s="3076"/>
      <c r="B23" s="3074" t="s">
        <v>1676</v>
      </c>
      <c r="C23" s="3073"/>
    </row>
    <row r="24" spans="1:3" ht="13.5">
      <c r="A24" s="3076"/>
      <c r="B24" s="3074" t="s">
        <v>1677</v>
      </c>
      <c r="C24" s="3073"/>
    </row>
    <row r="25" spans="1:3" ht="13.5">
      <c r="A25" s="3076"/>
      <c r="B25" s="3075" t="s">
        <v>1678</v>
      </c>
      <c r="C25" s="2003" t="s">
        <v>1679</v>
      </c>
    </row>
    <row r="26" spans="1:3" ht="13.5">
      <c r="A26" s="3076"/>
      <c r="B26" s="3075"/>
      <c r="C26" s="2003" t="s">
        <v>1680</v>
      </c>
    </row>
    <row r="27" spans="1:3" ht="13.5">
      <c r="A27" s="3076"/>
      <c r="B27" s="3075"/>
      <c r="C27" s="2003" t="s">
        <v>1681</v>
      </c>
    </row>
    <row r="28" spans="1:3" ht="13.5">
      <c r="A28" s="3076"/>
      <c r="B28" s="3075"/>
      <c r="C28" s="2003" t="s">
        <v>1682</v>
      </c>
    </row>
    <row r="29" spans="1:3" ht="13.5">
      <c r="A29" s="3076"/>
      <c r="B29" s="3075"/>
      <c r="C29" s="2003" t="s">
        <v>1683</v>
      </c>
    </row>
    <row r="30" spans="1:3" ht="13.5">
      <c r="A30" s="3076"/>
      <c r="B30" s="3075"/>
      <c r="C30" s="2003" t="s">
        <v>1684</v>
      </c>
    </row>
    <row r="31" spans="1:3" ht="13.5">
      <c r="A31" s="3076"/>
      <c r="B31" s="3075"/>
      <c r="C31" s="2003" t="s">
        <v>1685</v>
      </c>
    </row>
    <row r="32" spans="1:3" ht="13.5">
      <c r="A32" s="3076"/>
      <c r="B32" s="3075"/>
      <c r="C32" s="2003" t="s">
        <v>1686</v>
      </c>
    </row>
    <row r="33" spans="1:3" ht="13.5">
      <c r="A33" s="3076"/>
      <c r="B33" s="3075"/>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43242</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3046</v>
      </c>
      <c r="B12" s="1025">
        <v>1120110054</v>
      </c>
      <c r="C12" s="2948">
        <v>43937</v>
      </c>
      <c r="D12" s="1705" t="s">
        <v>3046</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352">
        <v>43304</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80" t="s">
        <v>846</v>
      </c>
      <c r="B25" s="3080"/>
      <c r="C25" s="3080"/>
      <c r="D25" s="3080"/>
      <c r="E25" s="3080"/>
      <c r="F25" s="3080"/>
      <c r="G25" s="3080"/>
    </row>
    <row r="26" spans="1:7" s="1028" customFormat="1" ht="24" customHeight="1">
      <c r="A26" s="3081" t="s">
        <v>847</v>
      </c>
      <c r="B26" s="3081"/>
      <c r="C26" s="3082"/>
      <c r="D26" s="3083" t="s">
        <v>848</v>
      </c>
      <c r="E26" s="3081"/>
      <c r="F26" s="3081"/>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8"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面积详情</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租金</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2018-05-22T09:22:34Z</dcterms:modified>
</cp:coreProperties>
</file>