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G22" i="59" l="1"/>
  <c r="D29" i="43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B12" i="67" l="1"/>
  <c r="S12" i="67" s="1"/>
  <c r="F12" i="67"/>
  <c r="V12" i="67" s="1"/>
  <c r="E12" i="67"/>
  <c r="U12" i="67" s="1"/>
  <c r="C12" i="67"/>
  <c r="T12" i="67" s="1"/>
  <c r="C11" i="67" l="1"/>
  <c r="C10" i="67" s="1"/>
  <c r="D10" i="67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3" i="66"/>
  <c r="Y62" i="66" s="1"/>
  <c r="A70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G2" i="66" s="1"/>
  <c r="N20" i="43" s="1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17" i="66" l="1"/>
  <c r="L2" i="66" s="1"/>
  <c r="L18" i="66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I2" i="66" l="1"/>
  <c r="N22" i="43" s="1"/>
  <c r="O19" i="66"/>
  <c r="O17" i="66"/>
  <c r="O2" i="66" s="1"/>
  <c r="O18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M19" i="66" l="1"/>
  <c r="M18" i="66"/>
  <c r="M17" i="66"/>
  <c r="M2" i="66" s="1"/>
  <c r="P17" i="66"/>
  <c r="P2" i="66" s="1"/>
  <c r="C29" i="63"/>
  <c r="P18" i="66"/>
  <c r="D65" i="66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17" i="66" l="1"/>
  <c r="N2" i="66" s="1"/>
  <c r="N18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8" i="65"/>
  <c r="D5" i="65"/>
  <c r="D6" i="65"/>
  <c r="D8" i="65"/>
  <c r="G6" i="65"/>
  <c r="H5" i="65"/>
  <c r="E6" i="65"/>
  <c r="H6" i="65"/>
  <c r="H8" i="65"/>
  <c r="E8" i="65"/>
  <c r="G7" i="65"/>
  <c r="E5" i="65"/>
  <c r="G5" i="65"/>
  <c r="D7" i="65"/>
  <c r="E7" i="65"/>
  <c r="G4" i="65"/>
  <c r="H7" i="65"/>
  <c r="D4" i="65"/>
  <c r="E4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E20" i="43"/>
  <c r="G2" i="65"/>
  <c r="G1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M1" i="60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H101" i="43" l="1"/>
  <c r="C12" i="43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S23" i="39"/>
  <c r="AB19" i="39"/>
  <c r="U17" i="39"/>
  <c r="AC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AC17" i="39"/>
  <c r="U42" i="39"/>
  <c r="AC31" i="39"/>
  <c r="W27" i="39" l="1"/>
  <c r="AB15" i="39"/>
  <c r="W21" i="39"/>
  <c r="W23" i="39"/>
  <c r="H72" i="43"/>
  <c r="H73" i="43"/>
  <c r="H77" i="43"/>
  <c r="H71" i="43"/>
  <c r="H70" i="43"/>
  <c r="H74" i="43"/>
  <c r="H78" i="43"/>
  <c r="H76" i="43"/>
  <c r="H75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G35" i="43" s="1"/>
  <c r="C33" i="43"/>
  <c r="E33" i="43" s="1"/>
  <c r="C36" i="43"/>
  <c r="G36" i="43" s="1"/>
  <c r="C34" i="43"/>
  <c r="G34" i="43" s="1"/>
  <c r="I34" i="43" s="1"/>
  <c r="C37" i="43"/>
  <c r="C39" i="43"/>
  <c r="C38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6" i="43" l="1"/>
  <c r="E35" i="43"/>
  <c r="E39" i="43"/>
  <c r="G39" i="43"/>
  <c r="I39" i="43" s="1"/>
  <c r="E38" i="43"/>
  <c r="G38" i="43"/>
  <c r="I38" i="43" s="1"/>
  <c r="E37" i="43"/>
  <c r="G37" i="43"/>
  <c r="I37" i="43" s="1"/>
  <c r="C30" i="43"/>
  <c r="F7" i="59" s="1"/>
  <c r="E34" i="43"/>
  <c r="I35" i="43"/>
  <c r="G33" i="43"/>
  <c r="I33" i="43" s="1"/>
  <c r="E29" i="43"/>
  <c r="I36" i="43"/>
  <c r="C48" i="39"/>
  <c r="B3" i="39" s="1"/>
  <c r="C26" i="43" l="1"/>
  <c r="B2" i="43" s="1"/>
  <c r="E30" i="43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B82" i="63"/>
  <c r="D12" i="63" l="1"/>
  <c r="C11" i="63" s="1"/>
  <c r="C18" i="63" l="1"/>
  <c r="C19" i="63"/>
  <c r="E19" i="63" s="1"/>
  <c r="B3" i="63"/>
  <c r="F6" i="59" s="1"/>
  <c r="C22" i="63"/>
  <c r="B5" i="63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<sst xmlns="http://schemas.openxmlformats.org/spreadsheetml/2006/main" count="3946" uniqueCount="1781">
  <si>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</si>
  <si>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</si>
  <si>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</si>
  <si>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</si>
  <si>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</si>
  <si>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</si>
  <si>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</si>
  <si>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</si>
  <si>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</si>
  <si>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</si>
  <si>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</si>
  <si>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</si>
  <si>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</si>
  <si>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</si>
  <si>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</si>
  <si>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</si>
  <si>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</si>
  <si>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</si>
  <si>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</si>
  <si>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</si>
  <si>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</si>
  <si>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</si>
  <si>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</si>
  <si>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</si>
  <si>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</si>
  <si>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</si>
  <si>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</si>
  <si>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</si>
  <si>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</si>
  <si>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</si>
  <si>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</si>
  <si>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</si>
  <si>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</si>
  <si>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</si>
  <si>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</si>
  <si>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</si>
  <si>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</si>
  <si>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</si>
  <si>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</si>
  <si>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</si>
  <si>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</si>
  <si>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</si>
  <si>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</si>
  <si>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</si>
  <si>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</si>
  <si>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</si>
  <si>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</si>
  <si>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</si>
  <si>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</si>
  <si>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</si>
  <si>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</si>
  <si>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</si>
  <si>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</si>
  <si>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</si>
  <si>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</si>
  <si>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</si>
  <si>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</si>
  <si>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</si>
  <si>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</si>
  <si>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</si>
  <si>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</si>
  <si>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</si>
  <si>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</si>
  <si>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</si>
  <si>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</si>
  <si>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</si>
  <si>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</si>
  <si>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</si>
  <si>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</si>
  <si>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</si>
  <si>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</si>
  <si>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</si>
  <si>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</si>
  <si>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</si>
  <si>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</si>
  <si>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</si>
  <si>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</si>
  <si>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</si>
  <si>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</si>
  <si>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</si>
  <si>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</si>
  <si>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</si>
  <si>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</si>
  <si>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</si>
  <si>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</si>
  <si>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</si>
  <si>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</si>
  <si>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</si>
  <si>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</si>
  <si>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</si>
  <si>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</si>
  <si>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</si>
  <si>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</si>
  <si>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</si>
  <si>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</si>
  <si>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</si>
  <si>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</si>
  <si>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</si>
  <si>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</si>
  <si>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</si>
  <si>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</si>
  <si>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</si>
  <si>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</si>
  <si>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</si>
  <si>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</si>
  <si>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</si>
  <si>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</si>
  <si>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</si>
  <si>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</si>
  <si>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</si>
  <si>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</si>
  <si>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</si>
  <si>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</si>
  <si>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</si>
  <si>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</si>
  <si>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</si>
  <si>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</si>
  <si>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</si>
  <si>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</si>
  <si>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</si>
  <si>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</si>
  <si>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</si>
  <si>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</si>
  <si>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</si>
  <si>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</si>
  <si>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</si>
  <si>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</si>
  <si>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</si>
  <si>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</si>
  <si>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</si>
  <si>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</si>
  <si>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</si>
  <si>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</si>
  <si>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</si>
  <si>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</si>
  <si>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</si>
  <si>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</si>
  <si>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</si>
  <si>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</si>
  <si>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</si>
  <si>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</si>
  <si>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</si>
  <si>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</si>
  <si>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</si>
  <si>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</si>
  <si>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</si>
  <si>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</si>
  <si>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</si>
  <si>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</si>
  <si>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</si>
  <si>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</si>
  <si>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</si>
  <si>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</si>
  <si>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</si>
  <si>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</si>
  <si>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</si>
  <si>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</si>
  <si>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</si>
  <si>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</si>
  <si>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</si>
  <si>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</si>
  <si>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</si>
  <si>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</si>
  <si>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</si>
  <si>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</si>
  <si>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</si>
  <si>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</si>
  <si>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</si>
  <si>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</si>
  <si>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</si>
  <si>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</si>
  <si>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</si>
  <si>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</si>
  <si>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</si>
  <si>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</si>
  <si>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</si>
  <si>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</si>
  <si>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</si>
  <si>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</si>
  <si>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</si>
  <si>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</si>
  <si>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</si>
  <si>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</si>
  <si>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</si>
  <si>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</si>
  <si>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</si>
  <si>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</si>
  <si>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</si>
  <si>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</si>
  <si>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</si>
  <si>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</si>
  <si>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</si>
  <si>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</si>
  <si>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</si>
  <si>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</si>
  <si>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</si>
  <si>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</si>
  <si>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</si>
  <si>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</si>
  <si>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</si>
  <si>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</si>
  <si>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</si>
  <si>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</si>
  <si>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</si>
  <si>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</si>
  <si>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</si>
  <si>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</si>
  <si>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</si>
  <si>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</si>
  <si>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</si>
  <si>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</si>
  <si>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</si>
  <si>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</si>
  <si>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</si>
  <si>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</si>
  <si>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</si>
  <si>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</si>
  <si>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</si>
  <si>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</si>
  <si>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</si>
  <si>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</si>
  <si>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</si>
  <si>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</si>
  <si>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</si>
  <si>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</si>
  <si>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</si>
  <si>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</si>
  <si>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</si>
  <si>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</si>
  <si>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</si>
  <si>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</si>
  <si>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</si>
  <si>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</si>
  <si>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</si>
  <si>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</si>
  <si>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</si>
  <si>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</si>
  <si>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</si>
  <si>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</si>
  <si>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</si>
  <si>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</si>
  <si>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</si>
  <si>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</si>
  <si>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</si>
  <si>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</si>
  <si>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</si>
  <si>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</si>
  <si>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</si>
  <si>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</si>
  <si>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</si>
  <si>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</si>
  <si>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</si>
  <si>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</si>
  <si>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</si>
  <si>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</si>
  <si>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</si>
  <si>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</si>
  <si>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</si>
  <si>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</si>
  <si>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</si>
  <si>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</si>
  <si>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</si>
  <si>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</si>
  <si>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</si>
  <si>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</si>
  <si>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</si>
  <si>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</si>
  <si>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</si>
  <si>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</si>
  <si>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</si>
  <si>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</si>
  <si>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</si>
  <si>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</si>
  <si>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</si>
  <si>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</si>
  <si>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</si>
  <si>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</si>
  <si>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</si>
  <si>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</si>
  <si>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</si>
  <si>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</si>
  <si>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</si>
  <si>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</si>
  <si>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</si>
  <si>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</si>
  <si>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</si>
  <si>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</si>
  <si>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</si>
  <si>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</si>
  <si>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</si>
  <si>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</si>
  <si>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</si>
  <si>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</si>
  <si>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</si>
  <si>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</si>
  <si>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</si>
  <si>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</si>
  <si>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</si>
  <si>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</si>
  <si>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</si>
  <si>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</si>
  <si>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</si>
  <si>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</si>
  <si>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</si>
  <si>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</si>
  <si>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</si>
  <si>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</si>
  <si>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</si>
  <si>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</si>
  <si>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</si>
  <si>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</si>
  <si>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</si>
  <si>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</si>
  <si>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</si>
  <si>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</si>
  <si>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</si>
  <si>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</si>
  <si>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</si>
  <si>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</si>
  <si>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</si>
  <si>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</si>
  <si>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</si>
  <si>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</si>
  <si>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</si>
  <si>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</si>
  <si>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</si>
  <si>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</si>
  <si>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</si>
  <si>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</si>
  <si>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</si>
  <si>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</si>
  <si>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</si>
  <si>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</si>
  <si>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</si>
  <si>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</si>
  <si>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</si>
  <si>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</si>
  <si>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</si>
  <si>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</si>
  <si>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</si>
  <si>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</si>
  <si>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</si>
  <si>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</si>
  <si>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</si>
  <si>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</si>
  <si>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</si>
  <si>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</si>
  <si>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</si>
  <si>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</si>
  <si>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</si>
  <si>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</si>
  <si>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</si>
  <si>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</si>
  <si>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</si>
  <si>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</si>
  <si>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</si>
  <si>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</si>
  <si>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</si>
  <si>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</si>
  <si>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</si>
  <si>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</si>
  <si>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</si>
  <si>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</si>
  <si>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</si>
  <si>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</si>
  <si>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</si>
  <si>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</si>
  <si>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</si>
  <si>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</si>
  <si>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</si>
  <si>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</si>
  <si>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</si>
  <si>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</si>
  <si>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</si>
  <si>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</si>
  <si>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</si>
  <si>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</si>
  <si>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</si>
  <si>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</si>
  <si>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</si>
  <si>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</si>
  <si>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</si>
  <si>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</si>
  <si>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</si>
  <si>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</si>
  <si>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</si>
  <si>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</si>
  <si>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</si>
  <si>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</si>
  <si>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</si>
  <si>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</si>
  <si>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</si>
  <si>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</si>
  <si>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</si>
  <si>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</si>
  <si>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</si>
  <si>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</si>
  <si>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</si>
  <si>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</si>
  <si>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</si>
  <si>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</si>
  <si>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</si>
  <si>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</si>
  <si>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</si>
  <si>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</si>
  <si>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</si>
  <si>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</si>
  <si>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</si>
  <si>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</si>
  <si>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</si>
  <si>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</si>
  <si>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</si>
  <si>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</si>
  <si>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</si>
  <si>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</si>
  <si>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</si>
  <si>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</si>
  <si>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</si>
  <si>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</si>
  <si>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</si>
  <si>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</si>
  <si>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</si>
  <si>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</si>
  <si>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</si>
  <si>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</si>
  <si>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</si>
  <si>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</si>
  <si>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</si>
  <si>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</si>
  <si>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</si>
  <si>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</si>
  <si>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</si>
  <si>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</si>
  <si>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</si>
  <si>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</si>
  <si>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</si>
  <si>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</si>
  <si>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</si>
  <si>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</si>
  <si>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</si>
  <si>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</si>
  <si>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</si>
  <si>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</si>
  <si>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</si>
  <si>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</si>
  <si>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</si>
  <si>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</si>
  <si>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</si>
  <si>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</si>
  <si>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</si>
  <si>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</si>
  <si>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</si>
  <si>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</si>
  <si>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</si>
  <si>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</si>
  <si>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</si>
  <si>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</si>
  <si>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</si>
  <si>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</si>
  <si>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</si>
  <si>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</si>
  <si>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</si>
  <si>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</si>
  <si>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</si>
  <si>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</si>
  <si>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</si>
  <si>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</si>
  <si>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</si>
  <si>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</si>
  <si>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</si>
  <si>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</si>
  <si>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</si>
  <si>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</si>
  <si>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</si>
  <si>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</si>
  <si>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</si>
  <si>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</si>
  <si>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</si>
  <si>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</si>
  <si>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</si>
  <si>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</si>
  <si>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</si>
  <si>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</si>
  <si>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</si>
  <si>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</si>
  <si>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</si>
  <si>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</si>
  <si>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</si>
  <si>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</si>
  <si>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</si>
  <si>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</si>
  <si>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</si>
  <si>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</si>
  <si>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</si>
  <si>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</si>
  <si>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</si>
  <si>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</si>
  <si>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</si>
  <si>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</si>
  <si>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</si>
  <si>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</si>
  <si>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</si>
  <si>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</si>
  <si>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</si>
  <si>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</si>
  <si>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</si>
  <si>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</si>
  <si>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</si>
  <si>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</si>
  <si>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</si>
  <si>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</si>
  <si>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</si>
  <si>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</si>
  <si>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</si>
  <si>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</si>
  <si>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</si>
  <si>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</si>
  <si>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</si>
  <si>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</si>
  <si>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</si>
  <si>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</si>
  <si>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</si>
  <si>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</si>
  <si>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</si>
  <si>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</si>
  <si>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</si>
  <si>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</si>
  <si>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</si>
  <si>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</si>
  <si>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</si>
  <si>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</si>
  <si>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</si>
  <si>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</si>
  <si>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</si>
  <si>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</si>
  <si>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</si>
  <si>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</si>
  <si>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</si>
  <si>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</si>
  <si>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</si>
  <si>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</si>
  <si>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</si>
  <si>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</si>
  <si>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</si>
  <si>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</si>
  <si>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</si>
  <si>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</si>
  <si>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</si>
  <si>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</si>
  <si>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</si>
  <si>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</si>
  <si>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</si>
  <si>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</si>
  <si>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</si>
  <si>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</si>
  <si>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</si>
  <si>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</si>
  <si>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</si>
  <si>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</si>
  <si>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</si>
  <si>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</si>
  <si>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</si>
  <si>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</si>
  <si>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</si>
  <si>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</si>
  <si>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</si>
  <si>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</si>
  <si>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</si>
  <si>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</si>
  <si>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</si>
  <si>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</si>
  <si>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</si>
  <si>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</si>
  <si>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</si>
  <si>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</si>
  <si>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</si>
  <si>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</si>
  <si>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</si>
  <si>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</si>
  <si>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</si>
  <si>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</si>
  <si>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</si>
  <si>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</si>
  <si>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</si>
  <si>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</si>
  <si>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</si>
  <si>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</si>
  <si>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</si>
  <si>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</si>
  <si>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</si>
  <si>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</si>
  <si>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</si>
  <si>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</si>
  <si>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</si>
  <si>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</si>
  <si>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</si>
  <si>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</si>
  <si>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</si>
  <si>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</si>
  <si>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</si>
  <si>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</si>
  <si>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</si>
  <si>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</si>
  <si>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</si>
  <si>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</si>
  <si>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</si>
  <si>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</si>
  <si>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</si>
  <si>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</si>
  <si>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</si>
  <si>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</si>
  <si>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</si>
  <si>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</si>
  <si>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</si>
  <si>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</si>
  <si>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</si>
  <si>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</si>
  <si>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</si>
  <si>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</si>
  <si>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</si>
  <si>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</si>
  <si>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</si>
  <si>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</si>
  <si>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</si>
  <si>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</si>
  <si>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</si>
  <si>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</si>
  <si>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</si>
  <si>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</si>
  <si>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</si>
  <si>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</si>
  <si>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</si>
  <si>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</si>
  <si>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</si>
  <si>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</si>
  <si>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</si>
  <si>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</si>
  <si>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</si>
  <si>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</si>
  <si>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</si>
  <si>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</si>
  <si>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</si>
  <si>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</si>
  <si>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</si>
  <si>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</si>
  <si>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</si>
  <si>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</si>
  <si>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</si>
  <si>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</si>
  <si>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</si>
  <si>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</si>
  <si>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</si>
  <si>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</si>
  <si>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</si>
  <si>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</si>
  <si>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</si>
  <si>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</si>
  <si>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</si>
  <si>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</si>
  <si>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</si>
  <si>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</si>
  <si>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</si>
  <si>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</si>
  <si>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</si>
  <si>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</si>
  <si>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</si>
  <si>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</si>
  <si>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</si>
  <si>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</si>
  <si>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</si>
  <si>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</si>
  <si>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</si>
  <si>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</si>
  <si>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</si>
  <si>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</si>
  <si>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</si>
  <si>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</si>
  <si>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</si>
  <si>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</si>
  <si>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</si>
  <si>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</si>
  <si>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</si>
  <si>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</si>
  <si>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</si>
  <si>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</si>
  <si>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</si>
  <si>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</si>
  <si>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</si>
  <si>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</si>
  <si>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</si>
  <si>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</si>
  <si>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</si>
  <si>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</si>
  <si>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</si>
  <si>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</si>
  <si>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</si>
  <si>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</si>
  <si>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</si>
  <si>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</si>
  <si>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</si>
  <si>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</si>
  <si>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</si>
  <si>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</si>
  <si>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</si>
  <si>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</si>
  <si>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</si>
  <si>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</si>
  <si>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</si>
  <si>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</si>
  <si>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</si>
  <si>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</si>
  <si>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</si>
  <si>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</si>
  <si>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</si>
  <si>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</si>
  <si>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</si>
  <si>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</si>
  <si>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</si>
  <si>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</si>
  <si>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</si>
  <si>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</si>
  <si>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</si>
  <si>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</si>
  <si>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</si>
  <si>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</si>
  <si>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</si>
  <si>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</si>
  <si>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</si>
  <si>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</si>
  <si>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</si>
  <si>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</si>
  <si>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</si>
  <si>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</si>
  <si>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</si>
  <si>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</si>
  <si>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</si>
  <si>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</si>
  <si>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</si>
  <si>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</si>
  <si>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</si>
  <si>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</si>
  <si>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</si>
  <si>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</si>
  <si>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</si>
  <si>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</si>
  <si>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</si>
  <si>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</si>
  <si>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</si>
  <si>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</si>
  <si>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</si>
  <si>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</si>
  <si>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</si>
  <si>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</si>
  <si>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</si>
  <si>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</si>
  <si>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</si>
  <si>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</si>
  <si>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</si>
  <si>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</si>
  <si>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</si>
  <si>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</si>
  <si>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</si>
  <si>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</si>
  <si>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</si>
  <si>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</si>
  <si>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</si>
  <si>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</si>
  <si>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</si>
  <si>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</si>
  <si>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</si>
  <si>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</si>
  <si>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</si>
  <si>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</si>
  <si>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</si>
  <si>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</si>
  <si>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</si>
  <si>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</si>
  <si>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</si>
  <si>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</si>
  <si>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</si>
  <si>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</si>
  <si>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</si>
  <si>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</si>
  <si>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</si>
  <si>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</si>
  <si>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</si>
  <si>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</si>
  <si>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</si>
  <si>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</si>
  <si>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</si>
  <si>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</si>
  <si>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</si>
  <si>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</si>
  <si>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</si>
  <si>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</si>
  <si>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</si>
  <si>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</si>
  <si>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</si>
  <si>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</si>
  <si>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</si>
  <si>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</si>
  <si>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</si>
  <si>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</si>
  <si>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</si>
  <si>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</si>
  <si>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</si>
  <si>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</si>
  <si>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</si>
  <si>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</si>
  <si>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</si>
  <si>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</si>
  <si>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</si>
  <si>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</si>
  <si>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</si>
  <si>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</si>
  <si>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</si>
  <si>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</si>
  <si>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</si>
  <si>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</si>
  <si>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</si>
  <si>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</si>
  <si>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</si>
  <si>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</si>
  <si>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</si>
  <si>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</si>
  <si>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</si>
  <si>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</si>
  <si>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</si>
  <si>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</si>
  <si>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</si>
  <si>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</si>
  <si>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</si>
  <si>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</si>
  <si>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</si>
  <si>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</si>
  <si>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</si>
  <si>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</si>
  <si>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</si>
  <si>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</si>
  <si>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</si>
  <si>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</si>
  <si>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</si>
  <si>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</si>
  <si>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</si>
  <si>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</si>
  <si>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</si>
  <si>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</si>
  <si>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</si>
  <si>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</si>
  <si>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</si>
  <si>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</si>
  <si>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</si>
  <si>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</si>
  <si>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</si>
  <si>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</si>
  <si>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</si>
  <si>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</si>
  <si>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</si>
  <si>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</si>
  <si>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</si>
  <si>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</si>
  <si>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</si>
  <si>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</si>
  <si>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</si>
  <si>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</si>
  <si>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</si>
  <si>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</si>
  <si>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</si>
  <si>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</si>
  <si>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</si>
  <si>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</si>
  <si>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</si>
  <si>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</si>
  <si>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</si>
  <si>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</si>
  <si>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</si>
  <si>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</si>
  <si>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</si>
  <si>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</si>
  <si>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</si>
  <si>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</si>
  <si>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</si>
  <si>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</si>
  <si>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</si>
  <si>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</si>
  <si>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</si>
  <si>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</si>
  <si>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</si>
  <si>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</si>
  <si>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</si>
  <si>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</si>
  <si>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</si>
  <si>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</si>
  <si>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</si>
  <si>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</si>
  <si>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</si>
  <si>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</si>
  <si>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</si>
  <si>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</si>
  <si>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</si>
  <si>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</si>
  <si>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</si>
  <si>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</si>
  <si>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</si>
  <si>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</si>
  <si>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</si>
  <si>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</si>
  <si>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</si>
  <si>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</si>
  <si>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</si>
  <si>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</si>
  <si>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</si>
  <si>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</si>
  <si>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</si>
  <si>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</si>
  <si>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</si>
  <si>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</si>
  <si>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</si>
  <si>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</si>
  <si>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</si>
  <si>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</si>
  <si>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</si>
  <si>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</si>
  <si>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</si>
  <si>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</si>
  <si>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</si>
  <si>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</si>
  <si>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</si>
  <si>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</si>
  <si>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</si>
  <si>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</si>
  <si>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</si>
  <si>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</si>
  <si>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</si>
  <si>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</si>
  <si>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</si>
  <si>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</si>
  <si>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</si>
  <si>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</si>
  <si>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</si>
  <si>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</si>
  <si>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</si>
  <si>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</si>
  <si>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</si>
  <si>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</si>
  <si>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</si>
  <si>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</si>
  <si>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</si>
  <si>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</si>
  <si>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</si>
  <si>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</si>
  <si>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</si>
  <si>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</si>
  <si>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</si>
  <si>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</si>
  <si>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</si>
  <si>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</si>
  <si>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</si>
  <si>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</si>
  <si>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</si>
  <si>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</si>
  <si>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</si>
  <si>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</si>
  <si>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</si>
  <si>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</si>
  <si>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</si>
  <si>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</si>
  <si>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</si>
  <si>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</si>
  <si>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</si>
  <si>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</si>
  <si>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</si>
  <si>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</si>
  <si>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</si>
  <si>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</si>
  <si>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</si>
  <si>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</si>
  <si>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</si>
  <si>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</si>
  <si>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</si>
  <si>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</si>
  <si>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</si>
  <si>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</si>
  <si>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</si>
  <si>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</si>
  <si>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</si>
  <si>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</si>
  <si>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</si>
  <si>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</si>
  <si>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</si>
  <si>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</si>
  <si>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</si>
  <si>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</si>
  <si>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</si>
  <si>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</si>
  <si>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</si>
  <si>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</si>
  <si>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</si>
  <si>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</si>
  <si>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</si>
  <si>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</si>
  <si>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</si>
  <si>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</si>
  <si>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</si>
  <si>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</si>
  <si>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</si>
  <si>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</si>
  <si>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</si>
  <si>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</si>
  <si>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</si>
  <si>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</si>
  <si>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</si>
  <si>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</si>
  <si>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</si>
  <si>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</si>
  <si>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</si>
  <si>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</si>
  <si>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</si>
  <si>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</si>
  <si>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</si>
  <si>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</si>
  <si>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</si>
  <si>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</si>
  <si>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</si>
  <si>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</si>
  <si>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</si>
  <si>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</si>
  <si>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</si>
  <si>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</si>
  <si>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</si>
  <si>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</si>
  <si>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</si>
  <si>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</si>
  <si>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</si>
  <si>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</si>
  <si>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</si>
  <si>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</si>
  <si>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</si>
  <si>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</si>
  <si>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</si>
  <si>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</si>
  <si>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</si>
  <si>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</si>
  <si>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</si>
  <si>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</si>
  <si>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</si>
  <si>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</si>
  <si>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</si>
  <si>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</si>
  <si>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</si>
  <si>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</si>
  <si>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</si>
  <si>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</si>
  <si>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</si>
  <si>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</si>
  <si>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</si>
  <si>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</si>
  <si>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</si>
  <si>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</si>
  <si>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</si>
  <si>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</si>
  <si>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</si>
  <si>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</si>
  <si>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</si>
  <si>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</si>
  <si>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</si>
  <si>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</si>
  <si>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</si>
  <si>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</si>
  <si>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</si>
  <si>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</si>
  <si>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</si>
  <si>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</si>
  <si>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</si>
  <si>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</si>
  <si>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</si>
  <si>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</si>
  <si>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</si>
  <si>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</si>
  <si>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</si>
  <si>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</si>
  <si>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</si>
  <si>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</si>
  <si>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</si>
  <si>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</si>
  <si>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</si>
  <si>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</si>
  <si>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</si>
  <si>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</si>
  <si>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</si>
  <si>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</si>
  <si>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</si>
  <si>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</si>
  <si>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</si>
  <si>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</si>
  <si>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</si>
  <si>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</si>
  <si>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</si>
  <si>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</si>
  <si>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</si>
  <si>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</si>
  <si>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</si>
  <si>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</si>
  <si>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</si>
  <si>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</si>
  <si>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</si>
  <si>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</si>
  <si>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</si>
  <si>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</si>
  <si>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</si>
  <si>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</si>
  <si>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</si>
  <si>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</si>
  <si>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</si>
  <si>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</si>
  <si>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</si>
  <si>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</si>
  <si>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</si>
  <si>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</si>
  <si>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</si>
  <si>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</si>
  <si>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</si>
  <si>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</si>
  <si>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</si>
  <si>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</si>
  <si>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</si>
  <si>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</si>
  <si>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</si>
  <si>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</si>
  <si>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</si>
  <si>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</si>
  <si>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</si>
  <si>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</si>
  <si>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</si>
  <si>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</si>
  <si>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</si>
  <si>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</si>
  <si>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</si>
  <si>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</si>
  <si>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</si>
  <si>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</si>
  <si>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</si>
  <si>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</si>
  <si>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</si>
  <si>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</si>
  <si>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</si>
  <si>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</si>
  <si>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</si>
  <si>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</si>
  <si>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</si>
  <si>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</si>
  <si>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</si>
  <si>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</si>
  <si>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</si>
  <si>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</si>
  <si>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</si>
  <si>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</si>
  <si>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</si>
  <si>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</si>
  <si>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</si>
  <si>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</si>
  <si>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</si>
  <si>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</si>
  <si>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</si>
  <si>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</si>
  <si>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</si>
  <si>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</si>
  <si>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</si>
  <si>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</si>
  <si>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</si>
  <si>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</si>
  <si>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</si>
  <si>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</si>
  <si>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</si>
  <si>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</si>
  <si>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</si>
  <si>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</si>
  <si>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</si>
  <si>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</si>
  <si>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</si>
  <si>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</si>
  <si>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</si>
  <si>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</si>
  <si>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</si>
  <si>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</si>
  <si>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</si>
  <si>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</si>
  <si>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</si>
  <si>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</si>
  <si>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</si>
  <si>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</si>
  <si>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</si>
  <si>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</si>
  <si>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</si>
  <si>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</si>
  <si>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</si>
  <si>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</si>
  <si>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</si>
  <si>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</si>
  <si>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</si>
  <si>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</si>
  <si>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</si>
  <si>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</si>
  <si>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</si>
  <si>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</si>
  <si>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</si>
  <si>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</si>
  <si>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</si>
  <si>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</si>
  <si>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</si>
  <si>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</si>
  <si>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</si>
  <si>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</si>
  <si>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</si>
  <si>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</si>
  <si>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</si>
  <si>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</si>
  <si>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</si>
  <si>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</si>
  <si>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</si>
  <si>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</si>
  <si>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</si>
  <si>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</si>
  <si>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</si>
  <si>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</si>
  <si>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</si>
  <si>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</si>
  <si>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</si>
  <si>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</si>
  <si>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</si>
  <si>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</si>
  <si>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</si>
  <si>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</si>
  <si>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</si>
  <si>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</si>
  <si>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</si>
  <si>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</si>
  <si>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</si>
  <si>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</si>
  <si>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</si>
  <si>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</si>
  <si>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</si>
  <si>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</si>
  <si>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</si>
  <si>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</si>
  <si>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</si>
  <si>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</si>
  <si>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</si>
  <si>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</si>
  <si>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</si>
  <si>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</si>
  <si>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</si>
  <si>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</si>
  <si>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</si>
  <si>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</si>
  <si>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</si>
  <si>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</si>
  <si>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</si>
  <si>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</si>
  <si>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</si>
  <si>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</si>
  <si>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</si>
  <si>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</si>
  <si>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</si>
  <si>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</si>
  <si>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</si>
  <si>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</si>
  <si>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</si>
  <si>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</si>
  <si>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</si>
  <si>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</si>
  <si>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</si>
  <si>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</si>
  <si>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</si>
  <si>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</si>
  <si>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</si>
  <si>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</si>
  <si>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</si>
  <si>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</si>
  <si>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</si>
  <si>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</si>
  <si>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</si>
  <si>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</si>
  <si>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</si>
  <si>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</si>
  <si>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</si>
  <si>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</si>
  <si>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</si>
  <si>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</si>
  <si>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</si>
  <si>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</si>
  <si>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</si>
  <si>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</si>
  <si>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</si>
  <si>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</si>
  <si>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</si>
  <si>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</si>
  <si>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</si>
  <si>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</si>
  <si>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</si>
  <si>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</si>
  <si>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</si>
  <si>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</si>
  <si>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</si>
  <si>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</si>
  <si>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</si>
  <si>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</si>
  <si>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</si>
  <si>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</si>
  <si>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</si>
  <si>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</si>
  <si>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</si>
  <si>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</si>
  <si>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</si>
  <si>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</si>
  <si>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</si>
  <si>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</si>
  <si>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</si>
  <si>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</si>
  <si>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</si>
  <si>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</si>
  <si>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</si>
  <si>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</si>
  <si>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</si>
  <si>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</si>
  <si>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</si>
  <si>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</si>
  <si>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</si>
  <si>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</si>
  <si>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</si>
  <si>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</si>
  <si>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</si>
  <si>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</si>
  <si>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</si>
  <si>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</si>
  <si>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</si>
  <si>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</si>
  <si>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</si>
  <si>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</si>
  <si>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</si>
  <si>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</si>
  <si>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</si>
  <si>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</si>
  <si>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</si>
  <si>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</si>
  <si>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</si>
  <si>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</si>
  <si>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</si>
  <si>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</si>
  <si>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</si>
  <si>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</si>
  <si>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</si>
  <si>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</si>
  <si>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</si>
  <si>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</si>
  <si>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</si>
  <si>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</si>
  <si>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</si>
  <si>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</si>
  <si>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</si>
  <si>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</si>
  <si>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</si>
  <si>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</si>
  <si>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</si>
  <si>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</si>
  <si>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</si>
  <si>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</si>
  <si>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</si>
  <si>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</si>
  <si>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</si>
  <si>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</si>
  <si>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</si>
  <si>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</si>
  <si>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</si>
  <si>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</si>
  <si>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</si>
  <si>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</si>
  <si>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</si>
  <si>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</si>
  <si>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</si>
  <si>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</si>
  <si>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</si>
  <si>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</si>
  <si>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</si>
  <si>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</si>
  <si>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</si>
  <si>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</si>
  <si>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</si>
  <si>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</si>
  <si>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</si>
  <si>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</si>
  <si>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</si>
  <si>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</si>
  <si>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</si>
  <si>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</si>
  <si>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</si>
  <si>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</si>
  <si>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</si>
  <si>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</si>
  <si>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</si>
  <si>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</si>
  <si>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</si>
  <si>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</si>
  <si>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</si>
  <si>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</si>
  <si>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</si>
  <si>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</si>
  <si>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</si>
  <si>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</si>
  <si>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</si>
  <si>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</si>
  <si>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</si>
  <si>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</si>
  <si>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</si>
  <si>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</si>
  <si>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</si>
  <si>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</si>
  <si>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</si>
  <si>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</si>
  <si>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</si>
  <si>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</si>
  <si>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</si>
  <si>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</si>
  <si>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</si>
  <si>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</si>
  <si>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</si>
  <si>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</si>
  <si>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</si>
  <si>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</si>
  <si>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</si>
  <si>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</si>
  <si>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</si>
  <si>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</si>
  <si>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</si>
  <si>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</si>
  <si>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</si>
  <si>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</si>
  <si>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</si>
  <si>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</si>
  <si>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</si>
  <si>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</si>
  <si>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</si>
  <si>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</si>
  <si>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</si>
  <si>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</si>
  <si>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</si>
  <si>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</si>
  <si>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</si>
  <si>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</si>
  <si>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</si>
  <si>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</si>
  <si>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</si>
  <si>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</si>
  <si>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</si>
  <si>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</si>
  <si>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</si>
  <si>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</si>
  <si>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</si>
  <si>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</si>
  <si>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</si>
  <si>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</si>
  <si>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</si>
  <si>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</si>
  <si>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</si>
  <si>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</si>
  <si>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</si>
  <si>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</si>
  <si>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</si>
  <si>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</si>
  <si>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</si>
  <si>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</si>
  <si>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</si>
  <si>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</si>
  <si>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</si>
  <si>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</si>
  <si>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</si>
  <si>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</si>
  <si>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</si>
  <si>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</si>
  <si>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</si>
  <si>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</si>
  <si>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</si>
  <si>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</si>
  <si>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</si>
  <si>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</si>
  <si>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</si>
  <si>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</si>
  <si>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</si>
  <si>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</si>
  <si>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</si>
  <si>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</si>
  <si>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</si>
  <si>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</si>
  <si>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</si>
  <si>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</si>
  <si>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</si>
  <si>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</si>
  <si>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</si>
  <si>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</si>
  <si>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</si>
  <si>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</si>
  <si>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</si>
  <si>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</si>
  <si>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</si>
  <si>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</si>
  <si>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</si>
  <si>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</si>
  <si>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</si>
  <si>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</si>
  <si>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</si>
  <si>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</si>
  <si>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</si>
  <si>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</si>
  <si>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</si>
  <si>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</si>
  <si>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</si>
  <si>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</si>
  <si>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</si>
  <si>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</si>
  <si>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</si>
  <si>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</si>
  <si>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</si>
  <si>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</si>
  <si>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</si>
  <si>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</si>
  <si>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</si>
  <si>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</si>
  <si>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</si>
  <si>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</si>
  <si>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</si>
  <si>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</si>
  <si>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</si>
  <si>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</si>
  <si>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</si>
  <si>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</si>
  <si>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</si>
  <si>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</si>
  <si>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</si>
  <si>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</si>
  <si>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</si>
  <si>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</si>
  <si>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</si>
  <si>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</si>
  <si>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</si>
  <si>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</si>
  <si>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</si>
  <si>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</si>
  <si>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</si>
  <si>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</si>
  <si>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</si>
  <si>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</si>
  <si>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</si>
  <si>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</si>
  <si>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</si>
  <si>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</si>
  <si>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</si>
  <si>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</si>
  <si>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</si>
  <si>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</si>
  <si>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</si>
  <si>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</si>
  <si>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</si>
  <si>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</si>
  <si>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</si>
  <si>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</si>
  <si>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</si>
  <si>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</si>
  <si>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</si>
  <si>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</si>
  <si>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</si>
  <si>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</si>
  <si>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</si>
  <si>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</si>
  <si>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</si>
  <si>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</si>
  <si>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</si>
  <si>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</si>
  <si>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</si>
  <si>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</si>
  <si>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</si>
  <si>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</si>
  <si>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</si>
  <si>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</si>
  <si>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</si>
  <si>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</si>
  <si>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</si>
  <si>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</si>
  <si>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</si>
  <si>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</si>
  <si>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</si>
  <si>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</si>
  <si>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</si>
  <si>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</si>
  <si>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</si>
  <si>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</si>
  <si>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</si>
  <si>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</si>
  <si>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</si>
  <si>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</si>
  <si>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</si>
  <si>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</si>
  <si>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</si>
  <si>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</si>
  <si>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</si>
  <si>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</si>
  <si>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</si>
  <si>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</si>
  <si>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</si>
  <si>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</si>
  <si>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</si>
  <si>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</si>
  <si>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</si>
  <si>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</si>
  <si>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</si>
  <si>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</si>
  <si>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</si>
  <si>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</si>
  <si>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</si>
  <si>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</si>
  <si>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</si>
  <si>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</si>
  <si>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</si>
  <si>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</si>
  <si>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</si>
  <si>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</si>
  <si>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</si>
  <si>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</si>
  <si>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</si>
  <si>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</si>
  <si>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</si>
  <si>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</si>
  <si>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</si>
  <si>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</si>
  <si>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</si>
  <si>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</si>
  <si>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</si>
  <si>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</si>
  <si>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</si>
  <si>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</si>
  <si>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</si>
  <si>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</si>
  <si>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</si>
  <si>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</si>
  <si>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</si>
  <si>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</si>
  <si>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</si>
  <si>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</si>
  <si>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</si>
  <si>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</si>
  <si>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</si>
  <si>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</si>
  <si>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</si>
  <si>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</si>
  <si>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</si>
  <si>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</si>
  <si>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</si>
  <si>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</si>
  <si>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</si>
  <si>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</si>
  <si>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</si>
  <si>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</si>
  <si>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</si>
  <si>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</si>
  <si>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</si>
  <si>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</si>
  <si>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</si>
  <si>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</si>
  <si>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</si>
  <si>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</si>
  <si>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</si>
  <si>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</si>
  <si>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</si>
  <si>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</si>
  <si>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</si>
  <si>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</si>
  <si>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</si>
  <si>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</si>
  <si>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</si>
  <si>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</si>
  <si>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</si>
  <si>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</si>
  <si>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</si>
  <si>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</si>
  <si>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</si>
  <si>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</si>
  <si>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</si>
  <si>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</si>
  <si>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</si>
  <si>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</si>
  <si>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</si>
  <si>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</si>
  <si>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</si>
  <si>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</si>
  <si>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</si>
  <si>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</si>
  <si>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</si>
  <si>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</si>
  <si>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</si>
  <si>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</si>
  <si>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</si>
  <si>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</si>
  <si>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</si>
  <si>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</si>
  <si>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</si>
  <si>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</si>
  <si>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</si>
  <si>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</si>
  <si>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</si>
  <si>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</si>
  <si>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</si>
  <si>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</si>
  <si>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</si>
  <si>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</si>
  <si>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</si>
  <si>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</si>
  <si>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</si>
  <si>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</si>
  <si>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</si>
  <si>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</si>
  <si>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</si>
  <si>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</si>
  <si>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</si>
  <si>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</si>
  <si>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</si>
  <si>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</si>
  <si>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</si>
  <si>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</si>
  <si>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</si>
  <si>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</si>
  <si>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</si>
  <si>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</si>
  <si>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</si>
  <si>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</si>
  <si>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</si>
  <si>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</si>
  <si>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</si>
  <si>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</si>
  <si>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</si>
  <si>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</si>
  <si>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</si>
  <si>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</si>
  <si>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</si>
  <si>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</si>
  <si>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</si>
  <si>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</si>
  <si>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</si>
  <si>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</si>
  <si>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</si>
  <si>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</si>
  <si>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</si>
  <si>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</si>
  <si>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</si>
  <si>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</si>
  <si>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</si>
  <si>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</si>
  <si>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</si>
  <si>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</si>
  <si>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</si>
  <si>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</si>
  <si>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</si>
  <si>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</si>
  <si>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</si>
  <si>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</si>
  <si>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</si>
  <si>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</si>
  <si>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</si>
  <si>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</si>
  <si>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</si>
  <si>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</si>
  <si>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Ⅲ—01</t>
  </si>
  <si>
    <t>住宅/居住</t>
  </si>
  <si>
    <t>钢混</t>
  </si>
  <si>
    <t>地上</t>
  </si>
  <si>
    <t>居住用地（指二类居住用地）</t>
  </si>
  <si>
    <t>不临58条商业街</t>
  </si>
  <si>
    <t>七通一平</t>
  </si>
  <si>
    <t>一致</t>
  </si>
  <si>
    <t>——</t>
  </si>
  <si>
    <t>较好</t>
  </si>
  <si>
    <t>好</t>
  </si>
  <si>
    <t>扣出让金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</si>
</sst>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E10" sqref="E10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66" t="s">
        <v>253</v>
      </c>
    </row>
    <row r="16" spans="1:7" ht="13.5">
      <c r="A16" s="1754"/>
      <c r="B16" s="667" t="s">
        <v>169</v>
      </c>
    </row>
    <row r="17" spans="1:2" ht="13.5">
      <c r="A17" s="180" t="s">
        <v>170</v>
      </c>
      <c r="B17" s="668"/>
    </row>
    <row r="18" spans="1:2" ht="13.5">
      <c r="A18" s="1752" t="s">
        <v>171</v>
      </c>
      <c r="B18" s="666" t="s">
        <v>1402</v>
      </c>
    </row>
    <row r="19" spans="1:2" ht="13.5">
      <c r="A19" s="1752"/>
      <c r="B19" s="666" t="s">
        <v>1403</v>
      </c>
    </row>
    <row r="20" spans="1:2" ht="13.5">
      <c r="A20" s="1752"/>
      <c r="B20" s="666" t="s">
        <v>1404</v>
      </c>
    </row>
    <row r="21" spans="1:2" ht="13.5">
      <c r="A21" s="1752"/>
      <c r="B21" s="503" t="s">
        <v>172</v>
      </c>
    </row>
    <row r="22" spans="1:2" ht="13.5">
      <c r="A22" s="1752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0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0"/>
      <c r="B19" s="1790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0"/>
      <c r="B24" s="1790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0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0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0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0"/>
      <c r="B36" s="1790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0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0.79200000000000004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105.36</v>
      </c>
      <c r="I1" s="726" t="s">
        <v>1356</v>
      </c>
      <c r="J1" s="526">
        <f>主表!B6</f>
        <v>17.45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/>
      <c r="J2" s="736"/>
      <c r="AE2" s="731"/>
      <c r="AF2" s="731"/>
    </row>
    <row r="3" spans="1:36" ht="15.75">
      <c r="A3" s="687" t="s">
        <v>916</v>
      </c>
      <c r="B3" s="1439">
        <f>C18</f>
        <v>0</v>
      </c>
      <c r="C3" s="732" t="s">
        <v>917</v>
      </c>
      <c r="D3" s="733" t="s">
        <v>256</v>
      </c>
      <c r="E3" s="737"/>
      <c r="F3" s="1500" t="s">
        <v>1229</v>
      </c>
      <c r="G3" s="238">
        <f>IF(F3="容积率",主表!B8,主表!B9)</f>
        <v>6.04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0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1220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0</v>
      </c>
      <c r="D9" s="1638" t="s">
        <v>265</v>
      </c>
      <c r="E9" s="1639">
        <v>37257</v>
      </c>
      <c r="F9" s="1640">
        <f>ROUND(SUMIF(地价!B3:F3,E2,地价!B72:F72),0)</f>
        <v>104</v>
      </c>
      <c r="G9" s="1641" t="s">
        <v>266</v>
      </c>
      <c r="H9" s="1642">
        <f>主表!B4</f>
        <v>41933</v>
      </c>
      <c r="I9" s="1643">
        <f>ROUND(SUMPRODUCT((地价!A22:A72=YEAR(H9)&amp;"-"&amp;ROUNDUP(MONTH(H9)/3,0))*(地价!B3:F3=E2)*(地价!B22:F72)),0)</f>
        <v>0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</v>
      </c>
      <c r="D10" s="1525" t="s">
        <v>940</v>
      </c>
      <c r="E10" s="1526">
        <v>0.04</v>
      </c>
      <c r="F10" s="1647"/>
      <c r="G10" s="1648">
        <f>IF(F10="剩余土地使用年限",主表!B15,主表!B16)</f>
        <v>0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0.88580000000000003</v>
      </c>
      <c r="D11" s="1532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0.88580000000000003</v>
      </c>
      <c r="E12" s="1523">
        <f>ROUNDDOWN(G3,1)</f>
        <v>6</v>
      </c>
      <c r="F12" s="1524">
        <f>IF(G3&lt;=10,SUMPRODUCT(('2002容积率修正'!A3:A102=E12)*('2002容积率修正'!B2:D2=E2)*('2002容积率修正'!B3:D102)),"——")</f>
        <v>0.88700000000000001</v>
      </c>
      <c r="G12" s="1522">
        <f>ROUNDUP(G3,1)</f>
        <v>6.1</v>
      </c>
      <c r="H12" s="638">
        <f>IF(G3&lt;=10,SUMPRODUCT(('2002容积率修正'!A3:A102=G12)*('2002容积率修正'!B2:D2=E2)*('2002容积率修正'!B3:D102)),"——")</f>
        <v>0.88400000000000001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0.88580000000000003</v>
      </c>
      <c r="E13" s="1523">
        <f>ROUNDDOWN(G3,1)</f>
        <v>6</v>
      </c>
      <c r="F13" s="1524">
        <f>IF(G3&lt;=10,SUMPRODUCT(('2002容积率修正'!A3:A102=E13)*('2002容积率修正'!E2:G2=E2)*('2002容积率修正'!E3:G102)),"——")</f>
        <v>0.754</v>
      </c>
      <c r="G13" s="1522">
        <f>ROUNDUP(G3,1)</f>
        <v>6.1</v>
      </c>
      <c r="H13" s="638">
        <f>IF(G3&lt;=10,SUMPRODUCT(('2002容积率修正'!A3:A102=G13)*('2002容积率修正'!E2:G2=E2)*('2002容积率修正'!E3:G102)),"——")</f>
        <v>0.751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/>
      <c r="D16" s="1651" t="s">
        <v>1352</v>
      </c>
      <c r="E16" s="1527" t="s">
        <v>929</v>
      </c>
      <c r="F16" s="1528"/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2" t="s">
        <v>1353</v>
      </c>
      <c r="B18" s="780" t="s">
        <v>1340</v>
      </c>
      <c r="C18" s="646">
        <f>ROUND(C7*C9*C10*C11*C15*C16,0)</f>
        <v>0</v>
      </c>
      <c r="D18" s="647">
        <f>H1</f>
        <v>105.36</v>
      </c>
      <c r="E18" s="648">
        <f>ROUND(C18*D18,0)</f>
        <v>0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3"/>
      <c r="B19" s="785" t="s">
        <v>1343</v>
      </c>
      <c r="C19" s="638">
        <f>ROUND(C7*C9*C10*C11*C15*C16*G3,0)</f>
        <v>0</v>
      </c>
      <c r="D19" s="647">
        <f>J1</f>
        <v>17.45</v>
      </c>
      <c r="E19" s="648">
        <f>ROUND(C19*D19,0)</f>
        <v>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4" t="s">
        <v>1354</v>
      </c>
      <c r="B20" s="767" t="s">
        <v>1341</v>
      </c>
      <c r="C20" s="652">
        <f>ROUND(IF(G3&gt;=I3,C8*C9*C10*C15,C8*C9*C10*C15*G3),0)</f>
        <v>0</v>
      </c>
      <c r="D20" s="653">
        <f>H1</f>
        <v>105.36</v>
      </c>
      <c r="E20" s="654">
        <f>ROUND(C20*D20,0)</f>
        <v>0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4"/>
      <c r="B21" s="790" t="s">
        <v>1342</v>
      </c>
      <c r="C21" s="655">
        <f>ROUND(IF(G3&lt;I3,C8*C9*C10*C15,C8*C9*C10*C15*G3),0)</f>
        <v>0</v>
      </c>
      <c r="D21" s="656">
        <f>J1</f>
        <v>17.45</v>
      </c>
      <c r="E21" s="657">
        <f t="shared" ref="E21" si="0">ROUND(C21*D21,0)</f>
        <v>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0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52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6.04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0.88570000000000004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0.66669999999999996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0.83909999999999996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0.88570000000000004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0.66710000000000003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SUMPRODUCT((K3:K12=L1)*(L2:O2=K1)*(L3:O12))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8" t="s">
        <v>1324</v>
      </c>
      <c r="B1" s="1815" t="s">
        <v>1325</v>
      </c>
      <c r="C1" s="1816"/>
      <c r="D1" s="1817"/>
      <c r="E1" s="1815" t="s">
        <v>1326</v>
      </c>
      <c r="F1" s="1816"/>
      <c r="G1" s="1817"/>
    </row>
    <row r="2" spans="1:7">
      <c r="A2" s="1819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30" t="s">
        <v>1439</v>
      </c>
      <c r="E2" s="1820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31"/>
      <c r="E3" s="1821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31"/>
      <c r="E4" s="1821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32"/>
      <c r="E5" s="1822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30" t="s">
        <v>1440</v>
      </c>
      <c r="E6" s="1820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31"/>
      <c r="E7" s="1821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32"/>
      <c r="E8" s="1822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105.36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17.45</v>
      </c>
      <c r="C10" s="722"/>
      <c r="D10" s="1830" t="s">
        <v>1418</v>
      </c>
      <c r="E10" s="1820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6.04</v>
      </c>
      <c r="C11" s="722"/>
      <c r="D11" s="1833"/>
      <c r="E11" s="1823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4.9279999999999999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0.94320000000000004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5.2000000000000005E-2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48.88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2" t="s">
        <v>1353</v>
      </c>
      <c r="B27" s="780" t="s">
        <v>1340</v>
      </c>
      <c r="C27" s="638">
        <f>ROUND(C28/B11,0)</f>
        <v>0</v>
      </c>
      <c r="D27" s="647">
        <f>B9</f>
        <v>105.36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3"/>
      <c r="B28" s="785" t="s">
        <v>1343</v>
      </c>
      <c r="C28" s="638">
        <f>IF(主表!B4&lt;DATE(2002,12,10),ROUND(C14*C21*C22+C15*B11+C18,0),0)</f>
        <v>0</v>
      </c>
      <c r="D28" s="647">
        <f>B10</f>
        <v>17.45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4" t="s">
        <v>1466</v>
      </c>
      <c r="B29" s="767" t="s">
        <v>1467</v>
      </c>
      <c r="C29" s="652">
        <f>ROUND(C30/B11,0)</f>
        <v>0</v>
      </c>
      <c r="D29" s="653">
        <f>B9</f>
        <v>105.36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6"/>
      <c r="B30" s="982" t="s">
        <v>1468</v>
      </c>
      <c r="C30" s="643">
        <f>IF(主表!B4&lt;DATE(2002,12,10),ROUND(C14*C21*C22+C15*B11,0),0)</f>
        <v>0</v>
      </c>
      <c r="D30" s="695">
        <f>B10</f>
        <v>17.45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B47" sqref="B47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230</v>
      </c>
      <c r="D5" s="1840"/>
      <c r="E5" s="1863" t="s">
        <v>231</v>
      </c>
      <c r="F5" s="1864"/>
      <c r="G5" s="1839" t="s">
        <v>234</v>
      </c>
      <c r="H5" s="1840"/>
      <c r="I5" s="1839" t="s">
        <v>232</v>
      </c>
      <c r="J5" s="1840"/>
      <c r="K5" s="142"/>
      <c r="L5" s="451"/>
      <c r="M5" s="452"/>
      <c r="N5" s="452"/>
      <c r="O5" s="452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233</v>
      </c>
      <c r="D6" s="1837"/>
      <c r="E6" s="1834" t="s">
        <v>233</v>
      </c>
      <c r="F6" s="1835"/>
      <c r="G6" s="1836" t="s">
        <v>233</v>
      </c>
      <c r="H6" s="1837"/>
      <c r="I6" s="1836" t="s">
        <v>233</v>
      </c>
      <c r="J6" s="1837"/>
      <c r="K6" s="142" t="s">
        <v>97</v>
      </c>
      <c r="L6" s="451"/>
      <c r="M6" s="452"/>
      <c r="N6" s="452"/>
      <c r="O6" s="452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5">
        <f>主表!B4</f>
        <v>41933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6.04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7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67"/>
      <c r="Q30" s="500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2014-10-1</v>
      </c>
      <c r="D56" s="1688">
        <f>EDATE(C56,-3)</f>
        <v>41821</v>
      </c>
      <c r="E56" s="1688">
        <f t="shared" ref="E56:O56" si="15">EDATE(D56,-3)</f>
        <v>41730</v>
      </c>
      <c r="F56" s="1688">
        <f t="shared" si="15"/>
        <v>41640</v>
      </c>
      <c r="G56" s="1688">
        <f t="shared" si="15"/>
        <v>41548</v>
      </c>
      <c r="H56" s="1688">
        <f t="shared" si="15"/>
        <v>41456</v>
      </c>
      <c r="I56" s="1688">
        <f t="shared" si="15"/>
        <v>41365</v>
      </c>
      <c r="J56" s="1688">
        <f t="shared" si="15"/>
        <v>41275</v>
      </c>
      <c r="K56" s="1688">
        <f t="shared" si="15"/>
        <v>41183</v>
      </c>
      <c r="L56" s="1688">
        <f t="shared" si="15"/>
        <v>41091</v>
      </c>
      <c r="M56" s="1688">
        <f t="shared" si="15"/>
        <v>41000</v>
      </c>
      <c r="N56" s="1688">
        <f t="shared" si="15"/>
        <v>40909</v>
      </c>
      <c r="O56" s="1688">
        <f t="shared" si="15"/>
        <v>40817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2014-4</v>
      </c>
      <c r="D58" s="1687" t="str">
        <f t="shared" ref="D58:O58" si="16">YEAR(D56)&amp;"-"&amp;ROUNDUP(MONTH(D56)/3,0)</f>
        <v>2014-3</v>
      </c>
      <c r="E58" s="1687" t="str">
        <f t="shared" si="16"/>
        <v>2014-2</v>
      </c>
      <c r="F58" s="1687" t="str">
        <f t="shared" si="16"/>
        <v>2014-1</v>
      </c>
      <c r="G58" s="1687" t="str">
        <f t="shared" si="16"/>
        <v>2013-4</v>
      </c>
      <c r="H58" s="1687" t="str">
        <f t="shared" si="16"/>
        <v>2013-3</v>
      </c>
      <c r="I58" s="1687" t="str">
        <f t="shared" si="16"/>
        <v>2013-2</v>
      </c>
      <c r="J58" s="1687" t="str">
        <f t="shared" si="16"/>
        <v>2013-1</v>
      </c>
      <c r="K58" s="1687" t="str">
        <f t="shared" si="16"/>
        <v>2012-4</v>
      </c>
      <c r="L58" s="1687" t="str">
        <f t="shared" si="16"/>
        <v>2012-3</v>
      </c>
      <c r="M58" s="1687" t="str">
        <f t="shared" si="16"/>
        <v>2012-2</v>
      </c>
      <c r="N58" s="1687" t="str">
        <f t="shared" si="16"/>
        <v>2012-1</v>
      </c>
      <c r="O58" s="1687" t="str">
        <f t="shared" si="16"/>
        <v>2011-4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43320</v>
      </c>
      <c r="D1" s="1000" t="str">
        <f>主表!A23</f>
        <v>建设期</v>
      </c>
      <c r="E1" s="1040">
        <f>主表!B23</f>
        <v>1</v>
      </c>
      <c r="F1" s="1000" t="s">
        <v>1522</v>
      </c>
      <c r="G1" s="1001">
        <f ca="1">INDIRECT("d"&amp;$K$1)/100</f>
        <v>4.3499999999999997E-2</v>
      </c>
      <c r="H1" s="1000" t="s">
        <v>1523</v>
      </c>
      <c r="I1" s="1001">
        <f ca="1">SUMIF(F4:F8,E1,G4:G8)/100</f>
        <v>1.4999999999999999E-2</v>
      </c>
      <c r="J1" s="1170">
        <f>IF(C1&gt;C14,0,MATCH(C1,C$14:C$59,-1))+IF(SUMIF(C14:C59,C1,D14:D59)=0,14,13)</f>
        <v>14</v>
      </c>
      <c r="K1" s="1170">
        <f ca="1">MATCH(E1,C4:C8,1)+IF(SUMIF(C4:C8,E1,D4:D8)=0,3,2)</f>
        <v>5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41933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0.06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20</v>
      </c>
      <c r="K2" s="1170">
        <f ca="1">MATCH(E2,C4:C8,1)+IF(SUMIF(C4:C8,E2,D4:D8)=0,3,2)</f>
        <v>5</v>
      </c>
      <c r="L2" s="1170">
        <f>IF(C2&gt;M14,0,MATCH(C2,M$14:M$52,-1))+IF(SUMIF(M14:M52,C2,N14:N52)=0,14,13)</f>
        <v>20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6.1500000000000006E-2</v>
      </c>
      <c r="H3" s="1051" t="s">
        <v>1523</v>
      </c>
      <c r="I3" s="1052">
        <f ca="1">SUMIF(F4:F8,E3,H4:H8)/100</f>
        <v>4.2500000000000003E-2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5.6</v>
      </c>
      <c r="F4" s="1037">
        <v>0.5</v>
      </c>
      <c r="G4" s="1038">
        <f ca="1">INDIRECT("p"&amp;$L$1)</f>
        <v>1.3</v>
      </c>
      <c r="H4" s="1038">
        <f ca="1">INDIRECT("p"&amp;$L$2)</f>
        <v>2.8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6</v>
      </c>
      <c r="F5" s="1007">
        <v>1</v>
      </c>
      <c r="G5" s="1039">
        <f ca="1">INDIRECT("q"&amp;$L$1)</f>
        <v>1.5</v>
      </c>
      <c r="H5" s="1039">
        <f ca="1">INDIRECT("q"&amp;$L$2)</f>
        <v>3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6.15</v>
      </c>
      <c r="F6" s="1007">
        <v>2</v>
      </c>
      <c r="G6" s="1039">
        <f ca="1">INDIRECT("r"&amp;$L$1)</f>
        <v>2.1</v>
      </c>
      <c r="H6" s="1039">
        <f ca="1">INDIRECT("r"&amp;$L$2)</f>
        <v>3.75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6.4</v>
      </c>
      <c r="F7" s="1007">
        <v>3</v>
      </c>
      <c r="G7" s="1039">
        <f ca="1">INDIRECT("s"&amp;$L$1)</f>
        <v>2.75</v>
      </c>
      <c r="H7" s="1039">
        <f ca="1">INDIRECT("s"&amp;$L$2)</f>
        <v>4.25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6.55</v>
      </c>
      <c r="F8" s="1007">
        <v>5</v>
      </c>
      <c r="G8" s="1039">
        <f ca="1">INDIRECT("t"&amp;$L$1)</f>
        <v>0</v>
      </c>
      <c r="H8" s="1039">
        <f ca="1">INDIRECT("t"&amp;$L$2)</f>
        <v>4.75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E22" sqref="E2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83" t="s">
        <v>1657</v>
      </c>
      <c r="H2" s="1883"/>
      <c r="I2" s="1883"/>
      <c r="J2" s="1883"/>
      <c r="K2" s="1883"/>
      <c r="L2" s="1883"/>
      <c r="N2" s="1875" t="s">
        <v>1658</v>
      </c>
      <c r="O2" s="1875"/>
      <c r="P2" s="1875"/>
      <c r="Q2" s="1875"/>
      <c r="R2" s="1690"/>
      <c r="S2" s="1875" t="s">
        <v>1659</v>
      </c>
      <c r="T2" s="1875"/>
      <c r="U2" s="1875"/>
      <c r="V2" s="1875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7" customFormat="1" ht="14.25">
      <c r="A4" s="1748" t="s">
        <v>1764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1767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1765</v>
      </c>
      <c r="Y6" s="1746"/>
      <c r="Z6" s="1746"/>
      <c r="AA6" s="1746"/>
    </row>
    <row r="7" spans="1:32" s="1551" customFormat="1" ht="13.5" thickBot="1">
      <c r="A7" s="1553" t="s">
        <v>1768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1766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1763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1760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1660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1661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280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79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279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7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269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7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278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8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277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6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276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7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275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7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274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8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273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6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272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7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271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7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270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8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1662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0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1663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1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1664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1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1665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2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1666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6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1667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7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1668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7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1669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8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1670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6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1671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7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1672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7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1673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8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1674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6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1675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7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1676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7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1677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8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1678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6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1679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7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1680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7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1681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8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1682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6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1683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7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1684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7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1685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8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1686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6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1687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7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1688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7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1689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8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1690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6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1691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7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1692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7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1693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8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1694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6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1695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7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1696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7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1697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8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1698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6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1699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7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1700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7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1701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8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1702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6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1703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7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1704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7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1705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8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1706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6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1707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7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1708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7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1709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8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1716</v>
      </c>
      <c r="G75" s="1683"/>
      <c r="N75" s="1683"/>
      <c r="S75" s="1683"/>
    </row>
    <row r="76" spans="1:32" s="1682" customFormat="1">
      <c r="A76" s="1682" t="s">
        <v>1717</v>
      </c>
      <c r="G76" s="1683"/>
      <c r="N76" s="1683"/>
      <c r="S76" s="1683"/>
    </row>
    <row r="77" spans="1:32" s="1682" customFormat="1">
      <c r="A77" s="1682" t="s">
        <v>1718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1719</v>
      </c>
      <c r="G78" s="1683"/>
      <c r="N78" s="1683"/>
      <c r="S78" s="1683"/>
    </row>
    <row r="85" spans="14:29" ht="13.5" thickBot="1"/>
    <row r="86" spans="14:29" ht="24">
      <c r="S86" s="1677" t="s">
        <v>1710</v>
      </c>
      <c r="T86" s="1602" t="s">
        <v>1711</v>
      </c>
      <c r="U86" s="1602" t="s">
        <v>1712</v>
      </c>
      <c r="V86" s="1602" t="s">
        <v>1713</v>
      </c>
      <c r="W86" s="1603" t="s">
        <v>1714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G65:G68"/>
    <mergeCell ref="G69:G72"/>
    <mergeCell ref="G41:G44"/>
    <mergeCell ref="G45:G48"/>
    <mergeCell ref="G49:G52"/>
    <mergeCell ref="G53:G56"/>
    <mergeCell ref="G57:G60"/>
    <mergeCell ref="G61:G64"/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52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6" sqref="C6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topLeftCell="A10" workbookViewId="0">
      <selection activeCell="B30" sqref="B30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105.36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17.45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43320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242.76660000000001</v>
      </c>
      <c r="C11" s="1695">
        <f ca="1">结果表!B18</f>
        <v>23042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105.36</v>
      </c>
      <c r="C14" s="1702">
        <f>主表!B6</f>
        <v>17.45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topLeftCell="A22" zoomScaleNormal="100" zoomScaleSheetLayoutView="100" zoomScalePageLayoutView="80" workbookViewId="0">
      <selection activeCell="F7" sqref="F7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8" t="s">
        <v>1368</v>
      </c>
      <c r="B2" s="1768"/>
      <c r="C2" s="1768"/>
      <c r="D2" s="1768"/>
      <c r="E2" s="1768"/>
      <c r="F2" s="1768"/>
      <c r="G2" s="1768"/>
      <c r="H2" s="665"/>
      <c r="I2" s="227"/>
      <c r="X2" s="221"/>
      <c r="AG2" s="189"/>
    </row>
    <row r="3" spans="1:33" ht="13.5">
      <c r="A3" s="1769" t="s">
        <v>1369</v>
      </c>
      <c r="B3" s="1770"/>
      <c r="C3" s="1771"/>
      <c r="D3" s="1772" t="s">
        <v>1370</v>
      </c>
      <c r="E3" s="1770"/>
      <c r="F3" s="1770"/>
      <c r="G3" s="1773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74" t="s">
        <v>1371</v>
      </c>
      <c r="E4" s="1766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75" t="s">
        <v>1375</v>
      </c>
      <c r="B5" s="1760">
        <f ca="1">主表!F5</f>
        <v>16852</v>
      </c>
      <c r="C5" s="1776" t="s">
        <v>1376</v>
      </c>
      <c r="D5" s="1766" t="s">
        <v>1377</v>
      </c>
      <c r="E5" s="1767"/>
      <c r="F5" s="1336">
        <f>SUM(F6:F10)</f>
        <v>4336</v>
      </c>
      <c r="G5" s="1337" t="s">
        <v>1654</v>
      </c>
      <c r="H5" s="665"/>
      <c r="I5" s="227"/>
      <c r="X5" s="221"/>
      <c r="AG5" s="189"/>
    </row>
    <row r="6" spans="1:33" ht="27">
      <c r="A6" s="1775"/>
      <c r="B6" s="1760"/>
      <c r="C6" s="1776"/>
      <c r="D6" s="1777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75"/>
      <c r="B7" s="1760"/>
      <c r="C7" s="1776"/>
      <c r="D7" s="1777"/>
      <c r="E7" s="1336" t="s">
        <v>1380</v>
      </c>
      <c r="F7" s="1336">
        <f>主表!F15</f>
        <v>1000</v>
      </c>
      <c r="G7" s="1337"/>
      <c r="H7" s="665"/>
      <c r="I7" s="227"/>
      <c r="X7" s="221"/>
      <c r="AG7" s="189"/>
    </row>
    <row r="8" spans="1:33" ht="13.5">
      <c r="A8" s="1775"/>
      <c r="B8" s="1760"/>
      <c r="C8" s="1776"/>
      <c r="D8" s="1762" t="s">
        <v>1399</v>
      </c>
      <c r="E8" s="1763"/>
      <c r="F8" s="1336">
        <f>主表!F16</f>
        <v>232</v>
      </c>
      <c r="G8" s="1337" t="str">
        <f>"按建安工程费的"&amp;TEXT(主表!G16,"0.0%")&amp;"计取"</f>
        <v>按建安工程费的7.0%计取</v>
      </c>
      <c r="H8" s="665"/>
      <c r="I8" s="227"/>
      <c r="X8" s="221"/>
      <c r="AG8" s="189"/>
    </row>
    <row r="9" spans="1:33" ht="13.5">
      <c r="A9" s="1775"/>
      <c r="B9" s="1760"/>
      <c r="C9" s="1776"/>
      <c r="D9" s="1762" t="s">
        <v>1400</v>
      </c>
      <c r="E9" s="1763"/>
      <c r="F9" s="1336">
        <f>主表!F18</f>
        <v>397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75"/>
      <c r="B10" s="1760"/>
      <c r="C10" s="1776"/>
      <c r="D10" s="1762" t="s">
        <v>1401</v>
      </c>
      <c r="E10" s="1763"/>
      <c r="F10" s="1336">
        <f>主表!F19</f>
        <v>397</v>
      </c>
      <c r="G10" s="1337" t="str">
        <f>"按建安工程费的"&amp;TEXT(主表!G19,"0.0%")&amp;"计取"</f>
        <v>按建安工程费的12.0%计取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 ca="1">主表!F8</f>
        <v>337</v>
      </c>
      <c r="C11" s="1338" t="str">
        <f>"按前期开发成本的"&amp;TEXT(主表!G8,"0.0%")&amp;"计取"</f>
        <v>按前期开发成本的2.0%计取</v>
      </c>
      <c r="D11" s="1766" t="s">
        <v>1382</v>
      </c>
      <c r="E11" s="1767"/>
      <c r="F11" s="1336">
        <f>主表!F20</f>
        <v>87</v>
      </c>
      <c r="G11" s="1337" t="str">
        <f>"按房屋建设成本的"&amp;主表!G20&amp;"计取"</f>
        <v>按房屋建设成本的0.02计取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1021</v>
      </c>
      <c r="C12" s="1339" t="str">
        <f ca="1">"前期开发期为"&amp;主表!B24&amp;"年，贷款利率为"&amp;TEXT(主表!G9,"0.00%")&amp;"，"&amp;主表!H9</f>
        <v>前期开发期为1年，贷款利率为6.00%，计息期为1年，单利计息</v>
      </c>
      <c r="D12" s="1766" t="s">
        <v>1384</v>
      </c>
      <c r="E12" s="1767"/>
      <c r="F12" s="1336">
        <f ca="1">主表!F21</f>
        <v>95</v>
      </c>
      <c r="G12" s="1337" t="str">
        <f ca="1">"房屋建设期为"&amp;主表!B23&amp;"年，贷款利率为"&amp;TEXT(主表!G21,"0.00%")&amp;"，"&amp;主表!H21</f>
        <v>房屋建设期为1年，贷款利率为4.35%，计息期为1年，复利计息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 ca="1">主表!F10</f>
        <v>7735</v>
      </c>
      <c r="C13" s="1339" t="str">
        <f>"按前期开发成本及其管理费用的"&amp;TEXT(主表!G10,"0%")&amp;"计取"</f>
        <v>按前期开发成本及其管理费用的45%计取</v>
      </c>
      <c r="D13" s="1766" t="s">
        <v>1385</v>
      </c>
      <c r="E13" s="1767"/>
      <c r="F13" s="1336">
        <f>主表!F22</f>
        <v>1990</v>
      </c>
      <c r="G13" s="1337" t="str">
        <f>"按房屋建设成本及其管理费用的"&amp;TEXT(主表!G22,"0%")&amp;"计取"</f>
        <v>按房屋建设成本及其管理费用的45%计取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25945</v>
      </c>
      <c r="C14" s="1339" t="s">
        <v>1387</v>
      </c>
      <c r="D14" s="1766" t="s">
        <v>1386</v>
      </c>
      <c r="E14" s="1767"/>
      <c r="F14" s="1336">
        <f ca="1">F5+F11+F12+F13</f>
        <v>6508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0">
        <f ca="1">主表!F24</f>
        <v>32453</v>
      </c>
      <c r="C15" s="1761"/>
      <c r="D15" s="1762" t="s">
        <v>1389</v>
      </c>
      <c r="E15" s="1763"/>
      <c r="F15" s="1763"/>
      <c r="G15" s="1764"/>
      <c r="H15" s="665"/>
      <c r="I15" s="227"/>
      <c r="X15" s="221"/>
      <c r="AG15" s="189"/>
    </row>
    <row r="16" spans="1:33" ht="27.75" thickBot="1">
      <c r="A16" s="1332" t="s">
        <v>1390</v>
      </c>
      <c r="B16" s="1760">
        <f ca="1">主表!F25</f>
        <v>341.9248</v>
      </c>
      <c r="C16" s="1761"/>
      <c r="D16" s="1762" t="s">
        <v>1391</v>
      </c>
      <c r="E16" s="1763"/>
      <c r="F16" s="1763"/>
      <c r="G16" s="1764"/>
      <c r="H16" s="1341" t="str">
        <f ca="1">NUMBERSTRING(INT(B16*10000),2)&amp;"元整"</f>
        <v>叁佰肆拾壹万玖仟贰佰肆拾捌元整</v>
      </c>
      <c r="I16" s="1342"/>
      <c r="X16" s="221"/>
      <c r="AG16" s="189"/>
    </row>
    <row r="17" spans="1:33" ht="13.5">
      <c r="A17" s="1332" t="s">
        <v>1392</v>
      </c>
      <c r="B17" s="1765">
        <f>主表!F33</f>
        <v>0.71</v>
      </c>
      <c r="C17" s="1761"/>
      <c r="D17" s="1762" t="s">
        <v>1393</v>
      </c>
      <c r="E17" s="1763"/>
      <c r="F17" s="1763"/>
      <c r="G17" s="1764"/>
      <c r="H17" s="665"/>
      <c r="I17" s="227"/>
      <c r="X17" s="221"/>
      <c r="AG17" s="189"/>
    </row>
    <row r="18" spans="1:33" ht="27.75" thickBot="1">
      <c r="A18" s="1332" t="s">
        <v>1394</v>
      </c>
      <c r="B18" s="1760">
        <f ca="1">主表!F35</f>
        <v>23042</v>
      </c>
      <c r="C18" s="1761"/>
      <c r="D18" s="1762" t="s">
        <v>1395</v>
      </c>
      <c r="E18" s="1763"/>
      <c r="F18" s="1763"/>
      <c r="G18" s="1764"/>
      <c r="H18" s="663"/>
      <c r="I18" s="227"/>
      <c r="X18" s="221"/>
      <c r="AG18" s="189"/>
    </row>
    <row r="19" spans="1:33" ht="27.75" thickBot="1">
      <c r="A19" s="1340" t="s">
        <v>1396</v>
      </c>
      <c r="B19" s="1755">
        <f ca="1">主表!F36</f>
        <v>242.76660000000001</v>
      </c>
      <c r="C19" s="1756"/>
      <c r="D19" s="1757" t="s">
        <v>1397</v>
      </c>
      <c r="E19" s="1758"/>
      <c r="F19" s="1758"/>
      <c r="G19" s="1759"/>
      <c r="H19" s="1341" t="str">
        <f ca="1">NUMBERSTRING(INT(B19*10000),2)&amp;"元整"</f>
        <v>贰佰肆拾贰万柒仟陆佰陆拾陆元整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portrait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16" zoomScale="90" zoomScaleNormal="90" workbookViewId="0">
      <selection activeCell="H28" sqref="H28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83" t="s">
        <v>1288</v>
      </c>
      <c r="E2" s="1784"/>
      <c r="F2" s="1784"/>
      <c r="G2" s="1784"/>
      <c r="H2" s="1785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43320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23</v>
      </c>
    </row>
    <row r="4" spans="1:18" ht="15.75" customHeight="1">
      <c r="A4" s="1200" t="s">
        <v>1546</v>
      </c>
      <c r="B4" s="518">
        <v>41933</v>
      </c>
      <c r="C4" s="1198"/>
      <c r="D4" s="1206" t="s">
        <v>1289</v>
      </c>
      <c r="E4" s="1207" t="s">
        <v>1585</v>
      </c>
      <c r="F4" s="1208">
        <f ca="1">F5+F8+F9+F10</f>
        <v>25945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 ca="1">IF(B4&lt;DATE(2002,12,10),F6,F6-F7)</f>
        <v>16852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v>17.45</v>
      </c>
      <c r="C6" s="1198"/>
      <c r="D6" s="1219" t="s">
        <v>1281</v>
      </c>
      <c r="E6" s="1215" t="s">
        <v>1234</v>
      </c>
      <c r="F6" s="1053">
        <f ca="1">IF(B4&lt;DATE(2002,12,10),'1993基准地价'!B3,IF(B4&gt;=DATE(2014,8,28),'2014基准地价'!B3,'2002基准地价'!B3))</f>
        <v>22470</v>
      </c>
      <c r="G6" s="1216"/>
      <c r="H6" s="1220" t="str">
        <f>"采用"&amp;IF(B4&lt;DATE(2002,12,10),"1993版",IF(B4&gt;=DATE(2014,8,28),"2014版","2002版"))&amp;"基准地价系数修正法计算"</f>
        <v>采用2014版基准地价系数修正法计算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105.36</v>
      </c>
      <c r="C7" s="1198"/>
      <c r="D7" s="1219" t="s">
        <v>1282</v>
      </c>
      <c r="E7" s="1215" t="s">
        <v>1235</v>
      </c>
      <c r="F7" s="1053">
        <f ca="1">IF(B4&lt;DATE(2002,12,10),'1993基准地价'!C14,IF(B4&gt;=DATE(2014,8,28),'2014基准地价'!C30,IF(H7="采用比较法计算",比较法!B3,IF(H7="扣毛地价",'2002基准地价'!B4,'2002基准地价'!B5))))</f>
        <v>5618</v>
      </c>
      <c r="G7" s="1224"/>
      <c r="H7" s="1386" t="s">
        <v>1780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6.04</v>
      </c>
      <c r="C8" s="1198"/>
      <c r="D8" s="1227">
        <v>2</v>
      </c>
      <c r="E8" s="1228" t="s">
        <v>1237</v>
      </c>
      <c r="F8" s="1229">
        <f ca="1">ROUND(F5*G8,0)</f>
        <v>337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2.5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1021</v>
      </c>
      <c r="G9" s="1231">
        <f ca="1">存贷款利率!G2</f>
        <v>0.06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 ca="1">ROUND((F5+F8)*G10,0)</f>
        <v>7735</v>
      </c>
      <c r="G10" s="521">
        <v>0.45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1769</v>
      </c>
      <c r="C11" s="1198"/>
      <c r="D11" s="1242" t="s">
        <v>1295</v>
      </c>
      <c r="E11" s="1243" t="s">
        <v>1587</v>
      </c>
      <c r="F11" s="1208">
        <f ca="1">F12+F20+F21+F22</f>
        <v>6508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1770</v>
      </c>
      <c r="C12" s="1198"/>
      <c r="D12" s="1227">
        <v>1</v>
      </c>
      <c r="E12" s="1228" t="s">
        <v>1588</v>
      </c>
      <c r="F12" s="1229">
        <f>F13+F16+F17</f>
        <v>4336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3310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59775</v>
      </c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48.88</v>
      </c>
      <c r="C15" s="1198"/>
      <c r="D15" s="1227" t="s">
        <v>1285</v>
      </c>
      <c r="E15" s="1228" t="s">
        <v>1245</v>
      </c>
      <c r="F15" s="522">
        <v>1000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232</v>
      </c>
      <c r="G16" s="520">
        <v>7.0000000000000007E-2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 ca="1">IF(B4&lt;DATE(2002,12,10),'1993基准地价'!C23,IF(B4&gt;=DATE(2014,8,28),'2014基准地价'!G20,'2002基准地价'!E10))</f>
        <v>6.9000000000000006E-2</v>
      </c>
      <c r="C17" s="1198"/>
      <c r="D17" s="1219" t="s">
        <v>1283</v>
      </c>
      <c r="E17" s="1228" t="s">
        <v>1249</v>
      </c>
      <c r="F17" s="1229">
        <f>F18+F19</f>
        <v>794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0.97099999999999997</v>
      </c>
      <c r="C18" s="1198"/>
      <c r="D18" s="1227" t="s">
        <v>1286</v>
      </c>
      <c r="E18" s="1228" t="s">
        <v>1296</v>
      </c>
      <c r="F18" s="1053">
        <f>ROUND(IF(B12="住宅/居住",F13*G18,0),0)</f>
        <v>397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397</v>
      </c>
      <c r="G19" s="520">
        <v>0.12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1771</v>
      </c>
      <c r="C20" s="1198"/>
      <c r="D20" s="1227">
        <v>2</v>
      </c>
      <c r="E20" s="1228" t="s">
        <v>1237</v>
      </c>
      <c r="F20" s="1229">
        <f>ROUND(F12*G20,0)</f>
        <v>87</v>
      </c>
      <c r="G20" s="664">
        <v>0.02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95</v>
      </c>
      <c r="G21" s="1424">
        <f ca="1">存贷款利率!G1</f>
        <v>4.3499999999999997E-2</v>
      </c>
      <c r="H21" s="1232" t="str">
        <f>"计息期为"&amp;B23&amp;"年，"&amp;"复利计息"</f>
        <v>计息期为1年，复利计息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1995</v>
      </c>
      <c r="C22" s="1198"/>
      <c r="D22" s="1236">
        <v>4</v>
      </c>
      <c r="E22" s="1237" t="s">
        <v>1590</v>
      </c>
      <c r="F22" s="1238">
        <f>ROUND((F12+F20)*G22,0)</f>
        <v>1990</v>
      </c>
      <c r="G22" s="521">
        <f>G10</f>
        <v>0.45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1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32453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341.9248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6" t="s">
        <v>1290</v>
      </c>
      <c r="E26" s="1787"/>
      <c r="F26" s="1787"/>
      <c r="G26" s="1787"/>
      <c r="H26" s="1788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0.62</v>
      </c>
      <c r="G28" s="523">
        <v>0.3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0.75</v>
      </c>
      <c r="G29" s="1266">
        <f>1-G28</f>
        <v>0.7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75</v>
      </c>
      <c r="G30" s="1266">
        <f>IF(ISNUMBER(FIND("砖木",B20)),O30,SUMPRODUCT((N30:N32=E30)*(O29:R29=B20)*(O30:R32)))</f>
        <v>0.2</v>
      </c>
      <c r="H30" s="1267"/>
      <c r="I30" s="1778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75</v>
      </c>
      <c r="G31" s="1266">
        <f>IF(ISNUMBER(FIND("砖木",B20)),O31,SUMPRODUCT((N30:N32=E31)*(O29:R29=B20)*(O30:R32)))</f>
        <v>0.5</v>
      </c>
      <c r="H31" s="1267"/>
      <c r="I31" s="1778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75</v>
      </c>
      <c r="G32" s="1266">
        <f>IF(ISNUMBER(FIND("砖木",B20)),O32,SUMPRODUCT((N30:N32=E32)*(O29:R29=B20)*(O30:R32)))</f>
        <v>0.3</v>
      </c>
      <c r="H32" s="1267"/>
      <c r="I32" s="1778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0.71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6" t="s">
        <v>1293</v>
      </c>
      <c r="E34" s="1787"/>
      <c r="F34" s="1787"/>
      <c r="G34" s="1787"/>
      <c r="H34" s="1788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23042</v>
      </c>
      <c r="G35" s="1779" t="s">
        <v>1267</v>
      </c>
      <c r="H35" s="1780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242.76660000000001</v>
      </c>
      <c r="G36" s="1781" t="s">
        <v>1269</v>
      </c>
      <c r="H36" s="1782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topLeftCell="A68" zoomScale="80" zoomScaleNormal="80" zoomScaleSheetLayoutView="89" workbookViewId="0">
      <selection activeCell="D76" sqref="D76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105.36</v>
      </c>
      <c r="E1" s="725" t="s">
        <v>1571</v>
      </c>
      <c r="F1" s="1352" t="s">
        <v>1772</v>
      </c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2367439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 t="str">
        <f>主表!B11</f>
        <v>Ⅲ—01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916</v>
      </c>
      <c r="B3" s="32">
        <f ca="1">IF(F1="地上",C29,SUMIF(B33:B39,G1,C33:C39))</f>
        <v>22470</v>
      </c>
      <c r="C3" s="686" t="s">
        <v>917</v>
      </c>
      <c r="D3" s="733" t="s">
        <v>256</v>
      </c>
      <c r="E3" s="737" t="s">
        <v>1773</v>
      </c>
      <c r="F3" s="1500" t="s">
        <v>1229</v>
      </c>
      <c r="G3" s="238">
        <f>IF(F3="容积率",主表!B8,主表!B9)</f>
        <v>6.04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19380</v>
      </c>
      <c r="N3" s="441">
        <f>SUMPRODUCT(('2014因素修正幅度'!B29:B48=I2)*('2014因素修正幅度'!C3:F3=E2)*('2014因素修正幅度'!C29:F48))</f>
        <v>6.9000000000000006E-2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6"/>
      <c r="B4" s="1797"/>
      <c r="C4" s="1797"/>
      <c r="D4" s="1798"/>
      <c r="E4" s="1798"/>
      <c r="F4" s="1798"/>
      <c r="G4" s="1798"/>
      <c r="H4" s="1798"/>
      <c r="I4" s="1798"/>
      <c r="J4" s="1799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25582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19380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800" t="str">
        <f>IF(E2="商业",IF(C8="不临58条商业街","",2),"")</f>
        <v/>
      </c>
      <c r="B7" s="845" t="s">
        <v>920</v>
      </c>
      <c r="C7" s="371">
        <f>IF(C8="不临58条商业街",1,ROUND(1+(1.6*E8+1.2*E9+0.8*E10+0.4*E11)*C9,4))</f>
        <v>1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25.5">
      <c r="A8" s="1801"/>
      <c r="B8" s="833" t="s">
        <v>922</v>
      </c>
      <c r="C8" s="963" t="s">
        <v>1774</v>
      </c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801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801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801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800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802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802"/>
      <c r="B14" s="866"/>
      <c r="C14" s="867" t="s">
        <v>25</v>
      </c>
      <c r="D14" s="814" t="s">
        <v>26</v>
      </c>
      <c r="E14" s="814" t="s">
        <v>26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803"/>
      <c r="B15" s="873" t="s">
        <v>1489</v>
      </c>
      <c r="C15" s="29">
        <f>IF(C14="有",1.1,1)</f>
        <v>1.1000000000000001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800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 t="s">
        <v>1775</v>
      </c>
      <c r="F16" s="877" t="s">
        <v>1776</v>
      </c>
      <c r="G16" s="801" t="s">
        <v>1777</v>
      </c>
      <c r="H16" s="801" t="s">
        <v>1777</v>
      </c>
      <c r="I16" s="801" t="s">
        <v>1777</v>
      </c>
      <c r="J16" s="878" t="s">
        <v>1777</v>
      </c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801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7.4999999999999997E-2</v>
      </c>
      <c r="N17" s="625">
        <f ca="1">ROUND($E$20*(1+N16),3)</f>
        <v>7.1999999999999995E-2</v>
      </c>
      <c r="O17" s="625">
        <f ca="1">ROUND($E$20*(1+O16),3)</f>
        <v>6.9000000000000006E-2</v>
      </c>
      <c r="P17" s="965">
        <f ca="1">ROUND($E$20*(1+P16),3)</f>
        <v>6.6000000000000003E-2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1.0330999999999999</v>
      </c>
      <c r="D19" s="1508" t="s">
        <v>265</v>
      </c>
      <c r="E19" s="1550">
        <v>41640</v>
      </c>
      <c r="F19" s="1632">
        <f>ROUND(SUMIF(地价!B3:F3,E2,地价!B24:F24),0)</f>
        <v>423</v>
      </c>
      <c r="G19" s="1508" t="s">
        <v>266</v>
      </c>
      <c r="H19" s="1349">
        <f>主表!B4</f>
        <v>41933</v>
      </c>
      <c r="I19" s="1633">
        <f>ROUND(SUMPRODUCT((地价!A9:A24=YEAR(H19)&amp;"-"&amp;ROUNDUP(MONTH(H19)/3,0))*(地价!B3:F3=E2)*(地价!B9:F24)),0)</f>
        <v>437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0.9708</v>
      </c>
      <c r="D20" s="1509" t="s">
        <v>939</v>
      </c>
      <c r="E20" s="1510">
        <f ca="1">INDIRECT("'存贷款利率'!e"&amp;存贷款利率!$K$4)/100</f>
        <v>0.06</v>
      </c>
      <c r="F20" s="1507" t="s">
        <v>940</v>
      </c>
      <c r="G20" s="1511">
        <f ca="1">SUMIF(M15:P15,E2,M17:P17)</f>
        <v>6.9000000000000006E-2</v>
      </c>
      <c r="H20" s="1512" t="s">
        <v>1653</v>
      </c>
      <c r="I20" s="1054">
        <f>IF(H20="剩余土地使用年限",主表!B15,主表!B16)</f>
        <v>48.88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0.83209999999999995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0.83209999999999995</v>
      </c>
      <c r="E22" s="1519">
        <f>ROUNDDOWN(G3,1)</f>
        <v>6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0.8327</v>
      </c>
      <c r="G22" s="1518">
        <f>ROUNDUP(G3,1)</f>
        <v>6.1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0.83109999999999995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1.0525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2367439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>
        <f ca="1">E30+SUM(I33:I39)</f>
        <v>0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22470</v>
      </c>
      <c r="D29" s="624">
        <f>主表!B7</f>
        <v>105.36</v>
      </c>
      <c r="E29" s="400">
        <f ca="1">ROUND(C29*D29,0)</f>
        <v>2367439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5618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5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6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6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7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6751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1688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6751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1688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5401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>
        <f ca="1">ROUND(IF(E2="工业",C39*$M$39,C39*$M$38),0)</f>
        <v>1350</v>
      </c>
      <c r="H39" s="29">
        <f t="shared" si="3"/>
        <v>0</v>
      </c>
      <c r="I39" s="29">
        <f t="shared" ca="1" si="2"/>
        <v>0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1.0525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 t="s">
        <v>1779</v>
      </c>
      <c r="D70" s="493">
        <f t="shared" ref="D70:D78" si="14">SUMIF($J$69:$N$69,C70,J70:N70)</f>
        <v>9.6600000000000002E-3</v>
      </c>
      <c r="E70" s="253">
        <f>ROUND(SUM(D70:D78),4)</f>
        <v>5.2499999999999998E-2</v>
      </c>
      <c r="F70" s="967">
        <f>IF(E2="住宅/居住",SUMIF(L1:L12,G2,N1:N12),"——")</f>
        <v>6.9000000000000006E-2</v>
      </c>
      <c r="G70" s="494">
        <v>4.8300000000000001E-3</v>
      </c>
      <c r="H70" s="497">
        <f t="shared" ref="H70:H78" si="15">IFERROR($F$70*I70/2,"——")</f>
        <v>4.830000000000001E-3</v>
      </c>
      <c r="I70" s="252">
        <v>0.14000000000000001</v>
      </c>
      <c r="J70" s="495">
        <f t="shared" ref="J70:J78" si="16">K70+$G70</f>
        <v>9.6600000000000002E-3</v>
      </c>
      <c r="K70" s="495">
        <f t="shared" ref="K70:K78" si="17">$L70+$G70</f>
        <v>4.8300000000000001E-3</v>
      </c>
      <c r="L70" s="495">
        <v>0</v>
      </c>
      <c r="M70" s="495">
        <f t="shared" ref="M70:N78" si="18">L70-$G70</f>
        <v>-4.8300000000000001E-3</v>
      </c>
      <c r="N70" s="495">
        <f t="shared" si="18"/>
        <v>-9.6600000000000002E-3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 t="s">
        <v>1779</v>
      </c>
      <c r="D71" s="493">
        <f t="shared" si="14"/>
        <v>2.07E-2</v>
      </c>
      <c r="E71" s="263"/>
      <c r="F71" s="968"/>
      <c r="G71" s="494">
        <v>1.035E-2</v>
      </c>
      <c r="H71" s="497">
        <f t="shared" si="15"/>
        <v>1.035E-2</v>
      </c>
      <c r="I71" s="252">
        <v>0.3</v>
      </c>
      <c r="J71" s="495">
        <f t="shared" si="16"/>
        <v>2.07E-2</v>
      </c>
      <c r="K71" s="495">
        <f t="shared" si="17"/>
        <v>1.035E-2</v>
      </c>
      <c r="L71" s="495">
        <v>0</v>
      </c>
      <c r="M71" s="495">
        <f t="shared" si="18"/>
        <v>-1.035E-2</v>
      </c>
      <c r="N71" s="495">
        <f t="shared" si="18"/>
        <v>-2.07E-2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 t="s">
        <v>1778</v>
      </c>
      <c r="D72" s="493">
        <f t="shared" si="14"/>
        <v>2.7599999999999999E-3</v>
      </c>
      <c r="E72" s="263"/>
      <c r="F72" s="968"/>
      <c r="G72" s="494">
        <v>2.7599999999999999E-3</v>
      </c>
      <c r="H72" s="497">
        <f t="shared" si="15"/>
        <v>2.7600000000000003E-3</v>
      </c>
      <c r="I72" s="252">
        <v>0.08</v>
      </c>
      <c r="J72" s="495">
        <f t="shared" si="16"/>
        <v>5.5199999999999997E-3</v>
      </c>
      <c r="K72" s="495">
        <f t="shared" si="17"/>
        <v>2.7599999999999999E-3</v>
      </c>
      <c r="L72" s="495">
        <v>0</v>
      </c>
      <c r="M72" s="495">
        <f t="shared" si="18"/>
        <v>-2.7599999999999999E-3</v>
      </c>
      <c r="N72" s="495">
        <f t="shared" si="18"/>
        <v>-5.5199999999999997E-3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 t="s">
        <v>15</v>
      </c>
      <c r="D73" s="493">
        <f t="shared" si="14"/>
        <v>0</v>
      </c>
      <c r="E73" s="263"/>
      <c r="F73" s="968"/>
      <c r="G73" s="494">
        <v>1.3799999999999999E-3</v>
      </c>
      <c r="H73" s="497">
        <f t="shared" si="15"/>
        <v>1.3800000000000002E-3</v>
      </c>
      <c r="I73" s="252">
        <v>0.04</v>
      </c>
      <c r="J73" s="495">
        <f t="shared" si="16"/>
        <v>2.7599999999999999E-3</v>
      </c>
      <c r="K73" s="495">
        <f t="shared" si="17"/>
        <v>1.3799999999999999E-3</v>
      </c>
      <c r="L73" s="495">
        <v>0</v>
      </c>
      <c r="M73" s="495">
        <f t="shared" si="18"/>
        <v>-1.3799999999999999E-3</v>
      </c>
      <c r="N73" s="495">
        <f t="shared" si="18"/>
        <v>-2.7599999999999999E-3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 t="s">
        <v>1778</v>
      </c>
      <c r="D74" s="493">
        <f t="shared" si="14"/>
        <v>2.7599999999999999E-3</v>
      </c>
      <c r="E74" s="263"/>
      <c r="F74" s="968"/>
      <c r="G74" s="494">
        <v>2.7599999999999999E-3</v>
      </c>
      <c r="H74" s="497">
        <f t="shared" si="15"/>
        <v>2.7600000000000003E-3</v>
      </c>
      <c r="I74" s="252">
        <v>0.08</v>
      </c>
      <c r="J74" s="495">
        <f t="shared" si="16"/>
        <v>5.5199999999999997E-3</v>
      </c>
      <c r="K74" s="495">
        <f t="shared" si="17"/>
        <v>2.7599999999999999E-3</v>
      </c>
      <c r="L74" s="495">
        <v>0</v>
      </c>
      <c r="M74" s="495">
        <f t="shared" si="18"/>
        <v>-2.7599999999999999E-3</v>
      </c>
      <c r="N74" s="495">
        <f t="shared" si="18"/>
        <v>-5.5199999999999997E-3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 t="s">
        <v>1779</v>
      </c>
      <c r="D75" s="493">
        <f t="shared" si="14"/>
        <v>8.2799999999999992E-3</v>
      </c>
      <c r="E75" s="263"/>
      <c r="F75" s="968"/>
      <c r="G75" s="494">
        <v>4.1399999999999996E-3</v>
      </c>
      <c r="H75" s="497">
        <f t="shared" si="15"/>
        <v>4.1400000000000005E-3</v>
      </c>
      <c r="I75" s="252">
        <v>0.12</v>
      </c>
      <c r="J75" s="495">
        <f t="shared" si="16"/>
        <v>8.2799999999999992E-3</v>
      </c>
      <c r="K75" s="495">
        <f t="shared" si="17"/>
        <v>4.1399999999999996E-3</v>
      </c>
      <c r="L75" s="495">
        <v>0</v>
      </c>
      <c r="M75" s="495">
        <f t="shared" si="18"/>
        <v>-4.1399999999999996E-3</v>
      </c>
      <c r="N75" s="495">
        <f t="shared" si="18"/>
        <v>-8.2799999999999992E-3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 t="s">
        <v>1778</v>
      </c>
      <c r="D76" s="493">
        <f t="shared" si="14"/>
        <v>1.73E-3</v>
      </c>
      <c r="E76" s="263"/>
      <c r="F76" s="968"/>
      <c r="G76" s="494">
        <v>1.73E-3</v>
      </c>
      <c r="H76" s="497">
        <f t="shared" si="15"/>
        <v>1.7250000000000002E-3</v>
      </c>
      <c r="I76" s="252">
        <v>0.05</v>
      </c>
      <c r="J76" s="495">
        <f t="shared" si="16"/>
        <v>3.46E-3</v>
      </c>
      <c r="K76" s="495">
        <f t="shared" si="17"/>
        <v>1.73E-3</v>
      </c>
      <c r="L76" s="495">
        <v>0</v>
      </c>
      <c r="M76" s="495">
        <f t="shared" si="18"/>
        <v>-1.73E-3</v>
      </c>
      <c r="N76" s="495">
        <f t="shared" si="18"/>
        <v>-3.46E-3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 t="s">
        <v>1778</v>
      </c>
      <c r="D77" s="493">
        <f t="shared" si="14"/>
        <v>5.1799999999999997E-3</v>
      </c>
      <c r="E77" s="263"/>
      <c r="F77" s="968"/>
      <c r="G77" s="494">
        <v>5.1799999999999997E-3</v>
      </c>
      <c r="H77" s="497">
        <f t="shared" si="15"/>
        <v>5.1749999999999999E-3</v>
      </c>
      <c r="I77" s="252">
        <v>0.15</v>
      </c>
      <c r="J77" s="495">
        <f t="shared" si="16"/>
        <v>1.0359999999999999E-2</v>
      </c>
      <c r="K77" s="495">
        <f t="shared" si="17"/>
        <v>5.1799999999999997E-3</v>
      </c>
      <c r="L77" s="495">
        <v>0</v>
      </c>
      <c r="M77" s="495">
        <f t="shared" si="18"/>
        <v>-5.1799999999999997E-3</v>
      </c>
      <c r="N77" s="495">
        <f t="shared" si="18"/>
        <v>-1.0359999999999999E-2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 t="s">
        <v>1778</v>
      </c>
      <c r="D78" s="493">
        <f t="shared" si="14"/>
        <v>1.3799999999999999E-3</v>
      </c>
      <c r="E78" s="264"/>
      <c r="F78" s="968"/>
      <c r="G78" s="494">
        <v>1.3799999999999999E-3</v>
      </c>
      <c r="H78" s="497">
        <f t="shared" si="15"/>
        <v>1.3800000000000002E-3</v>
      </c>
      <c r="I78" s="260">
        <v>0.04</v>
      </c>
      <c r="J78" s="495">
        <f t="shared" si="16"/>
        <v>2.7599999999999999E-3</v>
      </c>
      <c r="K78" s="495">
        <f t="shared" si="17"/>
        <v>1.3799999999999999E-3</v>
      </c>
      <c r="L78" s="495">
        <v>0</v>
      </c>
      <c r="M78" s="495">
        <f t="shared" si="18"/>
        <v>-1.3799999999999999E-3</v>
      </c>
      <c r="N78" s="495">
        <f t="shared" si="18"/>
        <v>-2.7599999999999999E-3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4" t="s">
        <v>1167</v>
      </c>
      <c r="B91" s="1804"/>
      <c r="C91" s="1804"/>
      <c r="D91" s="1804"/>
      <c r="E91" s="1804"/>
      <c r="F91" s="1804"/>
      <c r="G91" s="1804"/>
      <c r="H91" s="1804"/>
      <c r="I91" s="1804"/>
      <c r="J91" s="1804"/>
      <c r="K91" s="672"/>
      <c r="L91" s="672"/>
      <c r="M91" s="672"/>
      <c r="N91" s="672"/>
    </row>
    <row r="92" spans="1:37">
      <c r="A92" s="1790" t="s">
        <v>1168</v>
      </c>
      <c r="B92" s="1790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91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92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92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92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92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92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92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93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1" t="s">
        <v>1495</v>
      </c>
      <c r="B102" s="973" t="s">
        <v>1498</v>
      </c>
      <c r="C102" s="974">
        <f>$G$3</f>
        <v>6.04</v>
      </c>
      <c r="D102" s="974">
        <f t="shared" ref="D102:N102" si="25">$G$3</f>
        <v>6.04</v>
      </c>
      <c r="E102" s="974">
        <f t="shared" si="25"/>
        <v>6.04</v>
      </c>
      <c r="F102" s="974">
        <f t="shared" si="25"/>
        <v>6.04</v>
      </c>
      <c r="G102" s="974">
        <f t="shared" si="25"/>
        <v>6.04</v>
      </c>
      <c r="H102" s="974">
        <f t="shared" si="25"/>
        <v>6.04</v>
      </c>
      <c r="I102" s="974">
        <f t="shared" si="25"/>
        <v>6.04</v>
      </c>
      <c r="J102" s="974">
        <f t="shared" si="25"/>
        <v>6.04</v>
      </c>
      <c r="K102" s="974">
        <f t="shared" si="25"/>
        <v>6.04</v>
      </c>
      <c r="L102" s="974">
        <f t="shared" si="25"/>
        <v>6.04</v>
      </c>
      <c r="M102" s="974">
        <f t="shared" si="25"/>
        <v>6.04</v>
      </c>
      <c r="N102" s="974">
        <f t="shared" si="25"/>
        <v>6.04</v>
      </c>
    </row>
    <row r="103" spans="1:14" ht="12.75">
      <c r="A103" s="1792"/>
      <c r="B103" s="969">
        <v>1</v>
      </c>
      <c r="C103" s="970">
        <f>1.9362/C102</f>
        <v>0.32056291390728475</v>
      </c>
      <c r="D103" s="970">
        <f>1.9362/D102</f>
        <v>0.32056291390728475</v>
      </c>
      <c r="E103" s="970">
        <f>1.8629/E102</f>
        <v>0.30842715231788081</v>
      </c>
      <c r="F103" s="970">
        <f>1.8629/F102</f>
        <v>0.30842715231788081</v>
      </c>
      <c r="G103" s="970">
        <f>1.8629/G102</f>
        <v>0.30842715231788081</v>
      </c>
      <c r="H103" s="970">
        <f>1.8629/H102</f>
        <v>0.30842715231788081</v>
      </c>
      <c r="I103" s="970">
        <f>1.8629/I102</f>
        <v>0.30842715231788081</v>
      </c>
      <c r="J103" s="970">
        <f>1.942/J102</f>
        <v>0.32152317880794701</v>
      </c>
      <c r="K103" s="970">
        <f>1.942/K102</f>
        <v>0.32152317880794701</v>
      </c>
      <c r="L103" s="970">
        <f>1.942/L102</f>
        <v>0.32152317880794701</v>
      </c>
      <c r="M103" s="970">
        <f>1.942/M102</f>
        <v>0.32152317880794701</v>
      </c>
      <c r="N103" s="970">
        <f>1.942/N102</f>
        <v>0.32152317880794701</v>
      </c>
    </row>
    <row r="104" spans="1:14" ht="12.75">
      <c r="A104" s="1792"/>
      <c r="B104" s="969">
        <v>2</v>
      </c>
      <c r="C104" s="970">
        <f>1.4198/C102</f>
        <v>0.23506622516556291</v>
      </c>
      <c r="D104" s="970">
        <f>1.4198/D102</f>
        <v>0.23506622516556291</v>
      </c>
      <c r="E104" s="970">
        <f>1.3372/E102</f>
        <v>0.22139072847682117</v>
      </c>
      <c r="F104" s="970">
        <f>1.3372/F102</f>
        <v>0.22139072847682117</v>
      </c>
      <c r="G104" s="970">
        <f>1.3372/G102</f>
        <v>0.22139072847682117</v>
      </c>
      <c r="H104" s="970">
        <f>1.3372/H102</f>
        <v>0.22139072847682117</v>
      </c>
      <c r="I104" s="970">
        <f>1.3372/I102</f>
        <v>0.22139072847682117</v>
      </c>
      <c r="J104" s="970">
        <f>1.2799/J102</f>
        <v>0.21190397350993379</v>
      </c>
      <c r="K104" s="970">
        <f>1.2799/K102</f>
        <v>0.21190397350993379</v>
      </c>
      <c r="L104" s="970">
        <f>1.2799/L102</f>
        <v>0.21190397350993379</v>
      </c>
      <c r="M104" s="970">
        <f>1.2799/M102</f>
        <v>0.21190397350993379</v>
      </c>
      <c r="N104" s="970">
        <f>1.2799/N102</f>
        <v>0.21190397350993379</v>
      </c>
    </row>
    <row r="105" spans="1:14" ht="12.75">
      <c r="A105" s="1792"/>
      <c r="B105" s="969">
        <v>3</v>
      </c>
      <c r="C105" s="970">
        <f>1.1594/C102</f>
        <v>0.19195364238410595</v>
      </c>
      <c r="D105" s="970">
        <f>1.1594/D102</f>
        <v>0.19195364238410595</v>
      </c>
      <c r="E105" s="970">
        <f>1.0788/E102</f>
        <v>0.17860927152317879</v>
      </c>
      <c r="F105" s="970">
        <f>1.0788/F102</f>
        <v>0.17860927152317879</v>
      </c>
      <c r="G105" s="970">
        <f>1.0788/G102</f>
        <v>0.17860927152317879</v>
      </c>
      <c r="H105" s="970">
        <f>1.0788/H102</f>
        <v>0.17860927152317879</v>
      </c>
      <c r="I105" s="970">
        <f>1.0788/I102</f>
        <v>0.17860927152317879</v>
      </c>
      <c r="J105" s="970">
        <f>1.0072/J102</f>
        <v>0.16675496688741723</v>
      </c>
      <c r="K105" s="970">
        <f>1.0072/K102</f>
        <v>0.16675496688741723</v>
      </c>
      <c r="L105" s="970">
        <f>1.0072/L102</f>
        <v>0.16675496688741723</v>
      </c>
      <c r="M105" s="970">
        <f>1.0072/M102</f>
        <v>0.16675496688741723</v>
      </c>
      <c r="N105" s="970">
        <f>1.0072/N102</f>
        <v>0.16675496688741723</v>
      </c>
    </row>
    <row r="106" spans="1:14" ht="12.75">
      <c r="A106" s="1792"/>
      <c r="B106" s="969">
        <v>4</v>
      </c>
      <c r="C106" s="970">
        <f>0.9622/C102</f>
        <v>0.1593046357615894</v>
      </c>
      <c r="D106" s="970">
        <f>0.9622/D102</f>
        <v>0.1593046357615894</v>
      </c>
      <c r="E106" s="970">
        <f>0.8656/E102</f>
        <v>0.1433112582781457</v>
      </c>
      <c r="F106" s="970">
        <f>0.8656/F102</f>
        <v>0.1433112582781457</v>
      </c>
      <c r="G106" s="970">
        <f>0.8656/G102</f>
        <v>0.1433112582781457</v>
      </c>
      <c r="H106" s="970">
        <f>0.8656/H102</f>
        <v>0.1433112582781457</v>
      </c>
      <c r="I106" s="970">
        <f>0.8656/I102</f>
        <v>0.1433112582781457</v>
      </c>
      <c r="J106" s="970">
        <f>0.7525/J102</f>
        <v>0.12458609271523177</v>
      </c>
      <c r="K106" s="970">
        <f>0.7525/K102</f>
        <v>0.12458609271523177</v>
      </c>
      <c r="L106" s="970">
        <f>0.7525/L102</f>
        <v>0.12458609271523177</v>
      </c>
      <c r="M106" s="970">
        <f>0.7525/M102</f>
        <v>0.12458609271523177</v>
      </c>
      <c r="N106" s="970">
        <f>0.7525/N102</f>
        <v>0.12458609271523177</v>
      </c>
    </row>
    <row r="107" spans="1:14" ht="12.75">
      <c r="A107" s="1792"/>
      <c r="B107" s="969">
        <v>5</v>
      </c>
      <c r="C107" s="970">
        <f>0.8417/C102</f>
        <v>0.13935430463576159</v>
      </c>
      <c r="D107" s="970">
        <f>0.8417/D102</f>
        <v>0.13935430463576159</v>
      </c>
      <c r="E107" s="970">
        <f>0.7371/E102</f>
        <v>0.1220364238410596</v>
      </c>
      <c r="F107" s="970">
        <f>0.7371/F102</f>
        <v>0.1220364238410596</v>
      </c>
      <c r="G107" s="970">
        <f>0.7371/G102</f>
        <v>0.1220364238410596</v>
      </c>
      <c r="H107" s="970">
        <f>0.7371/H102</f>
        <v>0.1220364238410596</v>
      </c>
      <c r="I107" s="970">
        <f>0.7371/I102</f>
        <v>0.1220364238410596</v>
      </c>
      <c r="J107" s="970">
        <f>0.5659/J102</f>
        <v>9.3692052980132445E-2</v>
      </c>
      <c r="K107" s="970">
        <f>0.5659/K102</f>
        <v>9.3692052980132445E-2</v>
      </c>
      <c r="L107" s="970">
        <f>0.5659/L102</f>
        <v>9.3692052980132445E-2</v>
      </c>
      <c r="M107" s="970">
        <f>0.5659/M102</f>
        <v>9.3692052980132445E-2</v>
      </c>
      <c r="N107" s="970">
        <f>0.5659/N102</f>
        <v>9.3692052980132445E-2</v>
      </c>
    </row>
    <row r="108" spans="1:14" ht="12.75">
      <c r="A108" s="1792"/>
      <c r="B108" s="969">
        <v>6</v>
      </c>
      <c r="C108" s="970">
        <f>0.7608/C102</f>
        <v>0.12596026490066226</v>
      </c>
      <c r="D108" s="970">
        <f>0.7608/D102</f>
        <v>0.12596026490066226</v>
      </c>
      <c r="E108" s="970">
        <f>0.6482/E102</f>
        <v>0.10731788079470199</v>
      </c>
      <c r="F108" s="970">
        <f>0.6482/F102</f>
        <v>0.10731788079470199</v>
      </c>
      <c r="G108" s="970">
        <f>0.6482/G102</f>
        <v>0.10731788079470199</v>
      </c>
      <c r="H108" s="970">
        <f>0.6482/H102</f>
        <v>0.10731788079470199</v>
      </c>
      <c r="I108" s="970">
        <f>0.6482/I102</f>
        <v>0.10731788079470199</v>
      </c>
      <c r="J108" s="970">
        <f>0.4525/J102</f>
        <v>7.4917218543046366E-2</v>
      </c>
      <c r="K108" s="970">
        <f>0.4525/K102</f>
        <v>7.4917218543046366E-2</v>
      </c>
      <c r="L108" s="970">
        <f>0.4525/L102</f>
        <v>7.4917218543046366E-2</v>
      </c>
      <c r="M108" s="970">
        <f>0.4525/M102</f>
        <v>7.4917218543046366E-2</v>
      </c>
      <c r="N108" s="970">
        <f>0.4525/N102</f>
        <v>7.4917218543046366E-2</v>
      </c>
    </row>
    <row r="109" spans="1:14" ht="12.75">
      <c r="A109" s="1792"/>
      <c r="B109" s="1794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93"/>
      <c r="B110" s="1795"/>
      <c r="C110" s="972">
        <f>(-0.163*(C109^2)-0.59*C109+7617)*(10^(-4))/C102</f>
        <v>0.12609680463576159</v>
      </c>
      <c r="D110" s="972">
        <f>(-0.163*(D109^2)-0.59*D109+7617)*(10^(-4))/D102</f>
        <v>0.12609680463576159</v>
      </c>
      <c r="E110" s="972">
        <f>(-0.161*(E109^2)-7.509*E109+6533)*(10^(-4))/E102</f>
        <v>0.10803526490066226</v>
      </c>
      <c r="F110" s="972">
        <f>(-0.161*(F109^2)-7.509*F109+6533)*(10^(-4))/F102</f>
        <v>0.10803526490066226</v>
      </c>
      <c r="G110" s="972">
        <f>(-0.161*(G109^2)-7.509*G109+6533)*(10^(-4))/G102</f>
        <v>0.10803526490066226</v>
      </c>
      <c r="H110" s="972">
        <f>(-0.161*(H109^2)-7.509*H109+6533)*(10^(-4))/H102</f>
        <v>0.10803526490066226</v>
      </c>
      <c r="I110" s="972">
        <f>(-0.161*(I109^2)-7.509*I109+6533)*(10^(-4))/I102</f>
        <v>0.10803526490066226</v>
      </c>
      <c r="J110" s="972">
        <f>(-0.214*(J109^2)-21.991*J109+4665)*(10^(-4))/J102</f>
        <v>7.6867466887417218E-2</v>
      </c>
      <c r="K110" s="972">
        <f>(-0.214*(K109^2)-21.991*K109+4665)*(10^(-4))/K102</f>
        <v>7.6867466887417218E-2</v>
      </c>
      <c r="L110" s="972">
        <f>(-0.214*(L109^2)-21.991*L109+4665)*(10^(-4))/L102</f>
        <v>7.6867466887417218E-2</v>
      </c>
      <c r="M110" s="972">
        <f>(-0.214*(M109^2)-21.991*M109+4665)*(10^(-4))/M102</f>
        <v>7.6867466887417218E-2</v>
      </c>
      <c r="N110" s="972">
        <f>(-0.214*(N109^2)-21.991*N109+4665)*(10^(-4))/N102</f>
        <v>7.6867466887417218E-2</v>
      </c>
    </row>
    <row r="111" spans="1:14">
      <c r="A111" s="1789" t="s">
        <v>1183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6.04</v>
      </c>
      <c r="C114" s="955" t="s">
        <v>1482</v>
      </c>
      <c r="D114" s="351">
        <f>SUMPRODUCT((A116:A119=F114)*(B115:M115=H114)*B116:M119)</f>
        <v>0.82650000000000001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0.87670000000000003</v>
      </c>
      <c r="C116" s="355">
        <f>B116</f>
        <v>0.87670000000000003</v>
      </c>
      <c r="D116" s="355">
        <f>ROUND(0.8331-0.0109*B114,4)</f>
        <v>0.76729999999999998</v>
      </c>
      <c r="E116" s="355">
        <f>D116</f>
        <v>0.76729999999999998</v>
      </c>
      <c r="F116" s="355">
        <f>E116</f>
        <v>0.76729999999999998</v>
      </c>
      <c r="G116" s="355">
        <f>F116</f>
        <v>0.76729999999999998</v>
      </c>
      <c r="H116" s="355">
        <f>G116</f>
        <v>0.76729999999999998</v>
      </c>
      <c r="I116" s="355">
        <f>ROUND(0.689-0.0155*B114,4)</f>
        <v>0.59540000000000004</v>
      </c>
      <c r="J116" s="355">
        <f t="shared" ref="J116:M119" si="27">I116</f>
        <v>0.59540000000000004</v>
      </c>
      <c r="K116" s="355">
        <f t="shared" si="27"/>
        <v>0.59540000000000004</v>
      </c>
      <c r="L116" s="355">
        <f t="shared" si="27"/>
        <v>0.59540000000000004</v>
      </c>
      <c r="M116" s="356">
        <f t="shared" si="27"/>
        <v>0.59540000000000004</v>
      </c>
    </row>
    <row r="117" spans="1:13" ht="12.75">
      <c r="A117" s="817" t="s">
        <v>1317</v>
      </c>
      <c r="B117" s="355">
        <f>ROUND(0.949-0.012*B114,4)</f>
        <v>0.87649999999999995</v>
      </c>
      <c r="C117" s="355">
        <f>B117</f>
        <v>0.87649999999999995</v>
      </c>
      <c r="D117" s="355">
        <f>ROUND(0.8567-0.013*B114,4)</f>
        <v>0.7782</v>
      </c>
      <c r="E117" s="355">
        <f t="shared" ref="E117:H118" si="28">D117</f>
        <v>0.7782</v>
      </c>
      <c r="F117" s="355">
        <f t="shared" si="28"/>
        <v>0.7782</v>
      </c>
      <c r="G117" s="355">
        <f t="shared" si="28"/>
        <v>0.7782</v>
      </c>
      <c r="H117" s="355">
        <f t="shared" si="28"/>
        <v>0.7782</v>
      </c>
      <c r="I117" s="355">
        <f>ROUND(0.7694-0.014*B114,4)</f>
        <v>0.68479999999999996</v>
      </c>
      <c r="J117" s="355">
        <f t="shared" si="27"/>
        <v>0.68479999999999996</v>
      </c>
      <c r="K117" s="355">
        <f t="shared" si="27"/>
        <v>0.68479999999999996</v>
      </c>
      <c r="L117" s="355">
        <f t="shared" si="27"/>
        <v>0.68479999999999996</v>
      </c>
      <c r="M117" s="356">
        <f t="shared" si="27"/>
        <v>0.68479999999999996</v>
      </c>
    </row>
    <row r="118" spans="1:13" ht="12.75">
      <c r="A118" s="817" t="s">
        <v>1318</v>
      </c>
      <c r="B118" s="355">
        <f>ROUND(0.8808-0.006*B114,4)</f>
        <v>0.84460000000000002</v>
      </c>
      <c r="C118" s="355">
        <f>B118</f>
        <v>0.84460000000000002</v>
      </c>
      <c r="D118" s="355">
        <f>ROUND(0.8748-0.008*B114,4)</f>
        <v>0.82650000000000001</v>
      </c>
      <c r="E118" s="355">
        <f t="shared" si="28"/>
        <v>0.82650000000000001</v>
      </c>
      <c r="F118" s="355">
        <f t="shared" si="28"/>
        <v>0.82650000000000001</v>
      </c>
      <c r="G118" s="355">
        <f t="shared" si="28"/>
        <v>0.82650000000000001</v>
      </c>
      <c r="H118" s="355">
        <f t="shared" si="28"/>
        <v>0.82650000000000001</v>
      </c>
      <c r="I118" s="355">
        <f>ROUND(0.7412-0.0095*B114,4)</f>
        <v>0.68379999999999996</v>
      </c>
      <c r="J118" s="355">
        <f t="shared" si="27"/>
        <v>0.68379999999999996</v>
      </c>
      <c r="K118" s="355">
        <f t="shared" si="27"/>
        <v>0.68379999999999996</v>
      </c>
      <c r="L118" s="355">
        <f t="shared" si="27"/>
        <v>0.68379999999999996</v>
      </c>
      <c r="M118" s="356">
        <f t="shared" si="27"/>
        <v>0.68379999999999996</v>
      </c>
    </row>
    <row r="119" spans="1:13" ht="13.5" thickBot="1">
      <c r="A119" s="818" t="s">
        <v>229</v>
      </c>
      <c r="B119" s="357">
        <f>ROUND(0.7275-0.01*B114,4)</f>
        <v>0.66710000000000003</v>
      </c>
      <c r="C119" s="357">
        <f>B119</f>
        <v>0.66710000000000003</v>
      </c>
      <c r="D119" s="357">
        <f>ROUND(0.7043-0.012*B114,4)</f>
        <v>0.63180000000000003</v>
      </c>
      <c r="E119" s="357">
        <f>D119</f>
        <v>0.63180000000000003</v>
      </c>
      <c r="F119" s="357">
        <f>E119</f>
        <v>0.63180000000000003</v>
      </c>
      <c r="G119" s="357">
        <f>ROUND(0.6299-0.0122*B114,4)</f>
        <v>0.55620000000000003</v>
      </c>
      <c r="H119" s="357">
        <f>G119</f>
        <v>0.55620000000000003</v>
      </c>
      <c r="I119" s="357">
        <f>ROUND(0.5667-0.0136*B114,4)</f>
        <v>0.48459999999999998</v>
      </c>
      <c r="J119" s="357">
        <f t="shared" si="27"/>
        <v>0.48459999999999998</v>
      </c>
      <c r="K119" s="357">
        <f t="shared" si="27"/>
        <v>0.48459999999999998</v>
      </c>
      <c r="L119" s="357">
        <f t="shared" si="27"/>
        <v>0.48459999999999998</v>
      </c>
      <c r="M119" s="358">
        <f t="shared" si="27"/>
        <v>0.48459999999999998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990</v>
      </c>
      <c r="B1" s="1808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292</v>
      </c>
      <c r="B1" s="1808"/>
      <c r="C1" s="1808"/>
      <c r="D1" s="1808"/>
      <c r="E1" s="1808"/>
      <c r="F1" s="1808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9" t="s">
        <v>305</v>
      </c>
      <c r="B2" s="1809"/>
      <c r="C2" s="1809"/>
      <c r="D2" s="1809"/>
      <c r="E2" s="1809"/>
      <c r="F2" s="1809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0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1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19380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2018-08-12T08:46:22Z</cp:lastPrinted>
  <dcterms:created xsi:type="dcterms:W3CDTF">2015-07-13T07:17:23Z</dcterms:created>
  <dcterms:modified xsi:type="dcterms:W3CDTF">2018-08-12T08:52:24Z</dcterms:modified>
</cp:coreProperties>
</file>