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15"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比较法-公寓" sheetId="21" state="hidden" r:id="rId30"/>
    <sheet name="收益法-公寓"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商业土地案例" sheetId="74" r:id="rId41"/>
    <sheet name="住宅土地案例" sheetId="77" r:id="rId42"/>
    <sheet name="公寓案例" sheetId="75" state="hidden" r:id="rId43"/>
    <sheet name="政策" sheetId="76" r:id="rId44"/>
    <sheet name="商业现房案例" sheetId="79" r:id="rId45"/>
    <sheet name="住宅现房案例" sheetId="78" r:id="rId46"/>
    <sheet name="酒店案例" sheetId="80" r:id="rId47"/>
    <sheet name="最终结果" sheetId="8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29" hidden="1">'不动产比较法-公寓'!$A$1:$L$49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C108" i="9" l="1"/>
  <c r="E22" i="81" l="1"/>
  <c r="D22" i="81"/>
  <c r="K16" i="81"/>
  <c r="K15" i="81"/>
  <c r="K14" i="81"/>
  <c r="K13" i="81"/>
  <c r="E16" i="81"/>
  <c r="E15" i="81"/>
  <c r="E14" i="81"/>
  <c r="E13" i="81"/>
  <c r="E12" i="81"/>
  <c r="E11" i="81"/>
  <c r="E10" i="81"/>
  <c r="E9" i="81"/>
  <c r="E8" i="81"/>
  <c r="E7" i="81"/>
  <c r="E6" i="81"/>
  <c r="E5" i="81"/>
  <c r="E4" i="81"/>
  <c r="K12" i="81"/>
  <c r="K11" i="81"/>
  <c r="K10" i="81"/>
  <c r="K9" i="81"/>
  <c r="K8" i="81"/>
  <c r="K7" i="81"/>
  <c r="K6" i="81"/>
  <c r="K5" i="81"/>
  <c r="K17" i="81" s="1"/>
  <c r="D16" i="81"/>
  <c r="C16" i="81"/>
  <c r="D15" i="81"/>
  <c r="C15" i="81"/>
  <c r="D14" i="81"/>
  <c r="C14" i="81"/>
  <c r="D13" i="81"/>
  <c r="C13" i="81"/>
  <c r="D12" i="81"/>
  <c r="C12" i="81"/>
  <c r="D11" i="81"/>
  <c r="C11" i="81"/>
  <c r="D10" i="81"/>
  <c r="C10" i="81"/>
  <c r="D9" i="81"/>
  <c r="C9" i="81"/>
  <c r="D8" i="81"/>
  <c r="C8" i="81"/>
  <c r="D7" i="81"/>
  <c r="C7" i="81"/>
  <c r="D6" i="81"/>
  <c r="C6" i="81"/>
  <c r="D5" i="81"/>
  <c r="D17" i="81" s="1"/>
  <c r="C5" i="81"/>
  <c r="C17" i="81" s="1"/>
  <c r="K4" i="81"/>
  <c r="D4" i="81"/>
  <c r="C4" i="81"/>
  <c r="B30" i="9" l="1"/>
  <c r="D30" i="9"/>
  <c r="D27" i="9"/>
  <c r="B27" i="9"/>
  <c r="I40" i="39"/>
  <c r="G40" i="39"/>
  <c r="E40" i="39"/>
  <c r="I48" i="39"/>
  <c r="G48" i="39"/>
  <c r="E48" i="39"/>
  <c r="C12" i="39"/>
  <c r="I9" i="39"/>
  <c r="G9" i="39"/>
  <c r="E9" i="39"/>
  <c r="I7" i="39"/>
  <c r="G7" i="39"/>
  <c r="E7" i="39"/>
  <c r="R4" i="77" l="1"/>
  <c r="R5" i="77"/>
  <c r="R6" i="77"/>
  <c r="R7" i="77"/>
  <c r="R8" i="77"/>
  <c r="R9" i="77"/>
  <c r="R10" i="77"/>
  <c r="R11" i="77"/>
  <c r="R12" i="77"/>
  <c r="R13" i="77"/>
  <c r="R14" i="77"/>
  <c r="R15" i="77"/>
  <c r="R16" i="77"/>
  <c r="R17" i="77"/>
  <c r="R18" i="77"/>
  <c r="R19" i="77"/>
  <c r="R20" i="77"/>
  <c r="R21" i="77"/>
  <c r="R22" i="77"/>
  <c r="R23" i="77"/>
  <c r="R24" i="77"/>
  <c r="R25" i="77"/>
  <c r="R26" i="77"/>
  <c r="R27" i="77"/>
  <c r="R28" i="77"/>
  <c r="R29" i="77"/>
  <c r="R30" i="77"/>
  <c r="R31" i="77"/>
  <c r="R32" i="77"/>
  <c r="R33" i="77"/>
  <c r="R34" i="77"/>
  <c r="R35" i="77"/>
  <c r="R36" i="77"/>
  <c r="R37" i="77"/>
  <c r="R38" i="77"/>
  <c r="R39" i="77"/>
  <c r="R40" i="77"/>
  <c r="R41" i="77"/>
  <c r="R42" i="77"/>
  <c r="R43" i="77"/>
  <c r="R44" i="77"/>
  <c r="R45" i="77"/>
  <c r="R46" i="77"/>
  <c r="R47" i="77"/>
  <c r="R48" i="77"/>
  <c r="R49" i="77"/>
  <c r="R50" i="77"/>
  <c r="R51" i="77"/>
  <c r="R52" i="77"/>
  <c r="R53" i="77"/>
  <c r="R54" i="77"/>
  <c r="R55" i="77"/>
  <c r="R56" i="77"/>
  <c r="R57" i="77"/>
  <c r="R58" i="77"/>
  <c r="R59" i="77"/>
  <c r="R60" i="77"/>
  <c r="R61" i="77"/>
  <c r="R62" i="77"/>
  <c r="R63" i="77"/>
  <c r="R64" i="77"/>
  <c r="R65" i="77"/>
  <c r="R66" i="77"/>
  <c r="R67" i="77"/>
  <c r="R68" i="77"/>
  <c r="R69" i="77"/>
  <c r="R70" i="77"/>
  <c r="R71" i="77"/>
  <c r="R72" i="77"/>
  <c r="R73" i="77"/>
  <c r="R74" i="77"/>
  <c r="R75" i="77"/>
  <c r="R76" i="77"/>
  <c r="R77" i="77"/>
  <c r="R78" i="77"/>
  <c r="R79" i="77"/>
  <c r="R80" i="77"/>
  <c r="R81" i="77"/>
  <c r="R82" i="77"/>
  <c r="R83" i="77"/>
  <c r="R84" i="77"/>
  <c r="R85" i="77"/>
  <c r="R86" i="77"/>
  <c r="R87" i="77"/>
  <c r="R88" i="77"/>
  <c r="R89" i="77"/>
  <c r="R90" i="77"/>
  <c r="R91" i="77"/>
  <c r="R92" i="77"/>
  <c r="R93" i="77"/>
  <c r="R94" i="77"/>
  <c r="R95" i="77"/>
  <c r="R96" i="77"/>
  <c r="R97" i="77"/>
  <c r="R98" i="77"/>
  <c r="R99" i="77"/>
  <c r="R100" i="77"/>
  <c r="R101" i="77"/>
  <c r="R102" i="77"/>
  <c r="R3" i="77"/>
  <c r="R4" i="74"/>
  <c r="R5" i="74"/>
  <c r="R6" i="74"/>
  <c r="R7" i="74"/>
  <c r="R8" i="74"/>
  <c r="R9" i="74"/>
  <c r="R10" i="74"/>
  <c r="R11" i="74"/>
  <c r="R12" i="74"/>
  <c r="R13" i="74"/>
  <c r="R14" i="74"/>
  <c r="R15" i="74"/>
  <c r="R16" i="74"/>
  <c r="R17" i="74"/>
  <c r="R18" i="74"/>
  <c r="R19" i="74"/>
  <c r="R20" i="74"/>
  <c r="R21" i="74"/>
  <c r="R22" i="74"/>
  <c r="R23" i="74"/>
  <c r="R24" i="74"/>
  <c r="R25" i="74"/>
  <c r="R26" i="74"/>
  <c r="R27" i="74"/>
  <c r="R28" i="74"/>
  <c r="R29" i="74"/>
  <c r="R30" i="74"/>
  <c r="R31" i="74"/>
  <c r="R32" i="74"/>
  <c r="R33" i="74"/>
  <c r="R34" i="74"/>
  <c r="R35" i="74"/>
  <c r="R36" i="74"/>
  <c r="R37" i="74"/>
  <c r="R38" i="74"/>
  <c r="R39" i="74"/>
  <c r="R40" i="74"/>
  <c r="R41" i="74"/>
  <c r="R42" i="74"/>
  <c r="R43" i="74"/>
  <c r="R44" i="74"/>
  <c r="R45" i="74"/>
  <c r="R46" i="74"/>
  <c r="R47" i="74"/>
  <c r="R48" i="74"/>
  <c r="R49" i="74"/>
  <c r="R50" i="74"/>
  <c r="R51" i="74"/>
  <c r="R52" i="74"/>
  <c r="R53" i="74"/>
  <c r="R54" i="74"/>
  <c r="R55" i="74"/>
  <c r="R56" i="74"/>
  <c r="R57" i="74"/>
  <c r="R58" i="74"/>
  <c r="R59" i="74"/>
  <c r="R60" i="74"/>
  <c r="R61" i="74"/>
  <c r="R62" i="74"/>
  <c r="R63" i="74"/>
  <c r="R64" i="74"/>
  <c r="R65" i="74"/>
  <c r="R66" i="74"/>
  <c r="R67" i="74"/>
  <c r="R68" i="74"/>
  <c r="R69" i="74"/>
  <c r="R70" i="74"/>
  <c r="R71" i="74"/>
  <c r="R72" i="74"/>
  <c r="R73" i="74"/>
  <c r="R74" i="74"/>
  <c r="R75" i="74"/>
  <c r="R76" i="74"/>
  <c r="R77" i="74"/>
  <c r="R78" i="74"/>
  <c r="R79" i="74"/>
  <c r="R80" i="74"/>
  <c r="R81" i="74"/>
  <c r="R82" i="74"/>
  <c r="R83" i="74"/>
  <c r="R84" i="74"/>
  <c r="R85" i="74"/>
  <c r="R86" i="74"/>
  <c r="R87" i="74"/>
  <c r="R88" i="74"/>
  <c r="R89" i="74"/>
  <c r="R90" i="74"/>
  <c r="R91" i="74"/>
  <c r="R92" i="74"/>
  <c r="R93" i="74"/>
  <c r="R94" i="74"/>
  <c r="R95" i="74"/>
  <c r="R96" i="74"/>
  <c r="R97" i="74"/>
  <c r="R98" i="74"/>
  <c r="R99" i="74"/>
  <c r="R100" i="74"/>
  <c r="R101" i="74"/>
  <c r="R102" i="74"/>
  <c r="R3" i="74"/>
  <c r="F20" i="6" l="1"/>
  <c r="C20" i="6"/>
  <c r="C40" i="39" l="1"/>
  <c r="D3" i="4" l="1"/>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Q74" i="44"/>
  <c r="Q61" i="44"/>
  <c r="Q60" i="44"/>
  <c r="Q53" i="44"/>
  <c r="J51" i="44"/>
  <c r="J52" i="44" s="1"/>
  <c r="M48" i="44"/>
  <c r="A16" i="55"/>
  <c r="A15" i="55"/>
  <c r="B66" i="63" s="1"/>
  <c r="A10" i="55"/>
  <c r="B61" i="63" s="1"/>
  <c r="A9" i="55"/>
  <c r="B60" i="63" s="1"/>
  <c r="A8" i="55"/>
  <c r="A6" i="54"/>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s="1"/>
  <c r="E5" i="54"/>
  <c r="B32" i="63" s="1"/>
  <c r="R2" i="54"/>
  <c r="B24" i="63" s="1"/>
  <c r="B49" i="50"/>
  <c r="B5" i="63" s="1"/>
  <c r="B40" i="50"/>
  <c r="B3" i="63" s="1"/>
  <c r="B67" i="63"/>
  <c r="I19" i="46"/>
  <c r="Q14" i="59"/>
  <c r="P14" i="59"/>
  <c r="E14" i="59" s="1"/>
  <c r="O14" i="59"/>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T54" i="59" s="1"/>
  <c r="B54" i="59"/>
  <c r="N54" i="59"/>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X24" i="59" s="1"/>
  <c r="Q23" i="59"/>
  <c r="AB23" i="59" s="1"/>
  <c r="P23" i="59"/>
  <c r="O23" i="59"/>
  <c r="Y23" i="59" s="1"/>
  <c r="Z23" i="59" s="1"/>
  <c r="N23" i="59"/>
  <c r="D23" i="59"/>
  <c r="Q22" i="59"/>
  <c r="P22" i="59"/>
  <c r="AA22" i="59" s="1"/>
  <c r="O22" i="59"/>
  <c r="N22" i="59"/>
  <c r="X22" i="59" s="1"/>
  <c r="Q21" i="59"/>
  <c r="P21" i="59"/>
  <c r="AA21" i="59" s="1"/>
  <c r="O21" i="59"/>
  <c r="N21" i="59"/>
  <c r="X21" i="59" s="1"/>
  <c r="Q20" i="59"/>
  <c r="P20" i="59"/>
  <c r="O20" i="59"/>
  <c r="N20" i="59"/>
  <c r="X20" i="59" s="1"/>
  <c r="Q19" i="59"/>
  <c r="F20" i="59"/>
  <c r="F21"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1" i="59" s="1"/>
  <c r="P15" i="59"/>
  <c r="O15" i="59"/>
  <c r="Y14" i="59" s="1"/>
  <c r="Z14" i="59" s="1"/>
  <c r="N15" i="59"/>
  <c r="D15" i="59"/>
  <c r="X13" i="59"/>
  <c r="AA3" i="59"/>
  <c r="AA12" i="59"/>
  <c r="AA14" i="59"/>
  <c r="Y12" i="59"/>
  <c r="Z12" i="59" s="1"/>
  <c r="AB14" i="59"/>
  <c r="AB13" i="59"/>
  <c r="E16" i="59"/>
  <c r="E17" i="59" s="1"/>
  <c r="E18" i="59" s="1"/>
  <c r="U18" i="59" s="1"/>
  <c r="S54" i="59"/>
  <c r="AA25" i="59"/>
  <c r="F22" i="59"/>
  <c r="V22" i="59" s="1"/>
  <c r="F30" i="59"/>
  <c r="V30" i="59" s="1"/>
  <c r="F41" i="59"/>
  <c r="F42" i="59" s="1"/>
  <c r="V42" i="59" s="1"/>
  <c r="F45" i="59"/>
  <c r="F46" i="59" s="1"/>
  <c r="V46" i="59" s="1"/>
  <c r="D48" i="59"/>
  <c r="N53" i="59"/>
  <c r="B52" i="59"/>
  <c r="O54" i="59"/>
  <c r="C53" i="59"/>
  <c r="U54" i="59"/>
  <c r="C57" i="59"/>
  <c r="C56" i="59" s="1"/>
  <c r="D56" i="59" s="1"/>
  <c r="E57" i="59"/>
  <c r="E56" i="59"/>
  <c r="D58" i="59"/>
  <c r="C61" i="59"/>
  <c r="E61" i="59"/>
  <c r="E60" i="59"/>
  <c r="D62" i="59"/>
  <c r="C65" i="59"/>
  <c r="E65" i="59"/>
  <c r="E64" i="59"/>
  <c r="D66" i="59"/>
  <c r="C69" i="59"/>
  <c r="C68" i="59" s="1"/>
  <c r="D68" i="59" s="1"/>
  <c r="C73" i="59"/>
  <c r="U16" i="4"/>
  <c r="S16" i="4"/>
  <c r="Q16" i="4"/>
  <c r="O16" i="4"/>
  <c r="M16" i="4"/>
  <c r="K16" i="4"/>
  <c r="D73" i="59"/>
  <c r="C72" i="59"/>
  <c r="D72" i="59"/>
  <c r="D57" i="59"/>
  <c r="N51" i="59"/>
  <c r="N52" i="59"/>
  <c r="C50" i="59"/>
  <c r="D50" i="59" s="1"/>
  <c r="T50"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45" i="21"/>
  <c r="J142" i="21"/>
  <c r="J140" i="21"/>
  <c r="K139" i="21"/>
  <c r="M87" i="21"/>
  <c r="L87" i="21"/>
  <c r="K87" i="21"/>
  <c r="J87" i="21"/>
  <c r="I87" i="21"/>
  <c r="H87" i="21"/>
  <c r="G87" i="21"/>
  <c r="F87" i="21"/>
  <c r="E87" i="21"/>
  <c r="D87" i="21"/>
  <c r="G2" i="46"/>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J26" i="21"/>
  <c r="W26" i="21" s="1"/>
  <c r="F26" i="21"/>
  <c r="AA26" i="21" s="1"/>
  <c r="AB41" i="21"/>
  <c r="AA41" i="21"/>
  <c r="W41" i="21"/>
  <c r="S10" i="39"/>
  <c r="E103" i="37"/>
  <c r="F103" i="37" s="1"/>
  <c r="F39" i="37"/>
  <c r="S39" i="37" s="1"/>
  <c r="W39" i="37"/>
  <c r="F29" i="36"/>
  <c r="AA29" i="36" s="1"/>
  <c r="F16" i="36"/>
  <c r="AA16" i="36" s="1"/>
  <c r="W22" i="36"/>
  <c r="U26" i="36"/>
  <c r="AC31" i="36"/>
  <c r="J33" i="36"/>
  <c r="W33" i="36" s="1"/>
  <c r="AC27" i="35"/>
  <c r="U31" i="35"/>
  <c r="S34" i="35"/>
  <c r="W24" i="35"/>
  <c r="W31" i="35"/>
  <c r="F36" i="34"/>
  <c r="S36" i="34" s="1"/>
  <c r="W9" i="34"/>
  <c r="S34" i="34"/>
  <c r="W39" i="34"/>
  <c r="H39" i="33"/>
  <c r="AB39" i="33" s="1"/>
  <c r="F26" i="33"/>
  <c r="AA26" i="33" s="1"/>
  <c r="W38" i="33"/>
  <c r="S40" i="33"/>
  <c r="S33" i="33"/>
  <c r="U38" i="33"/>
  <c r="W8" i="21"/>
  <c r="H39" i="37"/>
  <c r="AB39" i="37"/>
  <c r="AB27" i="35"/>
  <c r="S10" i="40"/>
  <c r="W10" i="40"/>
  <c r="S11" i="40"/>
  <c r="U11" i="40"/>
  <c r="S36" i="40"/>
  <c r="U36" i="40"/>
  <c r="S40" i="39"/>
  <c r="S36" i="39"/>
  <c r="U36" i="39"/>
  <c r="S42" i="39"/>
  <c r="H32" i="33"/>
  <c r="AB32" i="33" s="1"/>
  <c r="F100" i="40"/>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C14" i="21"/>
  <c r="U36" i="37"/>
  <c r="AC13" i="36"/>
  <c r="AB45"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BL179" i="3"/>
  <c r="G180" i="3"/>
  <c r="AZ27" i="3"/>
  <c r="AZ39"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9" i="3"/>
  <c r="AZ233" i="3"/>
  <c r="AZ245" i="3"/>
  <c r="AZ309" i="3"/>
  <c r="AZ33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274" i="3"/>
  <c r="AZ278" i="3"/>
  <c r="AZ290" i="3"/>
  <c r="AZ303" i="3"/>
  <c r="AZ319" i="3"/>
  <c r="AZ347" i="3"/>
  <c r="AZ351" i="3"/>
  <c r="AZ361" i="3"/>
  <c r="AZ369" i="3"/>
  <c r="AZ385" i="3"/>
  <c r="AZ390" i="3"/>
  <c r="AZ398" i="3"/>
  <c r="AZ410" i="3"/>
  <c r="AZ422" i="3"/>
  <c r="AZ430" i="3"/>
  <c r="AZ434" i="3"/>
  <c r="AZ438" i="3"/>
  <c r="AZ450" i="3"/>
  <c r="AZ459" i="3"/>
  <c r="AZ463" i="3"/>
  <c r="AZ475" i="3"/>
  <c r="AZ479" i="3"/>
  <c r="H7" i="48"/>
  <c r="H113" i="46"/>
  <c r="F33"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J32" i="21"/>
  <c r="AC32" i="21" s="1"/>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07" i="3"/>
  <c r="AZ439" i="3"/>
  <c r="AZ454" i="3"/>
  <c r="B41" i="1"/>
  <c r="F34" i="44" s="1"/>
  <c r="J42" i="40"/>
  <c r="AC42" i="40" s="1"/>
  <c r="J40" i="40"/>
  <c r="AC40" i="40" s="1"/>
  <c r="J34" i="40"/>
  <c r="AC34" i="40" s="1"/>
  <c r="H16" i="40"/>
  <c r="AB16" i="40" s="1"/>
  <c r="H14" i="40"/>
  <c r="U14" i="40" s="1"/>
  <c r="F32" i="40"/>
  <c r="AA32" i="40" s="1"/>
  <c r="AZ428" i="3"/>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121" i="3"/>
  <c r="AZ137" i="3"/>
  <c r="AZ152" i="3"/>
  <c r="M7" i="46"/>
  <c r="M11" i="46"/>
  <c r="N3" i="46"/>
  <c r="N6" i="46"/>
  <c r="N10" i="46"/>
  <c r="F69" i="46" s="1"/>
  <c r="H71" i="46" s="1"/>
  <c r="AZ164" i="3"/>
  <c r="AZ180" i="3"/>
  <c r="AZ32" i="3"/>
  <c r="AZ48" i="3"/>
  <c r="AZ56" i="3"/>
  <c r="AZ71" i="3"/>
  <c r="AZ91" i="3"/>
  <c r="AZ107" i="3"/>
  <c r="AZ112" i="3"/>
  <c r="J13" i="40"/>
  <c r="W13" i="40" s="1"/>
  <c r="AB14" i="40"/>
  <c r="F72" i="9"/>
  <c r="AB32" i="40"/>
  <c r="S47" i="39"/>
  <c r="U37" i="34"/>
  <c r="W41" i="40"/>
  <c r="J23" i="40"/>
  <c r="AC23" i="40" s="1"/>
  <c r="F23" i="40"/>
  <c r="S23" i="40" s="1"/>
  <c r="AC15" i="40"/>
  <c r="AB16" i="39"/>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A29" i="35"/>
  <c r="J29" i="39"/>
  <c r="AC29" i="39" s="1"/>
  <c r="AB21" i="39"/>
  <c r="AB33" i="36"/>
  <c r="AA14" i="35"/>
  <c r="S14" i="35"/>
  <c r="G99" i="37"/>
  <c r="H99" i="37" s="1"/>
  <c r="I99" i="37" s="1"/>
  <c r="J99" i="37" s="1"/>
  <c r="K99" i="37" s="1"/>
  <c r="L99" i="37" s="1"/>
  <c r="M99" i="37" s="1"/>
  <c r="F33" i="37"/>
  <c r="S33" i="37" s="1"/>
  <c r="AB19" i="39"/>
  <c r="U46" i="34"/>
  <c r="AC30" i="34"/>
  <c r="AA14" i="34"/>
  <c r="W12" i="34"/>
  <c r="U29" i="33"/>
  <c r="AC13" i="33"/>
  <c r="U17" i="34"/>
  <c r="W32" i="33"/>
  <c r="H15" i="33"/>
  <c r="U15" i="33" s="1"/>
  <c r="AA11" i="33"/>
  <c r="AA40" i="21"/>
  <c r="U16" i="40"/>
  <c r="AB34" i="40"/>
  <c r="AB42" i="40"/>
  <c r="AC16" i="40"/>
  <c r="H25" i="40"/>
  <c r="AB25" i="40" s="1"/>
  <c r="F94" i="40"/>
  <c r="G94" i="40" s="1"/>
  <c r="W15" i="39"/>
  <c r="J37" i="34"/>
  <c r="AC37" i="34" s="1"/>
  <c r="J36" i="33"/>
  <c r="W36" i="33" s="1"/>
  <c r="S41" i="40"/>
  <c r="S16" i="39"/>
  <c r="S15" i="34"/>
  <c r="AA15" i="34"/>
  <c r="AA41" i="33"/>
  <c r="F106" i="33"/>
  <c r="G106" i="33" s="1"/>
  <c r="H106" i="33" s="1"/>
  <c r="I106" i="33" s="1"/>
  <c r="J106" i="33" s="1"/>
  <c r="K106" i="33" s="1"/>
  <c r="L106" i="33" s="1"/>
  <c r="M106" i="33" s="1"/>
  <c r="J34" i="33"/>
  <c r="AC34" i="33" s="1"/>
  <c r="U30" i="40"/>
  <c r="AA37" i="39"/>
  <c r="W29" i="35"/>
  <c r="AA39" i="39"/>
  <c r="AA33" i="39"/>
  <c r="S33" i="39"/>
  <c r="U11" i="36"/>
  <c r="W14" i="35"/>
  <c r="F27" i="34"/>
  <c r="S27" i="34" s="1"/>
  <c r="AA19" i="39"/>
  <c r="G96" i="37"/>
  <c r="H96" i="37"/>
  <c r="I96" i="37" s="1"/>
  <c r="J96" i="37" s="1"/>
  <c r="K96" i="37" s="1"/>
  <c r="L96" i="37" s="1"/>
  <c r="M96" i="37" s="1"/>
  <c r="F32" i="37"/>
  <c r="S32" i="37" s="1"/>
  <c r="U11" i="35"/>
  <c r="S46" i="34"/>
  <c r="U14" i="34"/>
  <c r="U12"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AB20" i="35"/>
  <c r="W23" i="40"/>
  <c r="AP11" i="1"/>
  <c r="B11" i="1"/>
  <c r="E11" i="1" s="1"/>
  <c r="K11" i="1"/>
  <c r="M11" i="1" s="1"/>
  <c r="B9" i="1"/>
  <c r="E9" i="1" s="1"/>
  <c r="K9" i="1"/>
  <c r="M9" i="1" s="1"/>
  <c r="B7" i="1"/>
  <c r="E7" i="1" s="1"/>
  <c r="K7" i="1"/>
  <c r="M7" i="1" s="1"/>
  <c r="C20" i="43"/>
  <c r="F6" i="1"/>
  <c r="AP6" i="1" s="1"/>
  <c r="G11" i="1"/>
  <c r="M22" i="44"/>
  <c r="F70" i="9"/>
  <c r="M20" i="44"/>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U25"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17" i="39"/>
  <c r="AB15" i="39"/>
  <c r="U11" i="39"/>
  <c r="AB38" i="39"/>
  <c r="U31" i="39"/>
  <c r="AB31" i="39"/>
  <c r="S38" i="39"/>
  <c r="S22" i="31"/>
  <c r="M20" i="15"/>
  <c r="D96" i="9"/>
  <c r="F28" i="15"/>
  <c r="M18" i="15"/>
  <c r="BA16" i="3"/>
  <c r="BA17" i="3"/>
  <c r="AZ17" i="3"/>
  <c r="F3" i="35"/>
  <c r="K1" i="43"/>
  <c r="K1" i="12"/>
  <c r="G1" i="44"/>
  <c r="I4" i="6"/>
  <c r="AZ15" i="3"/>
  <c r="BK5" i="3"/>
  <c r="BO5" i="3"/>
  <c r="BP5" i="3"/>
  <c r="BN5" i="3"/>
  <c r="BL18" i="3"/>
  <c r="AZ18" i="3" s="1"/>
  <c r="BC5" i="3"/>
  <c r="E8" i="6" s="1"/>
  <c r="E53" i="40"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46" i="50"/>
  <c r="B4" i="63" s="1"/>
  <c r="C59" i="34"/>
  <c r="C52" i="37"/>
  <c r="D52" i="37" s="1"/>
  <c r="D65" i="40"/>
  <c r="E65" i="40" s="1"/>
  <c r="E67" i="40" s="1"/>
  <c r="C72" i="39"/>
  <c r="O19" i="46"/>
  <c r="H86" i="46"/>
  <c r="H82" i="46"/>
  <c r="H10" i="48"/>
  <c r="H87" i="46"/>
  <c r="H85" i="46"/>
  <c r="H83" i="46"/>
  <c r="K10" i="1"/>
  <c r="M10" i="1" s="1"/>
  <c r="O10" i="1" s="1"/>
  <c r="P10" i="1" s="1"/>
  <c r="S11" i="1"/>
  <c r="S13" i="1"/>
  <c r="B6" i="1"/>
  <c r="E6" i="1" s="1"/>
  <c r="B10" i="1"/>
  <c r="E10" i="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W31" i="21"/>
  <c r="W29" i="21"/>
  <c r="G96" i="40"/>
  <c r="J27" i="40"/>
  <c r="AC27" i="40" s="1"/>
  <c r="W37" i="40"/>
  <c r="W30" i="40"/>
  <c r="S34" i="40"/>
  <c r="U17" i="40"/>
  <c r="U38" i="40"/>
  <c r="S40" i="40"/>
  <c r="S42" i="40"/>
  <c r="G105" i="39"/>
  <c r="J31" i="39"/>
  <c r="AC31" i="39" s="1"/>
  <c r="S45" i="39"/>
  <c r="AB43" i="39"/>
  <c r="AB33" i="39"/>
  <c r="AC46" i="39"/>
  <c r="W42" i="39"/>
  <c r="W36" i="39"/>
  <c r="AC37" i="39"/>
  <c r="W16" i="39"/>
  <c r="S15" i="39"/>
  <c r="W45" i="39"/>
  <c r="AA44" i="39"/>
  <c r="AA46" i="39"/>
  <c r="W10" i="39"/>
  <c r="W11" i="39"/>
  <c r="U42" i="39"/>
  <c r="W40" i="39"/>
  <c r="S32" i="40"/>
  <c r="C27" i="39"/>
  <c r="C17" i="40"/>
  <c r="C19" i="40"/>
  <c r="C17" i="39"/>
  <c r="C19" i="39"/>
  <c r="C21" i="39"/>
  <c r="C23" i="40"/>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E5" i="6"/>
  <c r="D21" i="12" s="1"/>
  <c r="C21" i="12" s="1"/>
  <c r="AT6" i="3"/>
  <c r="AZ13" i="3"/>
  <c r="G29" i="6"/>
  <c r="AZ16" i="3"/>
  <c r="A9" i="64"/>
  <c r="A9" i="51"/>
  <c r="B9" i="63" s="1"/>
  <c r="D72" i="39"/>
  <c r="G66" i="36"/>
  <c r="J18" i="36"/>
  <c r="AE8" i="1"/>
  <c r="AE6" i="1"/>
  <c r="W18" i="36"/>
  <c r="AC18" i="36"/>
  <c r="AG6" i="1"/>
  <c r="L20" i="6"/>
  <c r="F65" i="40"/>
  <c r="F67" i="40" s="1"/>
  <c r="F70" i="39"/>
  <c r="F72" i="39" s="1"/>
  <c r="S9" i="1"/>
  <c r="G70" i="39"/>
  <c r="H70" i="39" s="1"/>
  <c r="C45" i="9"/>
  <c r="H14" i="66"/>
  <c r="B7" i="66" s="1"/>
  <c r="O40" i="9"/>
  <c r="K31" i="9" s="1"/>
  <c r="K32" i="9" s="1"/>
  <c r="N76" i="9"/>
  <c r="E14" i="67"/>
  <c r="F38" i="44"/>
  <c r="M11" i="44"/>
  <c r="B10" i="67"/>
  <c r="N7" i="65"/>
  <c r="N4" i="65"/>
  <c r="F14" i="67"/>
  <c r="M8" i="44"/>
  <c r="F9" i="44"/>
  <c r="F11" i="44"/>
  <c r="F18" i="44"/>
  <c r="E11" i="67"/>
  <c r="E12" i="67"/>
  <c r="E10" i="67"/>
  <c r="M29" i="44"/>
  <c r="L48" i="44"/>
  <c r="F13" i="67"/>
  <c r="L47" i="15"/>
  <c r="F9" i="67"/>
  <c r="M31" i="44"/>
  <c r="B14" i="67"/>
  <c r="F10" i="44"/>
  <c r="F40" i="44"/>
  <c r="F8" i="44"/>
  <c r="N3" i="65"/>
  <c r="E13" i="67"/>
  <c r="F13" i="15"/>
  <c r="M29" i="15"/>
  <c r="F6" i="15"/>
  <c r="M26" i="44"/>
  <c r="B12" i="67"/>
  <c r="F10" i="67"/>
  <c r="M10" i="44"/>
  <c r="F15" i="44"/>
  <c r="B13" i="67"/>
  <c r="F39" i="44"/>
  <c r="M28" i="44"/>
  <c r="B8" i="67"/>
  <c r="F43" i="44"/>
  <c r="F9" i="15"/>
  <c r="F28" i="44"/>
  <c r="F12" i="67"/>
  <c r="M9" i="15"/>
  <c r="M30" i="44"/>
  <c r="M25" i="44"/>
  <c r="F11" i="67"/>
  <c r="E9" i="67"/>
  <c r="J17" i="44"/>
  <c r="B11" i="67"/>
  <c r="M24" i="44"/>
  <c r="F8" i="67"/>
  <c r="L49" i="44"/>
  <c r="N5" i="65"/>
  <c r="E8" i="67"/>
  <c r="N6" i="65"/>
  <c r="F45" i="44"/>
  <c r="B9" i="67"/>
  <c r="U42" i="21" l="1"/>
  <c r="U27" i="39"/>
  <c r="AA32" i="21"/>
  <c r="AC27" i="21"/>
  <c r="U27" i="21"/>
  <c r="W25" i="39"/>
  <c r="U34" i="39"/>
  <c r="B48" i="46"/>
  <c r="C23" i="39"/>
  <c r="U40" i="39"/>
  <c r="G7" i="1"/>
  <c r="G8" i="1"/>
  <c r="N16" i="4"/>
  <c r="G97" i="39"/>
  <c r="J23" i="39"/>
  <c r="AC23" i="39" s="1"/>
  <c r="F23" i="39"/>
  <c r="AA23" i="39" s="1"/>
  <c r="H23" i="39"/>
  <c r="AB23" i="39" s="1"/>
  <c r="G3" i="46"/>
  <c r="C13" i="39"/>
  <c r="C11" i="21"/>
  <c r="W37" i="34"/>
  <c r="AA27" i="34"/>
  <c r="U22" i="35"/>
  <c r="AB13" i="33"/>
  <c r="AC14" i="34"/>
  <c r="U32" i="34"/>
  <c r="S43" i="39"/>
  <c r="W39" i="39"/>
  <c r="AB23" i="40"/>
  <c r="W34" i="40"/>
  <c r="AA11" i="34"/>
  <c r="AA11" i="36"/>
  <c r="AB17" i="39"/>
  <c r="AB37" i="39"/>
  <c r="AB38" i="34"/>
  <c r="U41" i="40"/>
  <c r="W35" i="40"/>
  <c r="W40" i="40"/>
  <c r="AZ490" i="3"/>
  <c r="AZ504" i="3"/>
  <c r="AZ517" i="3"/>
  <c r="AZ537" i="3"/>
  <c r="AZ539" i="3"/>
  <c r="AZ548" i="3"/>
  <c r="AZ568" i="3"/>
  <c r="AB15" i="37"/>
  <c r="AZ370" i="3"/>
  <c r="AZ356" i="3"/>
  <c r="AZ345" i="3"/>
  <c r="AZ340" i="3"/>
  <c r="AZ329" i="3"/>
  <c r="AZ324" i="3"/>
  <c r="AZ305" i="3"/>
  <c r="AZ381" i="3"/>
  <c r="AZ359" i="3"/>
  <c r="AZ358" i="3"/>
  <c r="AZ355" i="3"/>
  <c r="AZ307" i="3"/>
  <c r="U12" i="37"/>
  <c r="AC23" i="37"/>
  <c r="AZ500" i="3"/>
  <c r="AZ510" i="3"/>
  <c r="AZ552" i="3"/>
  <c r="AZ492" i="3"/>
  <c r="AZ544" i="3"/>
  <c r="AZ493" i="3"/>
  <c r="AB31" i="33"/>
  <c r="S46" i="33"/>
  <c r="S46" i="21"/>
  <c r="AB28" i="36"/>
  <c r="S22" i="35"/>
  <c r="AA8" i="21"/>
  <c r="S8" i="21"/>
  <c r="AB33" i="33"/>
  <c r="U33" i="33"/>
  <c r="H9" i="35"/>
  <c r="J9" i="35"/>
  <c r="F9" i="35"/>
  <c r="AB34" i="35"/>
  <c r="U34" i="35"/>
  <c r="H36" i="35"/>
  <c r="J36" i="35"/>
  <c r="AB22" i="36"/>
  <c r="U22" i="36"/>
  <c r="J23" i="36"/>
  <c r="H23" i="36"/>
  <c r="F23" i="36"/>
  <c r="AB30" i="37"/>
  <c r="U30" i="37"/>
  <c r="H25" i="37"/>
  <c r="F25" i="37"/>
  <c r="G564" i="3"/>
  <c r="AZ514" i="3"/>
  <c r="AZ562" i="3"/>
  <c r="F12" i="21"/>
  <c r="H12" i="21"/>
  <c r="E81" i="21"/>
  <c r="F81" i="21" s="1"/>
  <c r="F19" i="21" s="1"/>
  <c r="J19" i="21"/>
  <c r="W19" i="21" s="1"/>
  <c r="B73" i="46"/>
  <c r="C29" i="39"/>
  <c r="AC33" i="33"/>
  <c r="W33" i="33"/>
  <c r="AC8" i="34"/>
  <c r="W8" i="34"/>
  <c r="AB29" i="36"/>
  <c r="U29" i="36"/>
  <c r="AC41" i="33"/>
  <c r="W41" i="33"/>
  <c r="BA570" i="3"/>
  <c r="AZ570" i="3" s="1"/>
  <c r="BT5" i="3"/>
  <c r="G28" i="6" s="1"/>
  <c r="BI5" i="3"/>
  <c r="BG5" i="3"/>
  <c r="I7" i="21"/>
  <c r="J7" i="21" s="1"/>
  <c r="AC7" i="21" s="1"/>
  <c r="E7" i="21"/>
  <c r="G7" i="21"/>
  <c r="H7" i="21" s="1"/>
  <c r="G568" i="3"/>
  <c r="G553" i="3"/>
  <c r="G548" i="3"/>
  <c r="G541" i="3"/>
  <c r="G533" i="3"/>
  <c r="G527" i="3"/>
  <c r="G519" i="3"/>
  <c r="G509" i="3"/>
  <c r="G503" i="3"/>
  <c r="G495" i="3"/>
  <c r="G486" i="3"/>
  <c r="G14" i="3"/>
  <c r="AZ409" i="3"/>
  <c r="K145" i="21"/>
  <c r="G390" i="3"/>
  <c r="G391" i="3"/>
  <c r="G392" i="3"/>
  <c r="BL392" i="3"/>
  <c r="AZ392" i="3" s="1"/>
  <c r="BA393" i="3"/>
  <c r="AZ393" i="3" s="1"/>
  <c r="BA394" i="3"/>
  <c r="AZ394" i="3" s="1"/>
  <c r="G397" i="3"/>
  <c r="BL397" i="3"/>
  <c r="AZ397" i="3" s="1"/>
  <c r="BL399" i="3"/>
  <c r="AZ399" i="3" s="1"/>
  <c r="BL401" i="3"/>
  <c r="AZ401" i="3" s="1"/>
  <c r="G403" i="3"/>
  <c r="G404" i="3"/>
  <c r="BL404" i="3"/>
  <c r="G406" i="3"/>
  <c r="BL406" i="3"/>
  <c r="G409" i="3"/>
  <c r="BL409" i="3"/>
  <c r="BA411" i="3"/>
  <c r="AZ411" i="3" s="1"/>
  <c r="BA413" i="3"/>
  <c r="AZ413" i="3" s="1"/>
  <c r="BA414" i="3"/>
  <c r="AZ414" i="3" s="1"/>
  <c r="BA415" i="3"/>
  <c r="AZ415" i="3" s="1"/>
  <c r="BA417" i="3"/>
  <c r="AZ417" i="3" s="1"/>
  <c r="BA418" i="3"/>
  <c r="AZ418" i="3" s="1"/>
  <c r="G421" i="3"/>
  <c r="BL421" i="3"/>
  <c r="AZ421" i="3" s="1"/>
  <c r="BL423" i="3"/>
  <c r="AZ423" i="3" s="1"/>
  <c r="BA424" i="3"/>
  <c r="AZ424" i="3" s="1"/>
  <c r="BL426" i="3"/>
  <c r="AZ426" i="3" s="1"/>
  <c r="G428" i="3"/>
  <c r="G429" i="3"/>
  <c r="BL429" i="3"/>
  <c r="BL431" i="3"/>
  <c r="AZ431"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L279" i="3"/>
  <c r="BA280" i="3"/>
  <c r="AZ280" i="3" s="1"/>
  <c r="BA281" i="3"/>
  <c r="AZ281" i="3" s="1"/>
  <c r="BA282" i="3"/>
  <c r="AZ282" i="3" s="1"/>
  <c r="BL284" i="3"/>
  <c r="AZ284" i="3" s="1"/>
  <c r="BA285" i="3"/>
  <c r="AZ285" i="3" s="1"/>
  <c r="BA286" i="3"/>
  <c r="AZ286" i="3" s="1"/>
  <c r="BA287" i="3"/>
  <c r="AZ287" i="3" s="1"/>
  <c r="BA288" i="3"/>
  <c r="AZ288" i="3" s="1"/>
  <c r="BA289" i="3"/>
  <c r="AZ289" i="3" s="1"/>
  <c r="BA291" i="3"/>
  <c r="AZ291" i="3" s="1"/>
  <c r="BA292" i="3"/>
  <c r="AZ292" i="3" s="1"/>
  <c r="BA293" i="3"/>
  <c r="AZ293" i="3" s="1"/>
  <c r="BA294" i="3"/>
  <c r="AZ294" i="3" s="1"/>
  <c r="BA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G157" i="3"/>
  <c r="G160" i="3"/>
  <c r="BL160" i="3"/>
  <c r="BA162" i="3"/>
  <c r="AZ162" i="3" s="1"/>
  <c r="G166" i="3"/>
  <c r="BA167" i="3"/>
  <c r="AZ167" i="3" s="1"/>
  <c r="G170" i="3"/>
  <c r="G172" i="3"/>
  <c r="BL172" i="3"/>
  <c r="BA174" i="3"/>
  <c r="AZ174" i="3" s="1"/>
  <c r="BL175" i="3"/>
  <c r="BA176" i="3"/>
  <c r="AZ176" i="3" s="1"/>
  <c r="BA177" i="3"/>
  <c r="AZ177" i="3" s="1"/>
  <c r="BL178" i="3"/>
  <c r="AZ178" i="3" s="1"/>
  <c r="G183" i="3"/>
  <c r="G184" i="3"/>
  <c r="G187" i="3"/>
  <c r="AZ277" i="3"/>
  <c r="AZ279" i="3"/>
  <c r="AZ160" i="3"/>
  <c r="AZ172" i="3"/>
  <c r="AZ175" i="3"/>
  <c r="G188" i="3"/>
  <c r="G191" i="3"/>
  <c r="G192" i="3"/>
  <c r="G195" i="3"/>
  <c r="G196" i="3"/>
  <c r="G199" i="3"/>
  <c r="G200" i="3"/>
  <c r="G202" i="3"/>
  <c r="BL202" i="3"/>
  <c r="AZ202" i="3" s="1"/>
  <c r="G21" i="3"/>
  <c r="BL21" i="3"/>
  <c r="BL5" i="3" s="1"/>
  <c r="BA22" i="3"/>
  <c r="AZ22" i="3" s="1"/>
  <c r="BA23" i="3"/>
  <c r="AZ23" i="3" s="1"/>
  <c r="BA24" i="3"/>
  <c r="AZ24" i="3" s="1"/>
  <c r="G27" i="3"/>
  <c r="G28" i="3"/>
  <c r="BL28" i="3"/>
  <c r="BA29" i="3"/>
  <c r="AZ29" i="3" s="1"/>
  <c r="BL31" i="3"/>
  <c r="AZ31" i="3" s="1"/>
  <c r="G34" i="3"/>
  <c r="BL34" i="3"/>
  <c r="BA35" i="3"/>
  <c r="AZ35" i="3" s="1"/>
  <c r="G38" i="3"/>
  <c r="BL38" i="3"/>
  <c r="BL40" i="3"/>
  <c r="AZ40" i="3" s="1"/>
  <c r="BA41" i="3"/>
  <c r="AZ41" i="3" s="1"/>
  <c r="BL43" i="3"/>
  <c r="AZ43" i="3" s="1"/>
  <c r="G45" i="3"/>
  <c r="BL45" i="3"/>
  <c r="G47" i="3"/>
  <c r="G48" i="3"/>
  <c r="G49" i="3"/>
  <c r="BL49" i="3"/>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5" i="57"/>
  <c r="C31" i="39"/>
  <c r="P27" i="6"/>
  <c r="D69" i="59"/>
  <c r="X11" i="59"/>
  <c r="X15" i="59"/>
  <c r="B16" i="59"/>
  <c r="B17" i="59" s="1"/>
  <c r="B18" i="59" s="1"/>
  <c r="S18" i="59" s="1"/>
  <c r="X3" i="59"/>
  <c r="X12" i="59"/>
  <c r="X14" i="59"/>
  <c r="X19" i="59"/>
  <c r="B20" i="59"/>
  <c r="B21" i="59" s="1"/>
  <c r="B22" i="59" s="1"/>
  <c r="S22" i="59" s="1"/>
  <c r="X23" i="59"/>
  <c r="B24" i="59"/>
  <c r="B25" i="59" s="1"/>
  <c r="B26" i="59" s="1"/>
  <c r="S26" i="59" s="1"/>
  <c r="AZ21" i="3"/>
  <c r="AZ28" i="3"/>
  <c r="AZ34" i="3"/>
  <c r="AZ38" i="3"/>
  <c r="AZ109" i="3"/>
  <c r="D65" i="59"/>
  <c r="C64" i="59"/>
  <c r="D64" i="59" s="1"/>
  <c r="D61" i="59"/>
  <c r="C60" i="59"/>
  <c r="D60" i="59" s="1"/>
  <c r="C52" i="59"/>
  <c r="O53" i="59"/>
  <c r="Y15" i="59"/>
  <c r="Z15" i="59" s="1"/>
  <c r="C16" i="59"/>
  <c r="Y11" i="59"/>
  <c r="Z11" i="59" s="1"/>
  <c r="Y13" i="59"/>
  <c r="Z13" i="59" s="1"/>
  <c r="Y3" i="59"/>
  <c r="Z3" i="59" s="1"/>
  <c r="AB15" i="59"/>
  <c r="AB3" i="59"/>
  <c r="AB12" i="59"/>
  <c r="Y19" i="59"/>
  <c r="Z19" i="59" s="1"/>
  <c r="C20" i="59"/>
  <c r="AA20" i="59"/>
  <c r="AA11" i="59"/>
  <c r="AA13" i="59"/>
  <c r="P53" i="59"/>
  <c r="E52" i="59"/>
  <c r="Q54" i="59"/>
  <c r="P54" i="59"/>
  <c r="D54" i="59"/>
  <c r="AA15" i="59"/>
  <c r="X16" i="59"/>
  <c r="AA16" i="59"/>
  <c r="X17" i="59"/>
  <c r="AA17" i="59"/>
  <c r="X18" i="59"/>
  <c r="AA18" i="59"/>
  <c r="AA19" i="59"/>
  <c r="AB19" i="59"/>
  <c r="Y20" i="59"/>
  <c r="Z20" i="59" s="1"/>
  <c r="AB20" i="59"/>
  <c r="Y21" i="59"/>
  <c r="Z21" i="59" s="1"/>
  <c r="AB21" i="59"/>
  <c r="Y22" i="59"/>
  <c r="Z22" i="59" s="1"/>
  <c r="AB22" i="59"/>
  <c r="C24" i="59"/>
  <c r="AA23" i="59"/>
  <c r="AA24" i="59"/>
  <c r="B37" i="59"/>
  <c r="B38" i="59" s="1"/>
  <c r="S38" i="59" s="1"/>
  <c r="E37" i="59"/>
  <c r="E38" i="59" s="1"/>
  <c r="U38" i="59" s="1"/>
  <c r="F53" i="59"/>
  <c r="T10" i="59"/>
  <c r="J51" i="15"/>
  <c r="P75" i="15"/>
  <c r="L76" i="9"/>
  <c r="S29" i="39"/>
  <c r="S41" i="39"/>
  <c r="S27"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AB10" i="21"/>
  <c r="S34" i="39"/>
  <c r="W31" i="39"/>
  <c r="AB29" i="39"/>
  <c r="S25" i="39"/>
  <c r="AB25" i="39"/>
  <c r="W23" i="39"/>
  <c r="AC44" i="39"/>
  <c r="AB44" i="39"/>
  <c r="U41" i="39"/>
  <c r="W34" i="39"/>
  <c r="AB40" i="21"/>
  <c r="AC40" i="21"/>
  <c r="U38" i="21"/>
  <c r="AC36" i="21"/>
  <c r="AB36" i="21"/>
  <c r="U35" i="21"/>
  <c r="AC35" i="21"/>
  <c r="AC34" i="21"/>
  <c r="W32" i="21"/>
  <c r="S27" i="21"/>
  <c r="AC26" i="21"/>
  <c r="S26" i="21"/>
  <c r="U47" i="39"/>
  <c r="AC47" i="39"/>
  <c r="D23" i="15"/>
  <c r="D12" i="11"/>
  <c r="C12" i="11" s="1"/>
  <c r="F28" i="6"/>
  <c r="F29" i="6"/>
  <c r="E29" i="6" s="1"/>
  <c r="C53" i="10"/>
  <c r="A18" i="64"/>
  <c r="B74" i="63" s="1"/>
  <c r="A18" i="51"/>
  <c r="B14" i="63" s="1"/>
  <c r="L5" i="54"/>
  <c r="B39" i="63" s="1"/>
  <c r="K5" i="54"/>
  <c r="T41" i="4"/>
  <c r="A17" i="64" s="1"/>
  <c r="A11" i="55"/>
  <c r="B62" i="63" s="1"/>
  <c r="L16" i="4"/>
  <c r="K17" i="4" s="1"/>
  <c r="A22" i="51" s="1"/>
  <c r="B16" i="63" s="1"/>
  <c r="G72" i="39"/>
  <c r="F7" i="21"/>
  <c r="J7" i="33"/>
  <c r="R7" i="54"/>
  <c r="B52" i="63" s="1"/>
  <c r="D67" i="40"/>
  <c r="H16" i="1"/>
  <c r="F30" i="6"/>
  <c r="E58" i="39"/>
  <c r="F27" i="6"/>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L60" i="44"/>
  <c r="L59" i="44"/>
  <c r="L59" i="15"/>
  <c r="C29" i="44"/>
  <c r="M9" i="44"/>
  <c r="J8" i="44" s="1"/>
  <c r="E17" i="52"/>
  <c r="E11" i="52"/>
  <c r="E15" i="52"/>
  <c r="E13" i="52"/>
  <c r="B14" i="52"/>
  <c r="E8" i="52"/>
  <c r="E16" i="52"/>
  <c r="B5" i="52"/>
  <c r="B9" i="52"/>
  <c r="B16" i="52"/>
  <c r="B8" i="52"/>
  <c r="B13" i="52"/>
  <c r="E10" i="52"/>
  <c r="E21" i="52"/>
  <c r="E4" i="4" s="1"/>
  <c r="B21" i="55" s="1"/>
  <c r="B72" i="63" s="1"/>
  <c r="M17" i="15"/>
  <c r="F33" i="44"/>
  <c r="F31" i="15"/>
  <c r="M19" i="44"/>
  <c r="F58" i="15"/>
  <c r="F26" i="15"/>
  <c r="I7" i="65"/>
  <c r="F37" i="15"/>
  <c r="L48" i="15"/>
  <c r="F43" i="15"/>
  <c r="I3" i="65"/>
  <c r="J7" i="65"/>
  <c r="M26" i="15"/>
  <c r="M6" i="15"/>
  <c r="J6" i="65"/>
  <c r="I5" i="65"/>
  <c r="M27" i="15"/>
  <c r="M22" i="15"/>
  <c r="F16" i="15"/>
  <c r="F7" i="15"/>
  <c r="J4" i="65"/>
  <c r="M23" i="15"/>
  <c r="M24" i="15"/>
  <c r="J36" i="15"/>
  <c r="F40" i="15"/>
  <c r="F42" i="15"/>
  <c r="I6" i="65"/>
  <c r="F38" i="15"/>
  <c r="F36" i="15"/>
  <c r="F8" i="15"/>
  <c r="I4" i="65"/>
  <c r="J15" i="15"/>
  <c r="M28" i="15"/>
  <c r="M8" i="15"/>
  <c r="J3" i="65"/>
  <c r="C18" i="44"/>
  <c r="J5" i="65"/>
  <c r="S23" i="39" l="1"/>
  <c r="F103" i="46"/>
  <c r="F102" i="46"/>
  <c r="F109" i="46"/>
  <c r="AB7" i="21"/>
  <c r="U7" i="21"/>
  <c r="AH13" i="46"/>
  <c r="I106" i="46"/>
  <c r="F49" i="15"/>
  <c r="M7" i="15"/>
  <c r="J6" i="15" s="1"/>
  <c r="F50" i="15"/>
  <c r="C48" i="15" s="1"/>
  <c r="C6" i="15"/>
  <c r="F67" i="15"/>
  <c r="F64" i="15"/>
  <c r="AA19" i="21"/>
  <c r="S19" i="21"/>
  <c r="G30" i="6"/>
  <c r="G31" i="6" s="1"/>
  <c r="E28" i="6"/>
  <c r="G16" i="1"/>
  <c r="J12" i="40" s="1"/>
  <c r="C25" i="59"/>
  <c r="D24" i="59"/>
  <c r="C21" i="59"/>
  <c r="D20" i="59"/>
  <c r="C17" i="59"/>
  <c r="D16" i="59"/>
  <c r="G5" i="3"/>
  <c r="B3" i="3" s="1"/>
  <c r="E45" i="3" s="1"/>
  <c r="U12" i="21"/>
  <c r="AB12" i="21"/>
  <c r="AA25" i="37"/>
  <c r="S25" i="37"/>
  <c r="AA23" i="36"/>
  <c r="S23" i="36"/>
  <c r="AC23" i="36"/>
  <c r="W23" i="36"/>
  <c r="AB36" i="35"/>
  <c r="U36" i="35"/>
  <c r="W9" i="35"/>
  <c r="AC9" i="35"/>
  <c r="J11" i="21"/>
  <c r="H11" i="21"/>
  <c r="F11" i="21"/>
  <c r="BA5" i="3"/>
  <c r="E27" i="6" s="1"/>
  <c r="K15" i="1"/>
  <c r="L19" i="6"/>
  <c r="L27" i="6" s="1"/>
  <c r="F52" i="59"/>
  <c r="Q53" i="59"/>
  <c r="P52" i="59"/>
  <c r="P51" i="59"/>
  <c r="G81" i="21"/>
  <c r="H19" i="21"/>
  <c r="AA12" i="21"/>
  <c r="S12" i="21"/>
  <c r="U25" i="37"/>
  <c r="AB25" i="37"/>
  <c r="AB23" i="36"/>
  <c r="U23" i="36"/>
  <c r="AC36" i="35"/>
  <c r="W36" i="35"/>
  <c r="AA9" i="35"/>
  <c r="S9" i="35"/>
  <c r="AB9" i="35"/>
  <c r="U9" i="35"/>
  <c r="F13" i="39"/>
  <c r="H13" i="39"/>
  <c r="J13" i="39"/>
  <c r="M43" i="9"/>
  <c r="D18" i="9"/>
  <c r="M44" i="9" s="1"/>
  <c r="H103" i="46"/>
  <c r="A17" i="51"/>
  <c r="B13" i="63" s="1"/>
  <c r="B38" i="63"/>
  <c r="A3" i="55"/>
  <c r="B56" i="63" s="1"/>
  <c r="A25" i="64"/>
  <c r="A25" i="51"/>
  <c r="B18" i="63" s="1"/>
  <c r="C4" i="4"/>
  <c r="B20" i="55" s="1"/>
  <c r="B70" i="63" s="1"/>
  <c r="AC7" i="33"/>
  <c r="V48" i="33" s="1"/>
  <c r="I48" i="33" s="1"/>
  <c r="I52" i="33" s="1"/>
  <c r="J52" i="33" s="1"/>
  <c r="W7" i="33"/>
  <c r="AA7" i="21"/>
  <c r="S7" i="21"/>
  <c r="L58" i="15"/>
  <c r="Q61" i="15" s="1"/>
  <c r="J57" i="15"/>
  <c r="J55" i="15" s="1"/>
  <c r="J58" i="15" s="1"/>
  <c r="Q51" i="15" s="1"/>
  <c r="L56" i="15"/>
  <c r="I54" i="15"/>
  <c r="J53" i="15"/>
  <c r="F1" i="15" s="1"/>
  <c r="C27" i="15"/>
  <c r="F70" i="15"/>
  <c r="F63" i="15"/>
  <c r="Q72" i="15"/>
  <c r="F65"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H12" i="40"/>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E3" i="65"/>
  <c r="C16" i="15"/>
  <c r="AE7" i="1"/>
  <c r="F46" i="44"/>
  <c r="E2" i="65"/>
  <c r="E479" i="3" l="1"/>
  <c r="E503" i="3"/>
  <c r="E244" i="3"/>
  <c r="J12" i="39"/>
  <c r="H12" i="39"/>
  <c r="E568" i="3"/>
  <c r="E406" i="3"/>
  <c r="E370" i="3"/>
  <c r="E196" i="3"/>
  <c r="E564" i="3"/>
  <c r="E519" i="3"/>
  <c r="E404" i="3"/>
  <c r="E474" i="3"/>
  <c r="E341" i="3"/>
  <c r="E212" i="3"/>
  <c r="E137" i="3"/>
  <c r="E96" i="3"/>
  <c r="F12" i="40"/>
  <c r="S12" i="40" s="1"/>
  <c r="F12" i="39"/>
  <c r="E553" i="3"/>
  <c r="E509" i="3"/>
  <c r="K19" i="6"/>
  <c r="S6" i="1" s="1"/>
  <c r="K24" i="6"/>
  <c r="M24" i="6" s="1"/>
  <c r="I24" i="6" s="1"/>
  <c r="S24" i="6" s="1"/>
  <c r="K25" i="6"/>
  <c r="M25" i="6" s="1"/>
  <c r="I25" i="6" s="1"/>
  <c r="S25" i="6" s="1"/>
  <c r="K20" i="6"/>
  <c r="K26" i="6"/>
  <c r="M26" i="6" s="1"/>
  <c r="I26" i="6" s="1"/>
  <c r="S26" i="6" s="1"/>
  <c r="K22" i="6"/>
  <c r="M22" i="6" s="1"/>
  <c r="I22" i="6" s="1"/>
  <c r="S22" i="6" s="1"/>
  <c r="K23" i="6"/>
  <c r="M23" i="6" s="1"/>
  <c r="I23" i="6" s="1"/>
  <c r="S23" i="6" s="1"/>
  <c r="K21" i="6"/>
  <c r="AC13" i="39"/>
  <c r="W13" i="39"/>
  <c r="AA13" i="39"/>
  <c r="S13" i="39"/>
  <c r="AB19" i="21"/>
  <c r="U19" i="21"/>
  <c r="E234" i="3"/>
  <c r="E131" i="3"/>
  <c r="E160" i="3"/>
  <c r="E87" i="3"/>
  <c r="E112" i="3"/>
  <c r="Q52" i="59"/>
  <c r="Q51" i="59"/>
  <c r="S11" i="21"/>
  <c r="AA11" i="21"/>
  <c r="W11" i="21"/>
  <c r="AC11" i="21"/>
  <c r="E541" i="3"/>
  <c r="E495" i="3"/>
  <c r="E14" i="3"/>
  <c r="E428" i="3"/>
  <c r="E301" i="3"/>
  <c r="E245" i="3"/>
  <c r="E118" i="3"/>
  <c r="E134" i="3"/>
  <c r="E153" i="3"/>
  <c r="E183" i="3"/>
  <c r="E28" i="3"/>
  <c r="E31" i="6"/>
  <c r="AB13" i="39"/>
  <c r="U13" i="39"/>
  <c r="U11" i="21"/>
  <c r="AB11" i="21"/>
  <c r="E411" i="3"/>
  <c r="E395" i="3"/>
  <c r="E471" i="3"/>
  <c r="E408" i="3"/>
  <c r="E238" i="3"/>
  <c r="E44" i="3"/>
  <c r="E304" i="3"/>
  <c r="E165" i="3"/>
  <c r="E30" i="3"/>
  <c r="E441" i="3"/>
  <c r="E367" i="3"/>
  <c r="E415" i="3"/>
  <c r="E80" i="3"/>
  <c r="E141" i="3"/>
  <c r="E168" i="3"/>
  <c r="E407" i="3"/>
  <c r="E550" i="3"/>
  <c r="E136" i="3"/>
  <c r="E85" i="3"/>
  <c r="E332" i="3"/>
  <c r="E25" i="3"/>
  <c r="E258" i="3"/>
  <c r="E43" i="3"/>
  <c r="E526" i="3"/>
  <c r="E477" i="3"/>
  <c r="E540" i="3"/>
  <c r="AI6" i="3"/>
  <c r="E239" i="3"/>
  <c r="E128" i="3"/>
  <c r="E176" i="3"/>
  <c r="E554" i="3"/>
  <c r="E324" i="3"/>
  <c r="E502" i="3"/>
  <c r="E334" i="3"/>
  <c r="E489" i="3"/>
  <c r="E325" i="3"/>
  <c r="E286" i="3"/>
  <c r="E396" i="3"/>
  <c r="E216" i="3"/>
  <c r="E320" i="3"/>
  <c r="E15" i="3"/>
  <c r="E373" i="3"/>
  <c r="E171" i="3"/>
  <c r="E284" i="3"/>
  <c r="E251" i="3"/>
  <c r="E360" i="3"/>
  <c r="E354" i="3"/>
  <c r="E42" i="3"/>
  <c r="E56" i="3"/>
  <c r="T6" i="3"/>
  <c r="E531" i="3"/>
  <c r="E181" i="3"/>
  <c r="E144" i="3"/>
  <c r="E269" i="3"/>
  <c r="E208" i="3"/>
  <c r="E219" i="3"/>
  <c r="E344" i="3"/>
  <c r="E338" i="3"/>
  <c r="E485" i="3"/>
  <c r="E506" i="3"/>
  <c r="E335" i="3"/>
  <c r="E562" i="3"/>
  <c r="E483" i="3"/>
  <c r="E366" i="3"/>
  <c r="E518" i="3"/>
  <c r="E532" i="3"/>
  <c r="E497" i="3"/>
  <c r="E330" i="3"/>
  <c r="E167" i="3"/>
  <c r="E340" i="3"/>
  <c r="E566" i="3"/>
  <c r="E350" i="3"/>
  <c r="E515" i="3"/>
  <c r="E521" i="3"/>
  <c r="E496" i="3"/>
  <c r="E494" i="3"/>
  <c r="E130" i="3"/>
  <c r="E273" i="3"/>
  <c r="E352" i="3"/>
  <c r="E542" i="3"/>
  <c r="E461" i="3"/>
  <c r="E563" i="3"/>
  <c r="E254" i="3"/>
  <c r="E328" i="3"/>
  <c r="E155" i="3"/>
  <c r="E268" i="3"/>
  <c r="E252" i="3"/>
  <c r="E316" i="3"/>
  <c r="E346" i="3"/>
  <c r="E175" i="3"/>
  <c r="E544" i="3"/>
  <c r="E318" i="3"/>
  <c r="E565" i="3"/>
  <c r="E523" i="3"/>
  <c r="E380" i="3"/>
  <c r="E557" i="3"/>
  <c r="E13" i="3"/>
  <c r="E297" i="3"/>
  <c r="E41" i="3"/>
  <c r="E418" i="3"/>
  <c r="E92" i="3"/>
  <c r="E414" i="3"/>
  <c r="E36" i="3"/>
  <c r="E237" i="3"/>
  <c r="E100" i="3"/>
  <c r="E374" i="3"/>
  <c r="E223" i="3"/>
  <c r="E205" i="3"/>
  <c r="E399" i="3"/>
  <c r="E478" i="3"/>
  <c r="E317" i="3"/>
  <c r="E357" i="3"/>
  <c r="E179" i="3"/>
  <c r="AS6" i="3"/>
  <c r="E444" i="3"/>
  <c r="E383" i="3"/>
  <c r="E247" i="3"/>
  <c r="E539" i="3"/>
  <c r="O6" i="3"/>
  <c r="E204" i="3"/>
  <c r="E207" i="3"/>
  <c r="E449" i="3"/>
  <c r="E259" i="3"/>
  <c r="E308" i="3"/>
  <c r="E416" i="3"/>
  <c r="E242" i="3"/>
  <c r="E133" i="3"/>
  <c r="E29" i="3"/>
  <c r="E256" i="3"/>
  <c r="E491" i="3"/>
  <c r="E525" i="3"/>
  <c r="E319" i="3"/>
  <c r="K6" i="3"/>
  <c r="E456" i="3"/>
  <c r="E353" i="3"/>
  <c r="E569" i="3"/>
  <c r="E50" i="3"/>
  <c r="AJ6" i="3"/>
  <c r="E236" i="3"/>
  <c r="E546" i="3"/>
  <c r="E90" i="3"/>
  <c r="E19" i="3"/>
  <c r="E498" i="3"/>
  <c r="E210" i="3"/>
  <c r="E339" i="3"/>
  <c r="E298" i="3"/>
  <c r="E106" i="3"/>
  <c r="E35" i="3"/>
  <c r="E361" i="3"/>
  <c r="E169" i="3"/>
  <c r="E182"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26" i="3"/>
  <c r="E488" i="3"/>
  <c r="S6" i="3"/>
  <c r="E322" i="3"/>
  <c r="E71" i="3"/>
  <c r="E511" i="3"/>
  <c r="E17" i="3"/>
  <c r="E240" i="3"/>
  <c r="E377" i="3"/>
  <c r="E18" i="3"/>
  <c r="E382" i="3"/>
  <c r="E358" i="3"/>
  <c r="E484" i="3"/>
  <c r="E326" i="3"/>
  <c r="E20" i="3"/>
  <c r="E356" i="3"/>
  <c r="E481" i="3"/>
  <c r="E571" i="3"/>
  <c r="E432" i="3"/>
  <c r="E307" i="3"/>
  <c r="E260" i="3"/>
  <c r="E177" i="3"/>
  <c r="E436" i="3"/>
  <c r="E217" i="3"/>
  <c r="E173" i="3"/>
  <c r="E403" i="3"/>
  <c r="E558" i="3"/>
  <c r="E538" i="3"/>
  <c r="E499" i="3"/>
  <c r="E314" i="3"/>
  <c r="E150" i="3"/>
  <c r="E362" i="3"/>
  <c r="E331" i="3"/>
  <c r="E440" i="3"/>
  <c r="E72" i="3"/>
  <c r="E345" i="3"/>
  <c r="E513" i="3"/>
  <c r="E65" i="3"/>
  <c r="AR6" i="3"/>
  <c r="E336" i="3"/>
  <c r="E248" i="3"/>
  <c r="E365" i="3"/>
  <c r="E527" i="3"/>
  <c r="E291" i="3"/>
  <c r="E556" i="3"/>
  <c r="E445" i="3"/>
  <c r="E139" i="3"/>
  <c r="E257" i="3"/>
  <c r="E425" i="3"/>
  <c r="E113" i="3"/>
  <c r="E289" i="3"/>
  <c r="AE6" i="3"/>
  <c r="E97" i="3"/>
  <c r="E500" i="3"/>
  <c r="E119" i="3"/>
  <c r="Q6" i="3"/>
  <c r="E33" i="3"/>
  <c r="E447" i="3"/>
  <c r="E547" i="3"/>
  <c r="E32" i="3"/>
  <c r="E274" i="3"/>
  <c r="E170" i="3"/>
  <c r="E201" i="3"/>
  <c r="E89" i="3"/>
  <c r="E295" i="3"/>
  <c r="E492" i="3"/>
  <c r="E161" i="3"/>
  <c r="E157" i="3"/>
  <c r="E270" i="3"/>
  <c r="E280" i="3"/>
  <c r="E2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95" i="3"/>
  <c r="E524" i="3"/>
  <c r="E385" i="3"/>
  <c r="E277" i="3"/>
  <c r="E16" i="3"/>
  <c r="E81" i="3"/>
  <c r="E246" i="3"/>
  <c r="E108" i="3"/>
  <c r="E551" i="3"/>
  <c r="E493" i="3"/>
  <c r="E180" i="3"/>
  <c r="E508" i="3"/>
  <c r="E228" i="3"/>
  <c r="E559" i="3"/>
  <c r="E40" i="3"/>
  <c r="AF6" i="3"/>
  <c r="E290" i="3"/>
  <c r="E281" i="3"/>
  <c r="E198" i="3"/>
  <c r="E51" i="3"/>
  <c r="E466" i="3"/>
  <c r="Y6" i="3"/>
  <c r="E211" i="3"/>
  <c r="E126" i="3"/>
  <c r="E73" i="3"/>
  <c r="E305" i="3"/>
  <c r="U6" i="3"/>
  <c r="E451" i="3"/>
  <c r="E52" i="3"/>
  <c r="E272" i="3"/>
  <c r="E401" i="3"/>
  <c r="E79" i="3"/>
  <c r="E363" i="3"/>
  <c r="E455" i="3"/>
  <c r="E438" i="3"/>
  <c r="E48" i="3"/>
  <c r="J6" i="3"/>
  <c r="E178" i="3"/>
  <c r="E75" i="3"/>
  <c r="E60" i="3"/>
  <c r="E426" i="3"/>
  <c r="E292" i="3"/>
  <c r="E463" i="3"/>
  <c r="I3" i="6"/>
  <c r="E460" i="3"/>
  <c r="E549" i="3"/>
  <c r="E249" i="3"/>
  <c r="E149" i="3"/>
  <c r="E450" i="3"/>
  <c r="E209" i="3"/>
  <c r="E464" i="3"/>
  <c r="E59" i="3"/>
  <c r="AN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92" i="3"/>
  <c r="E458" i="3"/>
  <c r="E315" i="3"/>
  <c r="E276" i="3"/>
  <c r="E122" i="3"/>
  <c r="E138" i="3"/>
  <c r="E166" i="3"/>
  <c r="E202" i="3"/>
  <c r="E34" i="3"/>
  <c r="E102" i="3"/>
  <c r="D17" i="59"/>
  <c r="C18" i="59"/>
  <c r="D21" i="59"/>
  <c r="C22" i="59"/>
  <c r="D25" i="59"/>
  <c r="C26" i="59"/>
  <c r="Q53" i="15"/>
  <c r="Q74" i="15"/>
  <c r="M20" i="6"/>
  <c r="I20" i="6" s="1"/>
  <c r="S20" i="6" s="1"/>
  <c r="S7" i="1"/>
  <c r="J5" i="15"/>
  <c r="J24" i="15" s="1"/>
  <c r="O28" i="46"/>
  <c r="G20" i="46" s="1"/>
  <c r="C20" i="46" s="1"/>
  <c r="D38" i="59"/>
  <c r="T38" i="59"/>
  <c r="D42" i="59"/>
  <c r="T42" i="59"/>
  <c r="D13" i="59"/>
  <c r="C12" i="59"/>
  <c r="D12" i="59" s="1"/>
  <c r="D30" i="59"/>
  <c r="T30" i="59"/>
  <c r="E3" i="6"/>
  <c r="C33" i="21" s="1"/>
  <c r="AY6" i="3"/>
  <c r="D46" i="59"/>
  <c r="T46" i="59"/>
  <c r="M28" i="46"/>
  <c r="N28" i="46"/>
  <c r="B40" i="1"/>
  <c r="F24" i="15" s="1"/>
  <c r="C24" i="15" s="1"/>
  <c r="F17" i="11"/>
  <c r="C17" i="11" s="1"/>
  <c r="C19" i="11" s="1"/>
  <c r="C20" i="11" s="1"/>
  <c r="C21" i="11" s="1"/>
  <c r="C22" i="11" s="1"/>
  <c r="C23" i="11" s="1"/>
  <c r="B2" i="11" s="1"/>
  <c r="E41" i="46"/>
  <c r="C41" i="46" s="1"/>
  <c r="S5" i="46"/>
  <c r="S2" i="46"/>
  <c r="S3" i="46"/>
  <c r="S7" i="46"/>
  <c r="S6" i="46"/>
  <c r="S4" i="46"/>
  <c r="K16" i="1"/>
  <c r="M14" i="1"/>
  <c r="M19" i="6"/>
  <c r="K27" i="6"/>
  <c r="K70" i="39"/>
  <c r="J72" i="39"/>
  <c r="G52" i="37"/>
  <c r="H7" i="34"/>
  <c r="J7" i="34"/>
  <c r="AA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17" i="15"/>
  <c r="L52" i="44"/>
  <c r="F41" i="15"/>
  <c r="C19" i="44"/>
  <c r="AC6" i="3" l="1"/>
  <c r="M21" i="6"/>
  <c r="I21" i="6" s="1"/>
  <c r="S21" i="6" s="1"/>
  <c r="S8" i="1"/>
  <c r="S16" i="1" s="1"/>
  <c r="J26" i="15"/>
  <c r="J29" i="15" s="1"/>
  <c r="F21" i="43"/>
  <c r="C23" i="43" s="1"/>
  <c r="D21" i="43" s="1"/>
  <c r="H6" i="3"/>
  <c r="E6" i="3" s="1"/>
  <c r="H33" i="21"/>
  <c r="J33" i="21"/>
  <c r="F33" i="21"/>
  <c r="D26" i="59"/>
  <c r="T26" i="59"/>
  <c r="D22" i="59"/>
  <c r="T22" i="59"/>
  <c r="D18" i="59"/>
  <c r="M20" i="46" s="1"/>
  <c r="C19" i="46" s="1"/>
  <c r="T18" i="59"/>
  <c r="F68" i="15"/>
  <c r="J18" i="15"/>
  <c r="F7" i="36"/>
  <c r="D16" i="43"/>
  <c r="C16" i="43" s="1"/>
  <c r="D16" i="12"/>
  <c r="L38" i="9"/>
  <c r="B14" i="66" s="1"/>
  <c r="B1" i="66" s="1"/>
  <c r="D45" i="9"/>
  <c r="E6" i="6"/>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B4" i="11"/>
  <c r="C59" i="15"/>
  <c r="C65" i="15"/>
  <c r="Q49" i="44"/>
  <c r="Q55" i="44" s="1"/>
  <c r="Q67" i="44"/>
  <c r="Q58" i="44"/>
  <c r="T13" i="1" l="1"/>
  <c r="T9" i="1"/>
  <c r="T12" i="1"/>
  <c r="T7" i="1"/>
  <c r="T6" i="1"/>
  <c r="T11" i="1"/>
  <c r="T10" i="1"/>
  <c r="T8" i="1"/>
  <c r="C36" i="46"/>
  <c r="T7" i="46"/>
  <c r="V7" i="46" s="1"/>
  <c r="C33" i="46"/>
  <c r="C39" i="46"/>
  <c r="T6" i="46"/>
  <c r="V6" i="46" s="1"/>
  <c r="T5" i="46"/>
  <c r="V5" i="46" s="1"/>
  <c r="C38" i="46"/>
  <c r="T9" i="46"/>
  <c r="V9" i="46" s="1"/>
  <c r="T15" i="46"/>
  <c r="V15" i="46" s="1"/>
  <c r="C29" i="46"/>
  <c r="T8" i="46"/>
  <c r="V8" i="46" s="1"/>
  <c r="T11" i="46"/>
  <c r="V11" i="46" s="1"/>
  <c r="T4" i="46"/>
  <c r="V4" i="46" s="1"/>
  <c r="T2" i="46"/>
  <c r="V2" i="46" s="1"/>
  <c r="C34" i="46"/>
  <c r="C37" i="46"/>
  <c r="T3" i="46"/>
  <c r="V3" i="46" s="1"/>
  <c r="C35" i="46"/>
  <c r="T16" i="46"/>
  <c r="V16" i="46" s="1"/>
  <c r="T14" i="46"/>
  <c r="V14" i="46" s="1"/>
  <c r="T12" i="46"/>
  <c r="V12" i="46" s="1"/>
  <c r="T13" i="46"/>
  <c r="V13" i="46" s="1"/>
  <c r="T10" i="46"/>
  <c r="V10" i="46" s="1"/>
  <c r="W33" i="21"/>
  <c r="AC33" i="21"/>
  <c r="V48" i="21" s="1"/>
  <c r="I48" i="21" s="1"/>
  <c r="S33" i="21"/>
  <c r="AA33" i="21"/>
  <c r="R48" i="21" s="1"/>
  <c r="U33" i="21"/>
  <c r="AB33" i="21"/>
  <c r="T48" i="21" s="1"/>
  <c r="G48" i="21" s="1"/>
  <c r="P14" i="1"/>
  <c r="P16" i="1" s="1"/>
  <c r="C13" i="12" s="1"/>
  <c r="C14" i="12" s="1"/>
  <c r="C22" i="4"/>
  <c r="D21" i="6"/>
  <c r="D10" i="6"/>
  <c r="H21" i="6"/>
  <c r="D6" i="6"/>
  <c r="D14" i="6"/>
  <c r="D20" i="6"/>
  <c r="H23" i="6"/>
  <c r="F45" i="9"/>
  <c r="E68" i="39"/>
  <c r="D24" i="6"/>
  <c r="D22" i="6"/>
  <c r="D12" i="6"/>
  <c r="H25" i="6"/>
  <c r="D5" i="6"/>
  <c r="H22" i="6"/>
  <c r="H26" i="6"/>
  <c r="E63" i="40"/>
  <c r="D19" i="6"/>
  <c r="D25" i="6"/>
  <c r="D13" i="6"/>
  <c r="H24" i="6"/>
  <c r="D23" i="6"/>
  <c r="D28" i="6"/>
  <c r="D8" i="6"/>
  <c r="E45" i="9"/>
  <c r="K38" i="9"/>
  <c r="C14" i="66" s="1"/>
  <c r="B2" i="66" s="1"/>
  <c r="D26" i="6"/>
  <c r="D11" i="6"/>
  <c r="H20" i="6"/>
  <c r="D9" i="6"/>
  <c r="D29" i="6"/>
  <c r="D15" i="6"/>
  <c r="D19" i="12"/>
  <c r="C19" i="12" s="1"/>
  <c r="C16" i="12"/>
  <c r="D22" i="12"/>
  <c r="C22" i="12" s="1"/>
  <c r="C20" i="12" s="1"/>
  <c r="D13" i="11"/>
  <c r="C13" i="11" s="1"/>
  <c r="C7" i="66"/>
  <c r="E29" i="46"/>
  <c r="C30" i="46"/>
  <c r="E30" i="46" s="1"/>
  <c r="E35" i="46"/>
  <c r="G35" i="46"/>
  <c r="I35" i="46" s="1"/>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6" i="44"/>
  <c r="C14" i="15"/>
  <c r="T16" i="1" l="1"/>
  <c r="C18" i="15"/>
  <c r="C15" i="15"/>
  <c r="C20" i="44"/>
  <c r="C17" i="44"/>
  <c r="R23" i="6"/>
  <c r="R26" i="6"/>
  <c r="G37" i="46"/>
  <c r="I37" i="46" s="1"/>
  <c r="E37" i="46"/>
  <c r="G39" i="46"/>
  <c r="I39" i="46" s="1"/>
  <c r="E39" i="46"/>
  <c r="G52" i="21"/>
  <c r="H52" i="21" s="1"/>
  <c r="G53" i="21"/>
  <c r="H53" i="21" s="1"/>
  <c r="E48" i="21"/>
  <c r="I53" i="21" s="1"/>
  <c r="J53" i="21" s="1"/>
  <c r="R49" i="21"/>
  <c r="I52" i="21"/>
  <c r="J52" i="21" s="1"/>
  <c r="E34" i="46"/>
  <c r="G34" i="46"/>
  <c r="I34" i="46" s="1"/>
  <c r="E38" i="46"/>
  <c r="G38" i="46"/>
  <c r="I38" i="46" s="1"/>
  <c r="E33" i="46"/>
  <c r="G33" i="46"/>
  <c r="I33" i="46" s="1"/>
  <c r="E36" i="46"/>
  <c r="G36" i="46"/>
  <c r="I36" i="46" s="1"/>
  <c r="C17" i="12"/>
  <c r="C18" i="12" s="1"/>
  <c r="D30" i="6"/>
  <c r="D16" i="6"/>
  <c r="D27" i="6"/>
  <c r="D31" i="6" s="1"/>
  <c r="I6" i="6" s="1"/>
  <c r="R25" i="6"/>
  <c r="D7" i="66"/>
  <c r="R24" i="6"/>
  <c r="R20" i="6"/>
  <c r="R7" i="1" s="1"/>
  <c r="A6" i="51"/>
  <c r="B7" i="63" s="1"/>
  <c r="A20" i="64"/>
  <c r="N5" i="54"/>
  <c r="B43" i="63" s="1"/>
  <c r="A6" i="64"/>
  <c r="A20" i="51"/>
  <c r="B15" i="63" s="1"/>
  <c r="R22" i="6"/>
  <c r="R21" i="6"/>
  <c r="I5" i="6"/>
  <c r="C26" i="46"/>
  <c r="C2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F35" i="15"/>
  <c r="M21" i="15"/>
  <c r="E7" i="67"/>
  <c r="C23" i="12" l="1"/>
  <c r="C109" i="9"/>
  <c r="C110" i="9" s="1"/>
  <c r="R8" i="1"/>
  <c r="R11" i="1"/>
  <c r="R13" i="1"/>
  <c r="R12" i="1"/>
  <c r="R9" i="1"/>
  <c r="R10" i="1"/>
  <c r="C21" i="44"/>
  <c r="C22" i="44" s="1"/>
  <c r="C25" i="44" s="1"/>
  <c r="C19" i="15"/>
  <c r="C20" i="15" s="1"/>
  <c r="C26" i="15" s="1"/>
  <c r="J20" i="15"/>
  <c r="F62" i="15"/>
  <c r="C61" i="15" s="1"/>
  <c r="C34" i="15"/>
  <c r="E4" i="67"/>
  <c r="C48" i="21"/>
  <c r="C49" i="21"/>
  <c r="B3" i="21" s="1"/>
  <c r="E53" i="21"/>
  <c r="F53" i="21" s="1"/>
  <c r="E52" i="21"/>
  <c r="F52" i="21" s="1"/>
  <c r="R27" i="6"/>
  <c r="R6" i="1"/>
  <c r="E3" i="67"/>
  <c r="B2" i="46"/>
  <c r="D4" i="46" s="1"/>
  <c r="C18" i="43"/>
  <c r="C19" i="43" s="1"/>
  <c r="C25" i="43" s="1"/>
  <c r="C24" i="43" s="1"/>
  <c r="S9" i="39"/>
  <c r="AA9" i="39"/>
  <c r="R49" i="39" s="1"/>
  <c r="L67" i="40"/>
  <c r="M65" i="40"/>
  <c r="H9" i="39"/>
  <c r="J9" i="39"/>
  <c r="K48" i="35"/>
  <c r="L48" i="35" s="1"/>
  <c r="M48" i="35" s="1"/>
  <c r="N48" i="35" s="1"/>
  <c r="O48" i="35" s="1"/>
  <c r="J7" i="35"/>
  <c r="K52" i="37"/>
  <c r="F37" i="44"/>
  <c r="B7" i="67"/>
  <c r="M23" i="44"/>
  <c r="C36" i="44" l="1"/>
  <c r="J22" i="44"/>
  <c r="R16" i="1"/>
  <c r="C28" i="44"/>
  <c r="C31" i="44" s="1"/>
  <c r="J21" i="44" s="1"/>
  <c r="J19" i="44" s="1"/>
  <c r="C23" i="15"/>
  <c r="C29" i="15" s="1"/>
  <c r="C36" i="15" s="1"/>
  <c r="B3" i="46"/>
  <c r="B2" i="21"/>
  <c r="B4" i="46"/>
  <c r="B2" i="67"/>
  <c r="B4" i="67" s="1"/>
  <c r="C33" i="15"/>
  <c r="C31" i="15" s="1"/>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Q51" i="44" l="1"/>
  <c r="J19" i="15"/>
  <c r="J17" i="15" s="1"/>
  <c r="C15" i="44"/>
  <c r="Q72" i="44" s="1"/>
  <c r="C35" i="44"/>
  <c r="C33" i="44" s="1"/>
  <c r="J16" i="44"/>
  <c r="J15" i="44" s="1"/>
  <c r="J25" i="44" s="1"/>
  <c r="C38" i="44"/>
  <c r="C56" i="15"/>
  <c r="C60" i="15" s="1"/>
  <c r="C58" i="15" s="1"/>
  <c r="C13" i="15"/>
  <c r="J35" i="15" s="1"/>
  <c r="J14" i="15"/>
  <c r="J13" i="15" s="1"/>
  <c r="J23" i="15" s="1"/>
  <c r="Q50" i="15"/>
  <c r="J59" i="15"/>
  <c r="J60" i="15" s="1"/>
  <c r="Q49" i="15" s="1"/>
  <c r="R50" i="39"/>
  <c r="C50" i="39" s="1"/>
  <c r="J22" i="15"/>
  <c r="B3" i="67"/>
  <c r="C63" i="15"/>
  <c r="Q71" i="15"/>
  <c r="B4" i="43"/>
  <c r="B5" i="43"/>
  <c r="B3" i="43"/>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J16" i="15" l="1"/>
  <c r="J25" i="15" s="1"/>
  <c r="J24" i="44"/>
  <c r="C39" i="44"/>
  <c r="C32" i="44" s="1"/>
  <c r="C42" i="44" s="1"/>
  <c r="C43" i="44"/>
  <c r="C37" i="15"/>
  <c r="C30" i="15" s="1"/>
  <c r="C39" i="15" s="1"/>
  <c r="Q70" i="15" s="1"/>
  <c r="Q69" i="15" s="1"/>
  <c r="C55" i="15"/>
  <c r="C64" i="15" s="1"/>
  <c r="C57" i="15" s="1"/>
  <c r="C66" i="15" s="1"/>
  <c r="C67" i="15" s="1"/>
  <c r="C70" i="15" s="1"/>
  <c r="C49" i="39"/>
  <c r="L57" i="15"/>
  <c r="L60" i="15" s="1"/>
  <c r="Q58" i="15" s="1"/>
  <c r="Q71" i="44"/>
  <c r="Q70" i="44"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C44" i="44" l="1"/>
  <c r="C45" i="44" s="1"/>
  <c r="B2" i="44" s="1"/>
  <c r="B3" i="44" s="1"/>
  <c r="J39" i="15"/>
  <c r="J40" i="15" s="1"/>
  <c r="Q68" i="15"/>
  <c r="C40" i="15"/>
  <c r="C46" i="15" s="1"/>
  <c r="F68" i="39"/>
  <c r="B2" i="39" s="1"/>
  <c r="B5" i="39" s="1"/>
  <c r="Q67" i="15"/>
  <c r="L46"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B5" i="44" l="1"/>
  <c r="B4" i="44"/>
  <c r="C43" i="15"/>
  <c r="Q57" i="15"/>
  <c r="Q63" i="15" s="1"/>
  <c r="J42" i="15"/>
  <c r="J43" i="15" s="1"/>
  <c r="Q48" i="15"/>
  <c r="Q54" i="15" s="1"/>
  <c r="Q66" i="15"/>
  <c r="Q76" i="15" s="1"/>
  <c r="B2" i="15"/>
  <c r="B4" i="39"/>
  <c r="B3" i="39"/>
  <c r="L43" i="9"/>
  <c r="W7" i="37"/>
  <c r="AC7" i="37"/>
  <c r="V42" i="37" s="1"/>
  <c r="I42" i="37" s="1"/>
  <c r="C45" i="40"/>
  <c r="C44" i="40"/>
  <c r="AB7" i="37"/>
  <c r="T42" i="37" s="1"/>
  <c r="G42" i="37" s="1"/>
  <c r="U7" i="37"/>
  <c r="E48" i="40"/>
  <c r="F48" i="40" s="1"/>
  <c r="E49" i="40"/>
  <c r="F49" i="40" s="1"/>
  <c r="E42" i="37"/>
  <c r="R43" i="37"/>
  <c r="C20" i="9"/>
  <c r="C21" i="9"/>
  <c r="B3" i="15" l="1"/>
  <c r="D8" i="12" s="1"/>
  <c r="D10"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6" i="12" l="1"/>
  <c r="C29" i="12" s="1"/>
  <c r="B5" i="40"/>
  <c r="B4" i="40"/>
  <c r="B3" i="40"/>
  <c r="C24" i="12" l="1"/>
  <c r="C35" i="12" s="1"/>
  <c r="C33" i="12" s="1"/>
  <c r="C28" i="12" l="1"/>
  <c r="C26" i="12" s="1"/>
  <c r="C31" i="12" s="1"/>
  <c r="C30" i="12" s="1"/>
  <c r="C36" i="12" s="1"/>
  <c r="B2" i="12" s="1"/>
  <c r="B5" i="12" s="1"/>
  <c r="D19" i="9"/>
  <c r="G19" i="9" l="1"/>
  <c r="D22" i="9"/>
  <c r="L44" i="9"/>
  <c r="B3" i="12"/>
  <c r="B4" i="12"/>
  <c r="D20" i="9"/>
  <c r="D21" i="9"/>
  <c r="N43" i="9" l="1"/>
  <c r="G22" i="9"/>
  <c r="C32" i="9"/>
  <c r="G20" i="9"/>
  <c r="G21" i="9"/>
  <c r="O38" i="9" l="1"/>
  <c r="K26" i="9" s="1"/>
  <c r="H4" i="81"/>
  <c r="O43" i="9"/>
  <c r="C34" i="9"/>
  <c r="C33" i="9"/>
  <c r="C35" i="9"/>
  <c r="F42" i="9" s="1"/>
  <c r="C42" i="9"/>
  <c r="C44" i="9" s="1"/>
  <c r="E42" i="9"/>
  <c r="P5" i="54" s="1"/>
  <c r="B46" i="63" s="1"/>
  <c r="K25" i="9"/>
  <c r="M38" i="9" l="1"/>
  <c r="K27" i="9" s="1"/>
  <c r="G4" i="81"/>
  <c r="N38" i="9"/>
  <c r="K28" i="9" s="1"/>
  <c r="F4" i="81"/>
  <c r="D42" i="9"/>
  <c r="Q5" i="54" s="1"/>
  <c r="B47" i="63" s="1"/>
  <c r="N68" i="9"/>
  <c r="D14" i="66"/>
  <c r="R5" i="54"/>
  <c r="B48" i="63" s="1"/>
  <c r="D63" i="9"/>
  <c r="D73" i="9" s="1"/>
  <c r="N73" i="9" s="1"/>
  <c r="D77" i="9"/>
  <c r="N75" i="9" s="1"/>
  <c r="G14" i="66"/>
  <c r="N69" i="9"/>
  <c r="O39" i="9"/>
  <c r="D44" i="9"/>
  <c r="F44" i="9"/>
  <c r="E44" i="9"/>
  <c r="F14" i="66" l="1"/>
  <c r="C111" i="9"/>
  <c r="C104" i="9" s="1"/>
  <c r="C90" i="9"/>
  <c r="D71" i="9"/>
  <c r="D66" i="9" s="1"/>
  <c r="N72" i="9" s="1"/>
  <c r="E14" i="66"/>
  <c r="D70" i="9"/>
  <c r="C96" i="9"/>
  <c r="C91" i="9" s="1"/>
  <c r="C97" i="9" s="1"/>
  <c r="C98" i="9" s="1"/>
  <c r="E98" i="9" s="1"/>
  <c r="E99" i="9" s="1"/>
  <c r="C103" i="9"/>
  <c r="C82" i="9"/>
  <c r="C81" i="9" s="1"/>
  <c r="C85" i="9" s="1"/>
  <c r="C86" i="9" s="1"/>
  <c r="D72" i="9" s="1"/>
  <c r="C113" i="9"/>
  <c r="K29" i="9"/>
  <c r="K30" i="9" s="1"/>
  <c r="R6" i="54"/>
  <c r="B50" i="63" s="1"/>
  <c r="M84" i="9"/>
  <c r="N84" i="9" s="1"/>
  <c r="M83" i="9"/>
  <c r="N83" i="9" s="1"/>
  <c r="M88" i="9"/>
  <c r="N88" i="9" s="1"/>
  <c r="M87" i="9"/>
  <c r="N87" i="9" s="1"/>
  <c r="M86" i="9"/>
  <c r="N86" i="9" s="1"/>
  <c r="M85" i="9"/>
  <c r="N85" i="9" s="1"/>
  <c r="C99" i="9" l="1"/>
  <c r="N89" i="9"/>
  <c r="O89" i="9" s="1"/>
  <c r="C114" i="9"/>
  <c r="E114" i="9" s="1"/>
  <c r="E115" i="9" s="1"/>
  <c r="C115" i="9" l="1"/>
  <c r="D76" i="9" s="1"/>
  <c r="D74" i="9" s="1"/>
  <c r="N74" i="9" s="1"/>
  <c r="O77" i="9" s="1"/>
  <c r="O79" i="9" s="1"/>
  <c r="J4" i="81" s="1"/>
  <c r="O81" i="9" l="1"/>
  <c r="C46" i="9"/>
  <c r="O80" i="9"/>
  <c r="Q77" i="9"/>
  <c r="O78" i="9"/>
  <c r="K33" i="9" l="1"/>
  <c r="O41" i="9"/>
  <c r="R8" i="54" s="1"/>
  <c r="B54" i="63" s="1"/>
  <c r="I14" i="66"/>
  <c r="D46" i="9"/>
  <c r="F46" i="9"/>
  <c r="E46" i="9"/>
  <c r="K34" i="9" l="1"/>
  <c r="H16" i="81" l="1"/>
  <c r="G16" i="81" l="1"/>
  <c r="F16" i="81"/>
  <c r="J16" i="81" l="1"/>
  <c r="H15" i="81" l="1"/>
  <c r="G15" i="81" l="1"/>
  <c r="F15" i="81"/>
  <c r="J15" i="81" l="1"/>
  <c r="H14" i="81" l="1"/>
  <c r="G14" i="81" l="1"/>
  <c r="F14" i="81"/>
  <c r="J14" i="81" l="1"/>
  <c r="H13" i="81" l="1"/>
  <c r="G13" i="81" l="1"/>
  <c r="F13" i="81"/>
  <c r="J13" i="81" l="1"/>
  <c r="H12" i="81" l="1"/>
  <c r="G12" i="81" l="1"/>
  <c r="F12" i="81"/>
  <c r="J12" i="81" l="1"/>
  <c r="H11" i="81" l="1"/>
  <c r="G11" i="81" l="1"/>
  <c r="F11" i="81"/>
  <c r="J11" i="81" l="1"/>
  <c r="H10" i="81" l="1"/>
  <c r="G10" i="81" l="1"/>
  <c r="F10" i="81"/>
  <c r="J10" i="81" l="1"/>
  <c r="H9" i="81" l="1"/>
  <c r="G9" i="81" l="1"/>
  <c r="F9" i="81"/>
  <c r="J9" i="81" l="1"/>
  <c r="H8" i="81" l="1"/>
  <c r="G8" i="81" l="1"/>
  <c r="F8" i="81"/>
  <c r="J8" i="81" l="1"/>
  <c r="H7" i="81" l="1"/>
  <c r="G7" i="81" l="1"/>
  <c r="F7" i="81"/>
  <c r="J7" i="81" l="1"/>
  <c r="H6" i="81" l="1"/>
  <c r="G6" i="81" l="1"/>
  <c r="F6" i="81"/>
  <c r="J6" i="81" l="1"/>
  <c r="H5" i="81" l="1"/>
  <c r="H17" i="81" s="1"/>
  <c r="D15" i="66" s="1"/>
  <c r="G15" i="66" s="1"/>
  <c r="B6" i="66" s="1"/>
  <c r="D6" i="66" l="1"/>
  <c r="C6" i="66"/>
  <c r="G5" i="81"/>
  <c r="F5" i="81"/>
  <c r="J5" i="81" l="1"/>
  <c r="J17" i="81" s="1"/>
  <c r="I15" i="66" s="1"/>
  <c r="B8" i="66" s="1"/>
  <c r="C8" i="66" l="1"/>
  <c r="D8" i="66"/>
  <c r="F15" i="66"/>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<sst xmlns="http://schemas.openxmlformats.org/spreadsheetml/2006/main" count="9277" uniqueCount="3558">
  <si>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</si>
  <si>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</si>
  <si>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</si>
  <si>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</si>
  <si>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</si>
  <si>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</si>
  <si>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</si>
  <si>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</si>
  <si>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</si>
  <si>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</si>
  <si>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</si>
  <si>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</si>
  <si>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</si>
  <si>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</si>
  <si>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</si>
  <si>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</si>
  <si>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</si>
  <si>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</si>
  <si>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</si>
  <si>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</si>
  <si>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</si>
  <si>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</si>
  <si>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</si>
  <si>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</si>
  <si>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</si>
  <si>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</si>
  <si>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</si>
  <si>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</si>
  <si>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</si>
  <si>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</si>
  <si>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</si>
  <si>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</si>
  <si>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</si>
  <si>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</si>
  <si>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</si>
  <si>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</si>
  <si>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</si>
  <si>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</si>
  <si>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</si>
  <si>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</si>
  <si>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</si>
  <si>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</si>
  <si>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</si>
  <si>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</si>
  <si>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</si>
  <si>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</si>
  <si>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</si>
  <si>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</si>
  <si>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</si>
  <si>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</si>
  <si>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</si>
  <si>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</si>
  <si>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</si>
  <si>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</si>
  <si>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</si>
  <si>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</si>
  <si>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</si>
  <si>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</si>
  <si>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</si>
  <si>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</si>
  <si>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</si>
  <si>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</si>
  <si>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</si>
  <si>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</si>
  <si>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</si>
  <si>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</si>
  <si>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</si>
  <si>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</si>
  <si>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</si>
  <si>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</si>
  <si>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</si>
  <si>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</si>
  <si>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</si>
  <si>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</si>
  <si>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</si>
  <si>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</si>
  <si>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</si>
  <si>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</si>
  <si>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</si>
  <si>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</si>
  <si>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</si>
  <si>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</si>
  <si>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</si>
  <si>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</si>
  <si>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</si>
  <si>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</si>
  <si>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</si>
  <si>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</si>
  <si>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</si>
  <si>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</si>
  <si>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</si>
  <si>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</si>
  <si>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</si>
  <si>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</si>
  <si>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</si>
  <si>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</si>
  <si>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</si>
  <si>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</si>
  <si>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</si>
  <si>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</si>
  <si>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</si>
  <si>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</si>
  <si>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</si>
  <si>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</si>
  <si>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</si>
  <si>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</si>
  <si>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</si>
  <si>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</si>
  <si>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</si>
  <si>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</si>
  <si>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</si>
  <si>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</si>
  <si>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</si>
  <si>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</si>
  <si>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</si>
  <si>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</si>
  <si>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</si>
  <si>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</si>
  <si>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</si>
  <si>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</si>
  <si>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</si>
  <si>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</si>
  <si>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</si>
  <si>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</si>
  <si>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</si>
  <si>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</si>
  <si>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</si>
  <si>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</si>
  <si>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</si>
  <si>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</si>
  <si>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</si>
  <si>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</si>
  <si>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</si>
  <si>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</si>
  <si>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</si>
  <si>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</si>
  <si>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</si>
  <si>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</si>
  <si>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</si>
  <si>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</si>
  <si>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</si>
  <si>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</si>
  <si>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</si>
  <si>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</si>
  <si>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</si>
  <si>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</si>
  <si>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</si>
  <si>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</si>
  <si>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</si>
  <si>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</si>
  <si>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</si>
  <si>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</si>
  <si>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</si>
  <si>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</si>
  <si>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</si>
  <si>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</si>
  <si>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</si>
  <si>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</si>
  <si>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</si>
  <si>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</si>
  <si>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</si>
  <si>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</si>
  <si>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</si>
  <si>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</si>
  <si>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</si>
  <si>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</si>
  <si>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</si>
  <si>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</si>
  <si>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</si>
  <si>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</si>
  <si>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</si>
  <si>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</si>
  <si>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</si>
  <si>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</si>
  <si>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</si>
  <si>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</si>
  <si>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</si>
  <si>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</si>
  <si>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</si>
  <si>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</si>
  <si>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</si>
  <si>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</si>
  <si>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</si>
  <si>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</si>
  <si>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</si>
  <si>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</si>
  <si>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</si>
  <si>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</si>
  <si>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</si>
  <si>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</si>
  <si>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</si>
  <si>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</si>
  <si>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</si>
  <si>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</si>
  <si>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</si>
  <si>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</si>
  <si>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</si>
  <si>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</si>
  <si>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</si>
  <si>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</si>
  <si>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</si>
  <si>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</si>
  <si>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</si>
  <si>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</si>
  <si>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</si>
  <si>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</si>
  <si>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</si>
  <si>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</si>
  <si>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</si>
  <si>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</si>
  <si>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</si>
  <si>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</si>
  <si>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</si>
  <si>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</si>
  <si>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</si>
  <si>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</si>
  <si>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</si>
  <si>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</si>
  <si>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</si>
  <si>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</si>
  <si>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</si>
  <si>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</si>
  <si>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</si>
  <si>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</si>
  <si>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</si>
  <si>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</si>
  <si>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</si>
  <si>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</si>
  <si>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</si>
  <si>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</si>
  <si>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</si>
  <si>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</si>
  <si>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</si>
  <si>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</si>
  <si>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</si>
  <si>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</si>
  <si>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</si>
  <si>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</si>
  <si>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</si>
  <si>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</si>
  <si>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</si>
  <si>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</si>
  <si>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</si>
  <si>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</si>
  <si>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</si>
  <si>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</si>
  <si>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</si>
  <si>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</si>
  <si>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</si>
  <si>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</si>
  <si>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</si>
  <si>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</si>
  <si>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</si>
  <si>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</si>
  <si>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</si>
  <si>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</si>
  <si>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</si>
  <si>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</si>
  <si>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</si>
  <si>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</si>
  <si>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</si>
  <si>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</si>
  <si>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</si>
  <si>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</si>
  <si>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</si>
  <si>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</si>
  <si>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</si>
  <si>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</si>
  <si>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</si>
  <si>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</si>
  <si>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</si>
  <si>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</si>
  <si>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</si>
  <si>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</si>
  <si>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</si>
  <si>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</si>
  <si>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</si>
  <si>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</si>
  <si>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</si>
  <si>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</si>
  <si>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</si>
  <si>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</si>
  <si>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</si>
  <si>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</si>
  <si>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</si>
  <si>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</si>
  <si>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</si>
  <si>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</si>
  <si>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</si>
  <si>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</si>
  <si>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</si>
  <si>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</si>
  <si>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</si>
  <si>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</si>
  <si>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</si>
  <si>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</si>
  <si>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</si>
  <si>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</si>
  <si>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</si>
  <si>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</si>
  <si>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</si>
  <si>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</si>
  <si>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</si>
  <si>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</si>
  <si>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</si>
  <si>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</si>
  <si>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</si>
  <si>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</si>
  <si>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</si>
  <si>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</si>
  <si>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</si>
  <si>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</si>
  <si>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</si>
  <si>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</si>
  <si>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</si>
  <si>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</si>
  <si>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</si>
  <si>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</si>
  <si>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</si>
  <si>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</si>
  <si>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</si>
  <si>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</si>
  <si>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</si>
  <si>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</si>
  <si>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</si>
  <si>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</si>
  <si>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</si>
  <si>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</si>
  <si>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</si>
  <si>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</si>
  <si>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</si>
  <si>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</si>
  <si>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</si>
  <si>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</si>
  <si>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</si>
  <si>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</si>
  <si>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</si>
  <si>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</si>
  <si>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</si>
  <si>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</si>
  <si>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</si>
  <si>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</si>
  <si>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</si>
  <si>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</si>
  <si>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</si>
  <si>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</si>
  <si>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</si>
  <si>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</si>
  <si>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</si>
  <si>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</si>
  <si>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</si>
  <si>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</si>
  <si>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</si>
  <si>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</si>
  <si>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</si>
  <si>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</si>
  <si>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</si>
  <si>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</si>
  <si>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</si>
  <si>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</si>
  <si>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</si>
  <si>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</si>
  <si>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</si>
  <si>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</si>
  <si>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</si>
  <si>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</si>
  <si>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</si>
  <si>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</si>
  <si>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</si>
  <si>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</si>
  <si>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</si>
  <si>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</si>
  <si>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</si>
  <si>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</si>
  <si>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</si>
  <si>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</si>
  <si>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</si>
  <si>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</si>
  <si>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</si>
  <si>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</si>
  <si>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</si>
  <si>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</si>
  <si>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</si>
  <si>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</si>
  <si>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</si>
  <si>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</si>
  <si>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</si>
  <si>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</si>
  <si>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</si>
  <si>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</si>
  <si>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</si>
  <si>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</si>
  <si>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</si>
  <si>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</si>
  <si>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</si>
  <si>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</si>
  <si>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</si>
  <si>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</si>
  <si>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</si>
  <si>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</si>
  <si>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</si>
  <si>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</si>
  <si>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</si>
  <si>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</si>
  <si>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</si>
  <si>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</si>
  <si>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</si>
  <si>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</si>
  <si>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</si>
  <si>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</si>
  <si>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</si>
  <si>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</si>
  <si>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</si>
  <si>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</si>
  <si>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</si>
  <si>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</si>
  <si>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</si>
  <si>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</si>
  <si>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</si>
  <si>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</si>
  <si>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</si>
  <si>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</si>
  <si>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</si>
  <si>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</si>
  <si>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</si>
  <si>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</si>
  <si>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</si>
  <si>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</si>
  <si>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</si>
  <si>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</si>
  <si>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</si>
  <si>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</si>
  <si>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</si>
  <si>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</si>
  <si>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</si>
  <si>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</si>
  <si>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</si>
  <si>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</si>
  <si>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</si>
  <si>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</si>
  <si>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</si>
  <si>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</si>
  <si>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</si>
  <si>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</si>
  <si>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</si>
  <si>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</si>
  <si>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</si>
  <si>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</si>
  <si>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</si>
  <si>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</si>
  <si>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</si>
  <si>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</si>
  <si>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</si>
  <si>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</si>
  <si>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</si>
  <si>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</si>
  <si>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</si>
  <si>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</si>
  <si>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</si>
  <si>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</si>
  <si>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</si>
  <si>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</si>
  <si>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</si>
  <si>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</si>
  <si>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</si>
  <si>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</si>
  <si>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</si>
  <si>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</si>
  <si>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</si>
  <si>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</si>
  <si>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</si>
  <si>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</si>
  <si>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</si>
  <si>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</si>
  <si>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</si>
  <si>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</si>
  <si>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</si>
  <si>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</si>
  <si>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</si>
  <si>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</si>
  <si>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</si>
  <si>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</si>
  <si>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</si>
  <si>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</si>
  <si>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</si>
  <si>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</si>
  <si>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</si>
  <si>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</si>
  <si>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</si>
  <si>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</si>
  <si>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</si>
  <si>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</si>
  <si>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</si>
  <si>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</si>
  <si>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</si>
  <si>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</si>
  <si>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</si>
  <si>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</si>
  <si>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</si>
  <si>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</si>
  <si>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</si>
  <si>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</si>
  <si>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</si>
  <si>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</si>
  <si>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</si>
  <si>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</si>
  <si>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</si>
  <si>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</si>
  <si>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</si>
  <si>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</si>
  <si>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</si>
  <si>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</si>
  <si>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</si>
  <si>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</si>
  <si>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</si>
  <si>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</si>
  <si>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</si>
  <si>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</si>
  <si>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</si>
  <si>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</si>
  <si>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</si>
  <si>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</si>
  <si>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</si>
  <si>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</si>
  <si>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</si>
  <si>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</si>
  <si>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</si>
  <si>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</si>
  <si>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</si>
  <si>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</si>
  <si>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</si>
  <si>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</si>
  <si>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</si>
  <si>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</si>
  <si>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</si>
  <si>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</si>
  <si>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</si>
  <si>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</si>
  <si>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</si>
  <si>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</si>
  <si>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</si>
  <si>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</si>
  <si>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</si>
  <si>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</si>
  <si>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</si>
  <si>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</si>
  <si>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</si>
  <si>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</si>
  <si>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</si>
  <si>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</si>
  <si>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</si>
  <si>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</si>
  <si>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</si>
  <si>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</si>
  <si>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</si>
  <si>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</si>
  <si>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</si>
  <si>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</si>
  <si>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</si>
  <si>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</si>
  <si>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</si>
  <si>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</si>
  <si>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</si>
  <si>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</si>
  <si>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</si>
  <si>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</si>
  <si>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</si>
  <si>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</si>
  <si>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</si>
  <si>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</si>
  <si>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</si>
  <si>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</si>
  <si>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</si>
  <si>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</si>
  <si>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</si>
  <si>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</si>
  <si>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</si>
  <si>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</si>
  <si>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</si>
  <si>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</si>
  <si>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</si>
  <si>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</si>
  <si>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</si>
  <si>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</si>
  <si>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</si>
  <si>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</si>
  <si>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</si>
  <si>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</si>
  <si>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</si>
  <si>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</si>
  <si>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</si>
  <si>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</si>
  <si>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</si>
  <si>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</si>
  <si>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</si>
  <si>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</si>
  <si>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</si>
  <si>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</si>
  <si>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</si>
  <si>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</si>
  <si>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</si>
  <si>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</si>
  <si>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</si>
  <si>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</si>
  <si>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</si>
  <si>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</si>
  <si>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</si>
  <si>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</si>
  <si>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</si>
  <si>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</si>
  <si>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</si>
  <si>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</si>
  <si>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</si>
  <si>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</si>
  <si>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</si>
  <si>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</si>
  <si>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</si>
  <si>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</si>
  <si>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</si>
  <si>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</si>
  <si>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</si>
  <si>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</si>
  <si>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</si>
  <si>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</si>
  <si>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</si>
  <si>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</si>
  <si>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</si>
  <si>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</si>
  <si>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</si>
  <si>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</si>
  <si>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</si>
  <si>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</si>
  <si>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</si>
  <si>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</si>
  <si>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</si>
  <si>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</si>
  <si>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</si>
  <si>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</si>
  <si>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</si>
  <si>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</si>
  <si>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</si>
  <si>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</si>
  <si>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</si>
  <si>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</si>
  <si>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</si>
  <si>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</si>
  <si>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</si>
  <si>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</si>
  <si>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</si>
  <si>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</si>
  <si>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</si>
  <si>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</si>
  <si>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</si>
  <si>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</si>
  <si>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</si>
  <si>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</si>
  <si>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</si>
  <si>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</si>
  <si>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</si>
  <si>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</si>
  <si>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</si>
  <si>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</si>
  <si>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</si>
  <si>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</si>
  <si>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</si>
  <si>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</si>
  <si>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</si>
  <si>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</si>
  <si>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</si>
  <si>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</si>
  <si>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</si>
  <si>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</si>
  <si>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</si>
  <si>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</si>
  <si>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</si>
  <si>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</si>
  <si>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</si>
  <si>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</si>
  <si>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</si>
  <si>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</si>
  <si>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</si>
  <si>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</si>
  <si>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</si>
  <si>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</si>
  <si>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</si>
  <si>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</si>
  <si>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</si>
  <si>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</si>
  <si>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</si>
  <si>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</si>
  <si>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</si>
  <si>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</si>
  <si>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</si>
  <si>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</si>
  <si>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</si>
  <si>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</si>
  <si>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</si>
  <si>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</si>
  <si>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</si>
  <si>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</si>
  <si>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</si>
  <si>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</si>
  <si>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</si>
  <si>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</si>
  <si>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</si>
  <si>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</si>
  <si>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</si>
  <si>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</si>
  <si>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</si>
  <si>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</si>
  <si>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</si>
  <si>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</si>
  <si>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</si>
  <si>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</si>
  <si>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</si>
  <si>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</si>
  <si>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</si>
  <si>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</si>
  <si>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</si>
  <si>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</si>
  <si>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</si>
  <si>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</si>
  <si>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</si>
  <si>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</si>
  <si>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</si>
  <si>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</si>
  <si>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</si>
  <si>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</si>
  <si>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</si>
  <si>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</si>
  <si>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</si>
  <si>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</si>
  <si>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</si>
  <si>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</si>
  <si>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</si>
  <si>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</si>
  <si>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</si>
  <si>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</si>
  <si>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</si>
  <si>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</si>
  <si>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</si>
  <si>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</si>
  <si>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</si>
  <si>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</si>
  <si>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</si>
  <si>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</si>
  <si>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</si>
  <si>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</si>
  <si>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</si>
  <si>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</si>
  <si>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</si>
  <si>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</si>
  <si>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</si>
  <si>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</si>
  <si>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</si>
  <si>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</si>
  <si>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</si>
  <si>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</si>
  <si>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</si>
  <si>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</si>
  <si>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</si>
  <si>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</si>
  <si>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</si>
  <si>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</si>
  <si>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</si>
  <si>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</si>
  <si>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</si>
  <si>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</si>
  <si>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</si>
  <si>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</si>
  <si>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</si>
  <si>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</si>
  <si>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</si>
  <si>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</si>
  <si>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</si>
  <si>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</si>
  <si>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</si>
  <si>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</si>
  <si>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</si>
  <si>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</si>
  <si>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</si>
  <si>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</si>
  <si>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</si>
  <si>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</si>
  <si>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</si>
  <si>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</si>
  <si>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</si>
  <si>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</si>
  <si>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</si>
  <si>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</si>
  <si>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</si>
  <si>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</si>
  <si>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</si>
  <si>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</si>
  <si>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</si>
  <si>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</si>
  <si>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</si>
  <si>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</si>
  <si>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</si>
  <si>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</si>
  <si>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</si>
  <si>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</si>
  <si>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</si>
  <si>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</si>
  <si>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</si>
  <si>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</si>
  <si>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</si>
  <si>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</si>
  <si>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</si>
  <si>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</si>
  <si>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</si>
  <si>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</si>
  <si>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</si>
  <si>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</si>
  <si>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</si>
  <si>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</si>
  <si>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</si>
  <si>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</si>
  <si>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</si>
  <si>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</si>
  <si>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</si>
  <si>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</si>
  <si>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</si>
  <si>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</si>
  <si>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</si>
  <si>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</si>
  <si>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</si>
  <si>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</si>
  <si>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</si>
  <si>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</si>
  <si>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</si>
  <si>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</si>
  <si>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</si>
  <si>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</si>
  <si>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</si>
  <si>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</si>
  <si>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</si>
  <si>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</si>
  <si>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</si>
  <si>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</si>
  <si>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</si>
  <si>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</si>
  <si>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</si>
  <si>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</si>
  <si>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</si>
  <si>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</si>
  <si>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</si>
  <si>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</si>
  <si>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</si>
  <si>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</si>
  <si>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</si>
  <si>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</si>
  <si>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</si>
  <si>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</si>
  <si>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</si>
  <si>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</si>
  <si>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</si>
  <si>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</si>
  <si>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</si>
  <si>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</si>
  <si>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</si>
  <si>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</si>
  <si>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</si>
  <si>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</si>
  <si>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</si>
  <si>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</si>
  <si>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</si>
  <si>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</si>
  <si>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</si>
  <si>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</si>
  <si>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</si>
  <si>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</si>
  <si>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</si>
  <si>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</si>
  <si>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</si>
  <si>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</si>
  <si>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</si>
  <si>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</si>
  <si>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</si>
  <si>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</si>
  <si>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</si>
  <si>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</si>
  <si>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</si>
  <si>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</si>
  <si>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</si>
  <si>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</si>
  <si>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</si>
  <si>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</si>
  <si>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</si>
  <si>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</si>
  <si>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</si>
  <si>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</si>
  <si>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</si>
  <si>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</si>
  <si>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</si>
  <si>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</si>
  <si>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</si>
  <si>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</si>
  <si>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</si>
  <si>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</si>
  <si>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</si>
  <si>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</si>
  <si>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</si>
  <si>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</si>
  <si>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</si>
  <si>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</si>
  <si>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</si>
  <si>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</si>
  <si>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</si>
  <si>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</si>
  <si>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</si>
  <si>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</si>
  <si>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</si>
  <si>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</si>
  <si>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</si>
  <si>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</si>
  <si>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</si>
  <si>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</si>
  <si>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</si>
  <si>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</si>
  <si>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</si>
  <si>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</si>
  <si>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</si>
  <si>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</si>
  <si>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</si>
  <si>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</si>
  <si>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</si>
  <si>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</si>
  <si>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</si>
  <si>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</si>
  <si>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</si>
  <si>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</si>
  <si>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</si>
  <si>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</si>
  <si>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</si>
  <si>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</si>
  <si>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</si>
  <si>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</si>
  <si>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</si>
  <si>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</si>
  <si>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</si>
  <si>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</si>
  <si>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</si>
  <si>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</si>
  <si>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</si>
  <si>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</si>
  <si>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</si>
  <si>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</si>
  <si>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</si>
  <si>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</si>
  <si>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</si>
  <si>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</si>
  <si>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</si>
  <si>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</si>
  <si>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</si>
  <si>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</si>
  <si>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</si>
  <si>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</si>
  <si>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</si>
  <si>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</si>
  <si>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</si>
  <si>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</si>
  <si>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</si>
  <si>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</si>
  <si>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</si>
  <si>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</si>
  <si>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</si>
  <si>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</si>
  <si>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</si>
  <si>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</si>
  <si>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</si>
  <si>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</si>
  <si>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</si>
  <si>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</si>
  <si>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</si>
  <si>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</si>
  <si>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</si>
  <si>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</si>
  <si>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</si>
  <si>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</si>
  <si>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</si>
  <si>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</si>
  <si>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</si>
  <si>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</si>
  <si>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</si>
  <si>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</si>
  <si>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</si>
  <si>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</si>
  <si>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</si>
  <si>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</si>
  <si>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</si>
  <si>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</si>
  <si>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</si>
  <si>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</si>
  <si>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</si>
  <si>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</si>
  <si>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</si>
  <si>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</si>
  <si>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</si>
  <si>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</si>
  <si>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</si>
  <si>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</si>
  <si>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</si>
  <si>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</si>
  <si>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</si>
  <si>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</si>
  <si>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</si>
  <si>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</si>
  <si>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</si>
  <si>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</si>
  <si>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</si>
  <si>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</si>
  <si>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</si>
  <si>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</si>
  <si>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</si>
  <si>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</si>
  <si>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</si>
  <si>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</si>
  <si>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</si>
  <si>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</si>
  <si>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</si>
  <si>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</si>
  <si>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</si>
  <si>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</si>
  <si>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</si>
  <si>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</si>
  <si>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</si>
  <si>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</si>
  <si>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</si>
  <si>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</si>
  <si>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</si>
  <si>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</si>
  <si>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</si>
  <si>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</si>
  <si>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</si>
  <si>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</si>
  <si>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</si>
  <si>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</si>
  <si>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</si>
  <si>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</si>
  <si>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</si>
  <si>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</si>
  <si>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</si>
  <si>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</si>
  <si>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</si>
  <si>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</si>
  <si>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</si>
  <si>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</si>
  <si>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</si>
  <si>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</si>
  <si>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</si>
  <si>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</si>
  <si>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</si>
  <si>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</si>
  <si>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</si>
  <si>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</si>
  <si>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</si>
  <si>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</si>
  <si>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</si>
  <si>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</si>
  <si>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</si>
  <si>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</si>
  <si>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</si>
  <si>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</si>
  <si>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</si>
  <si>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</si>
  <si>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</si>
  <si>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</si>
  <si>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</si>
  <si>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</si>
  <si>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</si>
  <si>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</si>
  <si>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</si>
  <si>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</si>
  <si>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</si>
  <si>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</si>
  <si>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</si>
  <si>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</si>
  <si>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</si>
  <si>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</si>
  <si>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</si>
  <si>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</si>
  <si>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</si>
  <si>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</si>
  <si>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</si>
  <si>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</si>
  <si>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</si>
  <si>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</si>
  <si>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</si>
  <si>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</si>
  <si>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</si>
  <si>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</si>
  <si>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</si>
  <si>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</si>
  <si>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</si>
  <si>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</si>
  <si>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</si>
  <si>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</si>
  <si>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</si>
  <si>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</si>
  <si>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</si>
  <si>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</si>
  <si>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</si>
  <si>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</si>
  <si>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</si>
  <si>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</si>
  <si>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</si>
  <si>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</si>
  <si>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</si>
  <si>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</si>
  <si>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</si>
  <si>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</si>
  <si>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</si>
  <si>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</si>
  <si>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</si>
  <si>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</si>
  <si>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</si>
  <si>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</si>
  <si>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</si>
  <si>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</si>
  <si>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</si>
  <si>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</si>
  <si>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</si>
  <si>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</si>
  <si>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</si>
  <si>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</si>
  <si>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</si>
  <si>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</si>
  <si>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</si>
  <si>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</si>
  <si>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</si>
  <si>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</si>
  <si>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</si>
  <si>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</si>
  <si>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</si>
  <si>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</si>
  <si>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</si>
  <si>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</si>
  <si>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</si>
  <si>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</si>
  <si>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</si>
  <si>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</si>
  <si>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</si>
  <si>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</si>
  <si>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</si>
  <si>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</si>
  <si>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</si>
  <si>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</si>
  <si>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</si>
  <si>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</si>
  <si>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</si>
  <si>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</si>
  <si>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</si>
  <si>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</si>
  <si>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</si>
  <si>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</si>
  <si>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</si>
  <si>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</si>
  <si>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</si>
  <si>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</si>
  <si>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</si>
  <si>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</si>
  <si>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</si>
  <si>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</si>
  <si>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</si>
  <si>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</si>
  <si>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</si>
  <si>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</si>
  <si>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</si>
  <si>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</si>
  <si>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</si>
  <si>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</si>
  <si>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</si>
  <si>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</si>
  <si>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</si>
  <si>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</si>
  <si>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</si>
  <si>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</si>
  <si>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</si>
  <si>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</si>
  <si>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</si>
  <si>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</si>
  <si>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</si>
  <si>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</si>
  <si>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</si>
  <si>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</si>
  <si>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</si>
  <si>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</si>
  <si>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</si>
  <si>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</si>
  <si>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</si>
  <si>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</si>
  <si>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</si>
  <si>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</si>
  <si>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</si>
  <si>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</si>
  <si>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</si>
  <si>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</si>
  <si>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</si>
  <si>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</si>
  <si>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</si>
  <si>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</si>
  <si>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</si>
  <si>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</si>
  <si>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</si>
  <si>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</si>
  <si>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</si>
  <si>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</si>
  <si>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</si>
  <si>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</si>
  <si>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</si>
  <si>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</si>
  <si>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</si>
  <si>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</si>
  <si>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</si>
  <si>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</si>
  <si>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</si>
  <si>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</si>
  <si>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</si>
  <si>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</si>
  <si>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</si>
  <si>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</si>
  <si>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</si>
  <si>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</si>
  <si>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</si>
  <si>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</si>
  <si>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</si>
  <si>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</si>
  <si>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</si>
  <si>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</si>
  <si>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</si>
  <si>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</si>
  <si>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</si>
  <si>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</si>
  <si>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</si>
  <si>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</si>
  <si>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</si>
  <si>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</si>
  <si>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</si>
  <si>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</si>
  <si>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</si>
  <si>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</si>
  <si>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</si>
  <si>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</si>
  <si>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</si>
  <si>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</si>
  <si>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</si>
  <si>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</si>
  <si>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</si>
  <si>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</si>
  <si>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</si>
  <si>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</si>
  <si>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</si>
  <si>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</si>
  <si>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</si>
  <si>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</si>
  <si>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</si>
  <si>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</si>
  <si>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</si>
  <si>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</si>
  <si>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</si>
  <si>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</si>
  <si>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</si>
  <si>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</si>
  <si>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</si>
  <si>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</si>
  <si>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</si>
  <si>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</si>
  <si>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</si>
  <si>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</si>
  <si>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</si>
  <si>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</si>
  <si>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</si>
  <si>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</si>
  <si>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</si>
  <si>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</si>
  <si>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</si>
  <si>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</si>
  <si>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</si>
  <si>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</si>
  <si>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</si>
  <si>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</si>
  <si>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</si>
  <si>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</si>
  <si>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</si>
  <si>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</si>
  <si>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</si>
  <si>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</si>
  <si>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</si>
  <si>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</si>
  <si>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</si>
  <si>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</si>
  <si>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</si>
  <si>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</si>
  <si>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</si>
  <si>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</si>
  <si>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</si>
  <si>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</si>
  <si>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</si>
  <si>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</si>
  <si>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</si>
  <si>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</si>
  <si>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</si>
  <si>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</si>
  <si>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</si>
  <si>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</si>
  <si>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</si>
  <si>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</si>
  <si>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</si>
  <si>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</si>
  <si>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</si>
  <si>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</si>
  <si>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</si>
  <si>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</si>
  <si>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</si>
  <si>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</si>
  <si>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</si>
  <si>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</si>
  <si>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</si>
  <si>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</si>
  <si>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</si>
  <si>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</si>
  <si>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</si>
  <si>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</si>
  <si>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</si>
  <si>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</si>
  <si>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</si>
  <si>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</si>
  <si>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</si>
  <si>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</si>
  <si>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</si>
  <si>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</si>
  <si>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</si>
  <si>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</si>
  <si>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</si>
  <si>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</si>
  <si>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</si>
  <si>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</si>
  <si>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</si>
  <si>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</si>
  <si>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</si>
  <si>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</si>
  <si>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</si>
  <si>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</si>
  <si>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</si>
  <si>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</si>
  <si>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</si>
  <si>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</si>
  <si>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</si>
  <si>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</si>
  <si>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</si>
  <si>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</si>
  <si>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</si>
  <si>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</si>
  <si>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</si>
  <si>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</si>
  <si>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</si>
  <si>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</si>
  <si>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</si>
  <si>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</si>
  <si>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</si>
  <si>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</si>
  <si>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</si>
  <si>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</si>
  <si>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</si>
  <si>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</si>
  <si>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</si>
  <si>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</si>
  <si>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</si>
  <si>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</si>
  <si>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</si>
  <si>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</si>
  <si>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</si>
  <si>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</si>
  <si>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</si>
  <si>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</si>
  <si>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</si>
  <si>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</si>
  <si>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</si>
  <si>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</si>
  <si>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</si>
  <si>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</si>
  <si>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</si>
  <si>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</si>
  <si>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</si>
  <si>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</si>
  <si>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</si>
  <si>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</si>
  <si>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</si>
  <si>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</si>
  <si>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</si>
  <si>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</si>
  <si>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</si>
  <si>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</si>
  <si>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</si>
  <si>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</si>
  <si>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</si>
  <si>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</si>
  <si>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</si>
  <si>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</si>
  <si>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</si>
  <si>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</si>
  <si>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</si>
  <si>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</si>
  <si>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</si>
  <si>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</si>
  <si>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</si>
  <si>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</si>
  <si>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</si>
  <si>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</si>
  <si>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</si>
  <si>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</si>
  <si>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</si>
  <si>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</si>
  <si>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</si>
  <si>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</si>
  <si>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</si>
  <si>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</si>
  <si>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</si>
  <si>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</si>
  <si>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</si>
  <si>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</si>
  <si>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</si>
  <si>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</si>
  <si>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</si>
  <si>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</si>
  <si>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</si>
  <si>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</si>
  <si>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</si>
  <si>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</si>
  <si>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</si>
  <si>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</si>
  <si>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</si>
  <si>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</si>
  <si>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</si>
  <si>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</si>
  <si>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</si>
  <si>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</si>
  <si>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</si>
  <si>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</si>
  <si>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</si>
  <si>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</si>
  <si>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</si>
  <si>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</si>
  <si>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</si>
  <si>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</si>
  <si>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</si>
  <si>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</si>
  <si>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</si>
  <si>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</si>
  <si>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</si>
  <si>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</si>
  <si>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</si>
  <si>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</si>
  <si>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</si>
  <si>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</si>
  <si>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</si>
  <si>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</si>
  <si>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</si>
  <si>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</si>
  <si>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</si>
  <si>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</si>
  <si>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</si>
  <si>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</si>
  <si>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</si>
  <si>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</si>
  <si>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</si>
  <si>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</si>
  <si>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</si>
  <si>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</si>
  <si>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</si>
  <si>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</si>
  <si>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</si>
  <si>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</si>
  <si>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</si>
  <si>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</si>
  <si>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</si>
  <si>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</si>
  <si>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</si>
  <si>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</si>
  <si>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</si>
  <si>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</si>
  <si>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</si>
  <si>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</si>
  <si>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</si>
  <si>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</si>
  <si>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</si>
  <si>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</si>
  <si>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</si>
  <si>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</si>
  <si>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</si>
  <si>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</si>
  <si>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</si>
  <si>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</si>
  <si>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</si>
  <si>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</si>
  <si>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</si>
  <si>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</si>
  <si>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</si>
  <si>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</si>
  <si>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</si>
  <si>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</si>
  <si>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</si>
  <si>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</si>
  <si>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</si>
  <si>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</si>
  <si>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</si>
  <si>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</si>
  <si>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</si>
  <si>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</si>
  <si>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</si>
  <si>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</si>
  <si>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</si>
  <si>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</si>
  <si>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</si>
  <si>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</si>
  <si>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</si>
  <si>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</si>
  <si>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</si>
  <si>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</si>
  <si>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</si>
  <si>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</si>
  <si>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</si>
  <si>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</si>
  <si>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</si>
  <si>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</si>
  <si>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</si>
  <si>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</si>
  <si>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</si>
  <si>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</si>
  <si>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</si>
  <si>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</si>
  <si>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</si>
  <si>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</si>
  <si>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</si>
  <si>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</si>
  <si>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</si>
  <si>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</si>
  <si>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</si>
  <si>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</si>
  <si>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</si>
  <si>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</si>
  <si>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</si>
  <si>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</si>
  <si>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</si>
  <si>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</si>
  <si>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</si>
  <si>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</si>
  <si>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</si>
  <si>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</si>
  <si>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</si>
  <si>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</si>
  <si>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</si>
  <si>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</si>
  <si>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</si>
  <si>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</si>
  <si>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</si>
  <si>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</si>
  <si>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</si>
  <si>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</si>
  <si>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</si>
  <si>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</si>
  <si>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</si>
  <si>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</si>
  <si>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</si>
  <si>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</si>
  <si>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</si>
  <si>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</si>
  <si>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</si>
  <si>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</si>
  <si>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</si>
  <si>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</si>
  <si>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</si>
  <si>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</si>
  <si>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</si>
  <si>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</si>
  <si>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</si>
  <si>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</si>
  <si>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</si>
  <si>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</si>
  <si>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</si>
  <si>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</si>
  <si>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</si>
  <si>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</si>
  <si>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</si>
  <si>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</si>
  <si>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</si>
  <si>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</si>
  <si>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</si>
  <si>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</si>
  <si>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</si>
  <si>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</si>
  <si>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</si>
  <si>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</si>
  <si>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</si>
  <si>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</si>
  <si>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</si>
  <si>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</si>
  <si>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</si>
  <si>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</si>
  <si>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</si>
  <si>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</si>
  <si>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</si>
  <si>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</si>
  <si>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</si>
  <si>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</si>
  <si>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</si>
  <si>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</si>
  <si>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</si>
  <si>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</si>
  <si>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</si>
  <si>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</si>
  <si>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</si>
  <si>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</si>
  <si>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</si>
  <si>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</si>
  <si>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</si>
  <si>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</si>
  <si>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</si>
  <si>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</si>
  <si>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</si>
  <si>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</si>
  <si>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</si>
  <si>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</si>
  <si>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</si>
  <si>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</si>
  <si>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</si>
  <si>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</si>
  <si>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</si>
  <si>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</si>
  <si>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</si>
  <si>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</si>
  <si>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</si>
  <si>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</si>
  <si>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</si>
  <si>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</si>
  <si>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</si>
  <si>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</si>
  <si>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</si>
  <si>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</si>
  <si>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</si>
  <si>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</si>
  <si>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</si>
  <si>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</si>
  <si>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</si>
  <si>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</si>
  <si>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</si>
  <si>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</si>
  <si>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</si>
  <si>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</si>
  <si>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</si>
  <si>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</si>
  <si>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</si>
  <si>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</si>
  <si>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</si>
  <si>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</si>
  <si>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</si>
  <si>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</si>
  <si>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</si>
  <si>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</si>
  <si>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</si>
  <si>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</si>
  <si>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</si>
  <si>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</si>
  <si>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</si>
  <si>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</si>
  <si>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</si>
  <si>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</si>
  <si>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</si>
  <si>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</si>
  <si>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</si>
  <si>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</si>
  <si>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</si>
  <si>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</si>
  <si>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</si>
  <si>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</si>
  <si>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</si>
  <si>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</si>
  <si>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</si>
  <si>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</si>
  <si>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</si>
  <si>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</si>
  <si>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</si>
  <si>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</si>
  <si>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</si>
  <si>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</si>
  <si>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</si>
  <si>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</si>
  <si>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</si>
  <si>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</si>
  <si>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</si>
  <si>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</si>
  <si>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</si>
  <si>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</si>
  <si>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</si>
  <si>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</si>
  <si>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</si>
  <si>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</si>
  <si>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</si>
  <si>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</si>
  <si>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</si>
  <si>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</si>
  <si>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</si>
  <si>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</si>
  <si>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</si>
  <si>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</si>
  <si>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</si>
  <si>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</si>
  <si>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</si>
  <si>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</si>
  <si>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</si>
  <si>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</si>
  <si>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</si>
  <si>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</si>
  <si>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</si>
  <si>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</si>
  <si>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</si>
  <si>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</si>
  <si>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</si>
  <si>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</si>
  <si>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</si>
  <si>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</si>
  <si>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</si>
  <si>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</si>
  <si>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</si>
  <si>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</si>
  <si>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</si>
  <si>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</si>
  <si>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</si>
  <si>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</si>
  <si>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</si>
  <si>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</si>
  <si>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</si>
  <si>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</si>
  <si>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</si>
  <si>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</si>
  <si>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</si>
  <si>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</si>
  <si>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</si>
  <si>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</si>
  <si>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</si>
  <si>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</si>
  <si>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</si>
  <si>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</si>
  <si>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</si>
  <si>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</si>
  <si>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</si>
  <si>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</si>
  <si>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</si>
  <si>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</si>
  <si>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</si>
  <si>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</si>
  <si>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</si>
  <si>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</si>
  <si>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</si>
  <si>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</si>
  <si>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</si>
  <si>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</si>
  <si>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</si>
  <si>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</si>
  <si>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</si>
  <si>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</si>
  <si>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</si>
  <si>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</si>
  <si>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</si>
  <si>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</si>
  <si>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</si>
  <si>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</si>
  <si>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</si>
  <si>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</si>
  <si>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</si>
  <si>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</si>
  <si>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</si>
  <si>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</si>
  <si>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</si>
  <si>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</si>
  <si>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</si>
  <si>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</si>
  <si>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</si>
  <si>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</si>
  <si>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</si>
  <si>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</si>
  <si>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</si>
  <si>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</si>
  <si>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</si>
  <si>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</si>
  <si>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</si>
  <si>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</si>
  <si>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</si>
  <si>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</si>
  <si>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</si>
  <si>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</si>
  <si>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</si>
  <si>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</si>
  <si>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</si>
  <si>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</si>
  <si>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</si>
  <si>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</si>
  <si>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</si>
  <si>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</si>
  <si>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</si>
  <si>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</si>
  <si>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</si>
  <si>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</si>
  <si>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</si>
  <si>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</si>
  <si>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</si>
  <si>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</si>
  <si>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</si>
  <si>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</si>
  <si>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</si>
  <si>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</si>
  <si>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</si>
  <si>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</si>
  <si>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</si>
  <si>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</si>
  <si>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</si>
  <si>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</si>
  <si>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</si>
  <si>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</si>
  <si>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</si>
  <si>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</si>
  <si>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</si>
  <si>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</si>
  <si>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</si>
  <si>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</si>
  <si>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</si>
  <si>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</si>
  <si>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</si>
  <si>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</si>
  <si>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</si>
  <si>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</si>
  <si>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</si>
  <si>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</si>
  <si>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</si>
  <si>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</si>
  <si>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</si>
  <si>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</si>
  <si>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</si>
  <si>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</si>
  <si>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</si>
  <si>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</si>
  <si>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</si>
  <si>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</si>
  <si>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</si>
  <si>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</si>
  <si>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</si>
  <si>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</si>
  <si>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</si>
  <si>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</si>
  <si>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</si>
  <si>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</si>
  <si>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</si>
  <si>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</si>
  <si>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</si>
  <si>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</si>
  <si>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</si>
  <si>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</si>
  <si>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</si>
  <si>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</si>
  <si>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</si>
  <si>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</si>
  <si>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</si>
  <si>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</si>
  <si>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</si>
  <si>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</si>
  <si>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</si>
  <si>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</si>
  <si>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</si>
  <si>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</si>
  <si>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</si>
  <si>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</si>
  <si>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</si>
  <si>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</si>
  <si>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</si>
  <si>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</si>
  <si>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</si>
  <si>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</si>
  <si>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</si>
  <si>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</si>
  <si>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</si>
  <si>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</si>
  <si>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</si>
  <si>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</si>
  <si>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</si>
  <si>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</si>
  <si>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</si>
  <si>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</si>
  <si>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</si>
  <si>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</si>
  <si>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</si>
  <si>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</si>
  <si>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</si>
  <si>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</si>
  <si>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</si>
  <si>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</si>
  <si>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</si>
  <si>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</si>
  <si>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</si>
  <si>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</si>
  <si>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</si>
  <si>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</si>
  <si>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</si>
  <si>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</si>
  <si>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</si>
  <si>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</si>
  <si>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</si>
  <si>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</si>
  <si>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</si>
  <si>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</si>
  <si>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</si>
  <si>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</si>
  <si>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</si>
  <si>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</si>
  <si>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</si>
  <si>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</si>
  <si>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</si>
  <si>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</si>
  <si>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</si>
  <si>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</si>
  <si>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</si>
  <si>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</si>
  <si>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</si>
  <si>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</si>
  <si>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</si>
  <si>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</si>
  <si>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</si>
  <si>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</si>
  <si>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</si>
  <si>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</si>
  <si>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</si>
  <si>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</si>
  <si>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</si>
  <si>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</si>
  <si>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</si>
  <si>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</si>
  <si>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</si>
  <si>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</si>
  <si>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</si>
  <si>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</si>
  <si>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</si>
  <si>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</si>
  <si>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</si>
  <si>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</si>
  <si>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</si>
  <si>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</si>
  <si>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</si>
  <si>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</si>
  <si>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</si>
  <si>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</si>
  <si>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</si>
  <si>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</si>
  <si>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</si>
  <si>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</si>
  <si>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</si>
  <si>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</si>
  <si>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</si>
  <si>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</si>
  <si>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</si>
  <si>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</si>
  <si>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</si>
  <si>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</si>
  <si>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</si>
  <si>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</si>
  <si>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</si>
  <si>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</si>
  <si>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</si>
  <si>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</si>
  <si>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</si>
  <si>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</si>
  <si>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</si>
  <si>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</si>
  <si>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</si>
  <si>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</si>
  <si>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</si>
  <si>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</si>
  <si>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</si>
  <si>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</si>
  <si>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</si>
  <si>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</si>
  <si>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</si>
  <si>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</si>
  <si>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</si>
  <si>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</si>
  <si>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</si>
  <si>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</si>
  <si>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</si>
  <si>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</si>
  <si>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</si>
  <si>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</si>
  <si>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</si>
  <si>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</si>
  <si>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</si>
  <si>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</si>
  <si>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</si>
  <si>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</si>
  <si>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</si>
  <si>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</si>
  <si>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</si>
  <si>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</si>
  <si>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</si>
  <si>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</si>
  <si>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</si>
  <si>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</si>
  <si>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</si>
  <si>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</si>
  <si>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</si>
  <si>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</si>
  <si>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</si>
  <si>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</si>
  <si>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</si>
  <si>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</si>
  <si>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</si>
  <si>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</si>
  <si>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</si>
  <si>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</si>
  <si>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</si>
  <si>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</si>
  <si>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</si>
  <si>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</si>
  <si>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</si>
  <si>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</si>
  <si>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</si>
  <si>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</si>
  <si>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</si>
  <si>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</si>
  <si>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</si>
  <si>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</si>
  <si>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</si>
  <si>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</si>
  <si>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</si>
  <si>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</si>
  <si>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</si>
  <si>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</si>
  <si>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</si>
  <si>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</si>
  <si>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</si>
  <si>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</si>
  <si>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</si>
  <si>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</si>
  <si>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</si>
  <si>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</si>
  <si>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</si>
  <si>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</si>
  <si>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</si>
  <si>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</si>
  <si>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</si>
  <si>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</si>
  <si>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</si>
  <si>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</si>
  <si>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</si>
  <si>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</si>
  <si>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</si>
  <si>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</si>
  <si>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</si>
  <si>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</si>
  <si>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</si>
  <si>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</si>
  <si>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</si>
  <si>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</si>
  <si>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</si>
  <si>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</si>
  <si>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</si>
  <si>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</si>
  <si>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</si>
  <si>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</si>
  <si>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</si>
  <si>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</si>
  <si>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</si>
  <si>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</si>
  <si>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</si>
  <si>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</si>
  <si>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</si>
  <si>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</si>
  <si>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</si>
  <si>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</si>
  <si>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</si>
  <si>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</si>
  <si>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</si>
  <si>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</si>
  <si>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</si>
  <si>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</si>
  <si>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</si>
  <si>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</si>
  <si>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</si>
  <si>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</si>
  <si>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</si>
  <si>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</si>
  <si>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</si>
  <si>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</si>
  <si>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</si>
  <si>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</si>
  <si>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</si>
  <si>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</si>
  <si>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</si>
  <si>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</si>
  <si>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</si>
  <si>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</si>
  <si>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</si>
  <si>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</si>
  <si>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</si>
  <si>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</si>
  <si>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</si>
  <si>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</si>
  <si>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</si>
  <si>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</si>
  <si>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</si>
  <si>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</si>
  <si>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</si>
  <si>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</si>
  <si>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</si>
  <si>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</si>
  <si>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</si>
  <si>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</si>
  <si>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</si>
  <si>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</si>
  <si>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</si>
  <si>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</si>
  <si>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</si>
  <si>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</si>
  <si>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</si>
  <si>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</si>
  <si>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</si>
  <si>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</si>
  <si>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</si>
  <si>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</si>
  <si>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</si>
  <si>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</si>
  <si>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</si>
  <si>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</si>
  <si>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</si>
  <si>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</si>
  <si>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</si>
  <si>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</si>
  <si>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</si>
  <si>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</si>
  <si>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</si>
  <si>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</si>
  <si>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</si>
  <si>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</si>
  <si>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</si>
  <si>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</si>
  <si>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</si>
  <si>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</si>
  <si>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</si>
  <si>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</si>
  <si>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</si>
  <si>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</si>
  <si>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</si>
  <si>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</si>
  <si>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</si>
  <si>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</si>
  <si>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</si>
  <si>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</si>
  <si>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</si>
  <si>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</si>
  <si>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</si>
  <si>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</si>
  <si>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</si>
  <si>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</si>
  <si>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</si>
  <si>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</si>
  <si>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</si>
  <si>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</si>
  <si>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</si>
  <si>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</si>
  <si>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</si>
  <si>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</si>
  <si>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</si>
  <si>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</si>
  <si>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</si>
  <si>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</si>
  <si>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</si>
  <si>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</si>
  <si>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</si>
  <si>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</si>
  <si>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</si>
  <si>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</si>
  <si>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</si>
  <si>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</si>
  <si>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</si>
  <si>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</si>
  <si>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</si>
  <si>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</si>
  <si>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</si>
  <si>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</si>
  <si>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</si>
  <si>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</si>
  <si>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</si>
  <si>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</si>
  <si>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</si>
  <si>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</si>
  <si>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</si>
  <si>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</si>
  <si>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</si>
  <si>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</si>
  <si>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</si>
  <si>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</si>
  <si>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</si>
  <si>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</si>
  <si>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</si>
  <si>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</si>
  <si>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</si>
  <si>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</si>
  <si>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</si>
  <si>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</si>
  <si>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</si>
  <si>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</si>
  <si>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</si>
  <si>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</si>
  <si>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</si>
  <si>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</si>
  <si>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</si>
  <si>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</si>
  <si>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</si>
  <si>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</si>
  <si>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</si>
  <si>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</si>
  <si>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</si>
  <si>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</si>
  <si>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</si>
  <si>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</si>
  <si>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</si>
  <si>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</si>
  <si>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</si>
  <si>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</si>
  <si>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</si>
  <si>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</si>
  <si>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</si>
  <si>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</si>
  <si>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</si>
  <si>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</si>
  <si>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</si>
  <si>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</si>
  <si>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</si>
  <si>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</si>
  <si>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</si>
  <si>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</si>
  <si>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</si>
  <si>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</si>
  <si>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</si>
  <si>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</si>
  <si>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</si>
  <si>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</si>
  <si>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</si>
  <si>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</si>
  <si>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</si>
  <si>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</si>
  <si>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</si>
  <si>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</si>
  <si>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</si>
  <si>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</si>
  <si>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</si>
  <si>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</si>
  <si>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</si>
  <si>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</si>
  <si>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</si>
  <si>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</si>
  <si>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</si>
  <si>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</si>
  <si>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</si>
  <si>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</si>
  <si>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</si>
  <si>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</si>
  <si>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</si>
  <si>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</si>
  <si>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</si>
  <si>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</si>
  <si>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</si>
  <si>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</si>
  <si>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</si>
  <si>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</si>
  <si>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</si>
  <si>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</si>
  <si>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</si>
  <si>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</si>
  <si>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</si>
  <si>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</si>
  <si>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</si>
  <si>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</si>
  <si>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</si>
  <si>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</si>
  <si>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</si>
  <si>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</si>
  <si>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</si>
  <si>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</si>
  <si>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</si>
  <si>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</si>
  <si>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</si>
  <si>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</si>
  <si>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</si>
  <si>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</si>
  <si>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</si>
  <si>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</si>
  <si>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</si>
  <si>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</si>
  <si>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</si>
  <si>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</si>
  <si>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</si>
  <si>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</si>
  <si>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</si>
  <si>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</si>
  <si>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</si>
  <si>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</si>
  <si>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</si>
  <si>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</si>
  <si>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</si>
  <si>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</si>
  <si>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</si>
  <si>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</si>
  <si>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</si>
  <si>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</si>
  <si>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</si>
  <si>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</si>
  <si>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</si>
  <si>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</si>
  <si>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</si>
  <si>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</si>
  <si>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</si>
  <si>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</si>
  <si>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</si>
  <si>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</si>
  <si>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</si>
  <si>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</si>
  <si>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</si>
  <si>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</si>
  <si>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</si>
  <si>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</si>
  <si>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</si>
  <si>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</si>
  <si>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</si>
  <si>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</si>
  <si>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</si>
  <si>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</si>
  <si>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</si>
  <si>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</si>
  <si>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</si>
  <si>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</si>
  <si>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</si>
  <si>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</si>
  <si>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</si>
  <si>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</si>
  <si>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</si>
  <si>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</si>
  <si>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</si>
  <si>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</si>
  <si>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</si>
  <si>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</si>
  <si>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</si>
  <si>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</si>
  <si>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</si>
  <si>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</si>
  <si>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</si>
  <si>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</si>
  <si>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</si>
  <si>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</si>
  <si>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</si>
  <si>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</si>
  <si>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</si>
  <si>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</si>
  <si>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</si>
  <si>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</si>
  <si>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</si>
  <si>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</si>
  <si>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</si>
  <si>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</si>
  <si>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</si>
  <si>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</si>
  <si>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</si>
  <si>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</si>
  <si>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</si>
  <si>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</si>
  <si>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</si>
  <si>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</si>
  <si>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</si>
  <si>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</si>
  <si>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</si>
  <si>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</si>
  <si>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</si>
  <si>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</si>
  <si>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</si>
  <si>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</si>
  <si>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</si>
  <si>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</si>
  <si>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</si>
  <si>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</si>
  <si>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</si>
  <si>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</si>
  <si>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</si>
  <si>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</si>
  <si>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</si>
  <si>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</si>
  <si>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</si>
  <si>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</si>
  <si>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</si>
  <si>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</si>
  <si>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</si>
  <si>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</si>
  <si>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</si>
  <si>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</si>
  <si>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</si>
  <si>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</si>
  <si>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</si>
  <si>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</si>
  <si>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</si>
  <si>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</si>
  <si>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</si>
  <si>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</si>
  <si>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</si>
  <si>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</si>
  <si>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</si>
  <si>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</si>
  <si>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</si>
  <si>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</si>
  <si>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</si>
  <si>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</si>
  <si>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</si>
  <si>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</si>
  <si>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</si>
  <si>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</si>
  <si>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</si>
  <si>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</si>
  <si>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</si>
  <si>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</si>
  <si>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</si>
  <si>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</si>
  <si>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</si>
  <si>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</si>
  <si>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</si>
  <si>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</si>
  <si>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</si>
  <si>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</si>
  <si>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</si>
  <si>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</si>
  <si>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</si>
  <si>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</si>
  <si>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</si>
  <si>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</si>
  <si>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</si>
  <si>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</si>
  <si>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</si>
  <si>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</si>
  <si>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</si>
  <si>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</si>
  <si>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</si>
  <si>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</si>
  <si>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</si>
  <si>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</si>
  <si>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</si>
  <si>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</si>
  <si>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</si>
  <si>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</si>
  <si>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</si>
  <si>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</si>
  <si>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</si>
  <si>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</si>
  <si>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</si>
  <si>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</si>
  <si>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</si>
  <si>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</si>
  <si>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</si>
  <si>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</si>
  <si>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</si>
  <si>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</si>
  <si>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</si>
  <si>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</si>
  <si>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</si>
  <si>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</si>
  <si>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</si>
  <si>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</si>
  <si>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</si>
  <si>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</si>
  <si>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</si>
  <si>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</si>
  <si>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</si>
  <si>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</si>
  <si>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</si>
  <si>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</si>
  <si>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</si>
  <si>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</si>
  <si>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</si>
  <si>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</si>
  <si>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</si>
  <si>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</si>
  <si>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</si>
  <si>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</si>
  <si>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</si>
  <si>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</si>
  <si>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</si>
  <si>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</si>
  <si>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</si>
  <si>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</si>
  <si>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</si>
  <si>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</si>
  <si>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</si>
  <si>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</si>
  <si>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</si>
  <si>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</si>
  <si>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</si>
  <si>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</si>
  <si>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</si>
  <si>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</si>
  <si>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</si>
  <si>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</si>
  <si>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</si>
  <si>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</si>
  <si>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</si>
  <si>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</si>
  <si>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</si>
  <si>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</si>
  <si>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</si>
  <si>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</si>
  <si>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</si>
  <si>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</si>
  <si>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</si>
  <si>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</si>
  <si>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</si>
  <si>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</si>
  <si>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</si>
  <si>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</si>
  <si>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</si>
  <si>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</si>
  <si>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</si>
  <si>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</si>
  <si>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</si>
  <si>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</si>
  <si>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</si>
  <si>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</si>
  <si>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</si>
  <si>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</si>
  <si>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</si>
  <si>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</si>
  <si>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</si>
  <si>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</si>
  <si>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</si>
  <si>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</si>
  <si>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</si>
  <si>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</si>
  <si>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</si>
  <si>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</si>
  <si>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</si>
  <si>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</si>
  <si>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</si>
  <si>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</si>
  <si>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</si>
  <si>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</si>
  <si>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</si>
  <si>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</si>
  <si>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</si>
  <si>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</si>
  <si>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</si>
  <si>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</si>
  <si>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</si>
  <si>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</si>
  <si>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</si>
  <si>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</si>
  <si>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</si>
  <si>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</si>
  <si>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</si>
  <si>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</si>
  <si>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</si>
  <si>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</si>
  <si>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</si>
  <si>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</si>
  <si>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</si>
  <si>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</si>
  <si>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</si>
  <si>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</si>
  <si>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</si>
  <si>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</si>
  <si>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</si>
  <si>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</si>
  <si>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</si>
  <si>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</si>
  <si>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</si>
  <si>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</si>
  <si>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</si>
  <si>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</si>
  <si>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</si>
  <si>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</si>
  <si>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</si>
  <si>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</si>
  <si>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</si>
  <si>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</si>
  <si>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</si>
  <si>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</si>
  <si>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</si>
  <si>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</si>
  <si>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</si>
  <si>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</si>
  <si>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</si>
  <si>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</si>
  <si>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</si>
  <si>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</si>
  <si>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</si>
  <si>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</si>
  <si>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</si>
  <si>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</si>
  <si>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</si>
  <si>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</si>
  <si>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</si>
  <si>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</si>
  <si>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</si>
  <si>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</si>
  <si>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</si>
  <si>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</si>
  <si>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</si>
  <si>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</si>
  <si>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</si>
  <si>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</si>
  <si>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</si>
  <si>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</si>
  <si>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</si>
  <si>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</si>
  <si>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</si>
  <si>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</si>
  <si>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</si>
  <si>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</si>
  <si>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</si>
  <si>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</si>
  <si>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</si>
  <si>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</si>
  <si>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</si>
  <si>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</si>
  <si>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</si>
  <si>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</si>
  <si>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</si>
  <si>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</si>
  <si>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</si>
  <si>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</si>
  <si>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</si>
  <si>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</si>
  <si>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</si>
  <si>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</si>
  <si>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</si>
  <si>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</si>
  <si>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</si>
  <si>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</si>
  <si>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</si>
  <si>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</si>
  <si>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</si>
  <si>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</si>
  <si>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</si>
  <si>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</si>
  <si>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</si>
  <si>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</si>
  <si>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</si>
  <si>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</si>
  <si>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</si>
  <si>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</si>
  <si>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</si>
  <si>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</si>
  <si>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</si>
  <si>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</si>
  <si>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</si>
  <si>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</si>
  <si>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</si>
  <si>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</si>
  <si>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</si>
  <si>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</si>
  <si>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</si>
  <si>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</si>
  <si>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</si>
  <si>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</si>
  <si>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</si>
  <si>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</si>
  <si>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</si>
  <si>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</si>
  <si>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</si>
  <si>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</si>
  <si>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</si>
  <si>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</si>
  <si>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</si>
  <si>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</si>
  <si>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</si>
  <si>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</si>
  <si>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</si>
  <si>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</si>
  <si>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</si>
  <si>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</si>
  <si>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</si>
  <si>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</si>
  <si>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</si>
  <si>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</si>
  <si>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</si>
  <si>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</si>
  <si>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</si>
  <si>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</si>
  <si>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</si>
  <si>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</si>
  <si>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</si>
  <si>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</si>
  <si>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</si>
  <si>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</si>
  <si>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</si>
  <si>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</si>
  <si>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</si>
  <si>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</si>
  <si>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</si>
  <si>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</si>
  <si>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</si>
  <si>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</si>
  <si>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</si>
  <si>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</si>
  <si>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</si>
  <si>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</si>
  <si>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</si>
  <si>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</si>
  <si>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</si>
  <si>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</si>
  <si>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</si>
  <si>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</si>
  <si>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</si>
  <si>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</si>
  <si>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</si>
  <si>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</si>
  <si>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</si>
  <si>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</si>
  <si>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</si>
  <si>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</si>
  <si>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</si>
  <si>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</si>
  <si>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</si>
  <si>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</si>
  <si>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</si>
  <si>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</si>
  <si>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</si>
  <si>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</si>
  <si>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</si>
  <si>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</si>
  <si>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</si>
  <si>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</si>
  <si>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</si>
  <si>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</si>
  <si>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</si>
  <si>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</si>
  <si>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</si>
  <si>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</si>
  <si>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</si>
  <si>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</si>
  <si>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</si>
  <si>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</si>
  <si>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</si>
  <si>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</si>
  <si>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</si>
  <si>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</si>
  <si>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</si>
  <si>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</si>
  <si>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</si>
  <si>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</si>
  <si>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</si>
  <si>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</si>
  <si>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</si>
  <si>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</si>
  <si>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</si>
  <si>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</si>
  <si>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</si>
  <si>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</si>
  <si>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</si>
  <si>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</si>
  <si>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</si>
  <si>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</si>
  <si>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</si>
  <si>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</si>
  <si>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</si>
  <si>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</si>
  <si>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</si>
  <si>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</si>
  <si>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</si>
  <si>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</si>
  <si>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</si>
  <si>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</si>
  <si>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</si>
  <si>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</si>
  <si>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</si>
  <si>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</si>
  <si>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</si>
  <si>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</si>
  <si>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</si>
  <si>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</si>
  <si>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</si>
  <si>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</si>
  <si>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</si>
  <si>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</si>
  <si>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</si>
  <si>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</si>
  <si>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</si>
  <si>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</si>
  <si>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</si>
  <si>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</si>
  <si>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</si>
  <si>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</si>
  <si>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</si>
  <si>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</si>
  <si>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</si>
  <si>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</si>
  <si>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</si>
  <si>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</si>
  <si>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</si>
  <si>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</si>
  <si>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</si>
  <si>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</si>
  <si>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</si>
  <si>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</si>
  <si>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</si>
  <si>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</si>
  <si>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</si>
  <si>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</si>
  <si>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</si>
  <si>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</si>
  <si>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</si>
  <si>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</si>
  <si>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</si>
  <si>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</si>
  <si>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</si>
  <si>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</si>
  <si>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</si>
  <si>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</si>
  <si>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</si>
  <si>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</si>
  <si>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</si>
  <si>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</si>
  <si>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</si>
  <si>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</si>
  <si>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</si>
  <si>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</si>
  <si>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</si>
  <si>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</si>
  <si>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</si>
  <si>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</si>
  <si>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</si>
  <si>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</si>
  <si>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</si>
  <si>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</si>
  <si>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</si>
  <si>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</si>
  <si>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</si>
  <si>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</si>
  <si>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</si>
  <si>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</si>
  <si>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</si>
  <si>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</si>
  <si>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</si>
  <si>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</si>
  <si>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</si>
  <si>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</si>
  <si>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</si>
  <si>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</si>
  <si>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</si>
  <si>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</si>
  <si>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</si>
  <si>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</si>
  <si>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</si>
  <si>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</si>
  <si>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</si>
  <si>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</si>
  <si>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</si>
  <si>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</si>
  <si>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</si>
  <si>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</si>
  <si>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</si>
  <si>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</si>
  <si>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</si>
  <si>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</si>
  <si>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</si>
  <si>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</si>
  <si>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</si>
  <si>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</si>
  <si>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</si>
  <si>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</si>
  <si>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</si>
  <si>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</si>
  <si>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</si>
  <si>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</si>
  <si>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</si>
  <si>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</si>
  <si>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</si>
  <si>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</si>
  <si>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</si>
  <si>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</si>
  <si>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</si>
  <si>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</si>
  <si>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</si>
  <si>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</si>
  <si>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</si>
  <si>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</si>
  <si>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</si>
  <si>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</si>
  <si>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</si>
  <si>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</si>
  <si>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</si>
  <si>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</si>
  <si>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</si>
  <si>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</si>
  <si>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</si>
  <si>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</si>
  <si>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</si>
  <si>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</si>
  <si>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</si>
  <si>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</si>
  <si>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</si>
  <si>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</si>
  <si>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</si>
  <si>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</si>
  <si>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</si>
  <si>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</si>
  <si>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</si>
  <si>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</si>
  <si>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</si>
  <si>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</si>
  <si>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</si>
  <si>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</si>
  <si>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</si>
  <si>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</si>
  <si>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</si>
  <si>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</si>
  <si>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</si>
  <si>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</si>
  <si>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</si>
  <si>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</si>
  <si>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</si>
  <si>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</si>
  <si>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</si>
  <si>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</si>
  <si>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</si>
  <si>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</si>
  <si>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</si>
  <si>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</si>
  <si>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</si>
  <si>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</si>
  <si>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</si>
  <si>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</si>
  <si>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</si>
  <si>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</si>
  <si>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</si>
  <si>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商业用房</t>
  </si>
  <si>
    <t>崔锴</t>
  </si>
  <si>
    <t>赵雯</t>
  </si>
  <si>
    <t>抵押</t>
  </si>
  <si>
    <t>抵押价格</t>
  </si>
  <si>
    <t>其他：</t>
  </si>
  <si>
    <t>企业</t>
  </si>
  <si>
    <t>《国有土地使用证》</t>
    <phoneticPr fontId="6" type="noConversion"/>
  </si>
  <si>
    <t>商业</t>
  </si>
  <si>
    <t>一致</t>
  </si>
  <si>
    <t>符合</t>
  </si>
  <si>
    <t>《国有建设用地使用权出让合同》</t>
    <phoneticPr fontId="6" type="noConversion"/>
  </si>
  <si>
    <t>否</t>
  </si>
  <si>
    <t>无</t>
  </si>
  <si>
    <t>通路</t>
  </si>
  <si>
    <t>通电</t>
  </si>
  <si>
    <t>通讯</t>
  </si>
  <si>
    <t>通上水</t>
  </si>
  <si>
    <t>通下水</t>
  </si>
  <si>
    <t>燃气</t>
  </si>
  <si>
    <t>地上</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</si>
  <si>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</si>
  <si>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</si>
  <si>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</si>
  <si>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</si>
  <si>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</si>
  <si>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</si>
  <si>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</si>
  <si>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</si>
  <si>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</si>
  <si>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</si>
  <si>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</si>
  <si>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</si>
  <si>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</si>
  <si>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</si>
  <si>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</si>
  <si>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</si>
  <si>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</si>
  <si>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</si>
  <si>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</si>
  <si>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</si>
  <si>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</si>
  <si>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</si>
  <si>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</si>
  <si>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</si>
  <si>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</si>
  <si>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</si>
  <si>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</si>
  <si>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</si>
  <si>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</si>
  <si>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</si>
  <si>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</si>
  <si>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单面临街</t>
  </si>
  <si>
    <t>较一致</t>
  </si>
  <si>
    <t>较一致</t>
    <phoneticPr fontId="21" type="noConversion"/>
  </si>
  <si>
    <t>估价对象所在区域基础设施水平较好</t>
  </si>
  <si>
    <t>办公集聚程度</t>
  </si>
  <si>
    <t>住宅</t>
    <phoneticPr fontId="21" type="noConversion"/>
  </si>
  <si>
    <t>60-70（含）</t>
  </si>
  <si>
    <t>毛坯</t>
  </si>
  <si>
    <t>正常</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</si>
  <si>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</si>
  <si>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</si>
  <si>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</si>
  <si>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</si>
  <si>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</si>
  <si>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</si>
  <si>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</si>
  <si>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</si>
  <si>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</si>
  <si>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已全部缴纳</t>
  </si>
  <si>
    <t>项目全部</t>
  </si>
  <si>
    <t>土地</t>
  </si>
  <si>
    <t>比较法-住宅、综合</t>
  </si>
  <si>
    <t>剩余法-待开发</t>
  </si>
  <si>
    <t>——</t>
    <phoneticPr fontId="26" type="noConversion"/>
  </si>
  <si>
    <t>非个人房产</t>
  </si>
  <si>
    <t>土地（套用方法）</t>
  </si>
  <si>
    <t>精装修</t>
    <phoneticPr fontId="21" type="noConversion"/>
  </si>
  <si>
    <t>毛坯</t>
    <phoneticPr fontId="21" type="noConversion"/>
  </si>
  <si>
    <t>一般</t>
  </si>
  <si>
    <t>中信信托</t>
    <phoneticPr fontId="6" type="noConversion"/>
  </si>
  <si>
    <t>南大港产业园区</t>
    <phoneticPr fontId="6" type="noConversion"/>
  </si>
  <si>
    <t>商业项目</t>
  </si>
  <si>
    <t>通热</t>
  </si>
  <si>
    <t>沧州市黄骅市</t>
    <phoneticPr fontId="6" type="noConversion"/>
  </si>
  <si>
    <t>《出让合同》</t>
    <phoneticPr fontId="3" type="noConversion"/>
  </si>
  <si>
    <t>《不动产权证书》</t>
    <phoneticPr fontId="3" type="noConversion"/>
  </si>
  <si>
    <t>公寓用房</t>
  </si>
  <si>
    <t>公寓用房</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</si>
  <si>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</si>
  <si>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t>
    <phoneticPr fontId="21" type="noConversion"/>
  </si>
  <si>
    <t>估价对象位于南大港产业园，周边居住用地比例一般、居住小区规模和社区发展完善程度一般，综合评价居住社区成熟度一般</t>
    <phoneticPr fontId="3" type="noConversion"/>
  </si>
  <si>
    <t>估价对象位于南大港产业园，周边商业氛围成熟度一般，人流量大一般，商业繁华度一般</t>
    <phoneticPr fontId="3" type="noConversion"/>
  </si>
  <si>
    <t>估价对象周边道路状况一般、公共交通通达情况一般、停车便捷程度较好，综合评价交通便捷度一般</t>
    <phoneticPr fontId="3" type="noConversion"/>
  </si>
  <si>
    <t>估价对象所在区域公共配套设施齐备情况一般</t>
    <phoneticPr fontId="3" type="noConversion"/>
  </si>
  <si>
    <t>估价对象所在区域基础设施水平一般</t>
    <phoneticPr fontId="3" type="noConversion"/>
  </si>
  <si>
    <t>城市支路</t>
    <phoneticPr fontId="21" type="noConversion"/>
  </si>
  <si>
    <t>区域自然环境：好；人文环境：一般；综合评价环境状况好</t>
    <phoneticPr fontId="3" type="noConversion"/>
  </si>
  <si>
    <t>地块名称</t>
  </si>
  <si>
    <t>城市</t>
  </si>
  <si>
    <t>用地性质</t>
  </si>
  <si>
    <t>区县</t>
  </si>
  <si>
    <t>出让方式</t>
  </si>
  <si>
    <t>详细规划</t>
  </si>
  <si>
    <t>建设用地面积(㎡)</t>
  </si>
  <si>
    <t>商业比例</t>
  </si>
  <si>
    <t>成交日期</t>
  </si>
  <si>
    <t>受让单位</t>
  </si>
  <si>
    <t>成交价(万元)</t>
  </si>
  <si>
    <t>成交每亩价(万元/亩)</t>
  </si>
  <si>
    <t>成交楼面价(元/㎡)</t>
  </si>
  <si>
    <t>溢价率</t>
  </si>
  <si>
    <t>土地星级</t>
  </si>
  <si>
    <t>沧州市</t>
  </si>
  <si>
    <t>商业/办公用地</t>
  </si>
  <si>
    <t>渤海新区</t>
  </si>
  <si>
    <t>挂牌</t>
  </si>
  <si>
    <t>零售商业用地</t>
  </si>
  <si>
    <t>小于或等于0.5</t>
  </si>
  <si>
    <t>2019-08-28</t>
  </si>
  <si>
    <t>沧州临港瑞盈油气能源有限公司第二加油加气站</t>
  </si>
  <si>
    <t>2星</t>
  </si>
  <si>
    <t>南大港产业园区一分区马营大队,东至光明街,南至D-2019-28号地块、西至国有空地、北至幸福路</t>
  </si>
  <si>
    <t>其他商服用地</t>
  </si>
  <si>
    <t>小于或等于1</t>
  </si>
  <si>
    <t>2019-08-09</t>
  </si>
  <si>
    <t>沧州渤海新区秀水湾房地产开发有限公司</t>
  </si>
  <si>
    <t>0星</t>
  </si>
  <si>
    <t>南大港产业园区东兴工业区,东至国有空地,南至国有空地,西至中心大道,北至沧州市南大港管理区昊煜石化产品有限公司</t>
  </si>
  <si>
    <t>商务金融用地</t>
  </si>
  <si>
    <t>小于或等于1.2</t>
  </si>
  <si>
    <t>2019-07-31</t>
  </si>
  <si>
    <t>沧州市南大港管理区东兴污水处理有限公司</t>
  </si>
  <si>
    <t>餐饮用地</t>
  </si>
  <si>
    <t>小于或等于1.5</t>
  </si>
  <si>
    <t>2019-07-10</t>
  </si>
  <si>
    <t>冠信(沧州)房地产开发有限公司</t>
  </si>
  <si>
    <t>拍卖</t>
  </si>
  <si>
    <t>大于或等于1并且小于或等于2.5</t>
  </si>
  <si>
    <t>2019-06-28</t>
  </si>
  <si>
    <t>邯黄铁路有限责任公司</t>
  </si>
  <si>
    <t>南大港产业园区城区,东至兴港路,沧州市南大港管理区宾馆超市、胡同,南至沧州市南大港管理区宾馆超市、胡同、国有空地,西至文明路,北至国有空地</t>
  </si>
  <si>
    <t>旅馆用地</t>
  </si>
  <si>
    <t>≤1.5</t>
  </si>
  <si>
    <t>2019-05-09</t>
  </si>
  <si>
    <t>刘兴达</t>
  </si>
  <si>
    <t>南大港产业园区城区,东至兴港路,南至郑冠达用地,西至沧州市鑫江房地产有限公司用地,北至胡同</t>
  </si>
  <si>
    <t>2019-05-07</t>
  </si>
  <si>
    <t>刘金伟</t>
  </si>
  <si>
    <t>海防路东、板堂河南、高压走廊北</t>
  </si>
  <si>
    <t>2019-04-29</t>
  </si>
  <si>
    <t>海兴佳义汽车销售有限公司</t>
  </si>
  <si>
    <t>2019-03-29</t>
  </si>
  <si>
    <t>黄骅市恒立房地产开发有限公司</t>
  </si>
  <si>
    <t>1星</t>
  </si>
  <si>
    <t>南排河镇纬五路南、纬六路北</t>
  </si>
  <si>
    <t>小于或等于0.3</t>
  </si>
  <si>
    <t>南排河镇纬六路北</t>
  </si>
  <si>
    <t>黄骅市华兴街东、北海路南</t>
  </si>
  <si>
    <t>2019-03-27</t>
  </si>
  <si>
    <t>河北碧桂园凤凰置业有限公司</t>
  </si>
  <si>
    <t>3星</t>
  </si>
  <si>
    <t>南大港产业园区城区,东至胡同,南至公路,西至兴港路,北至王春玲用地</t>
  </si>
  <si>
    <t>≤1.3</t>
  </si>
  <si>
    <t>王春玲</t>
  </si>
  <si>
    <t>华东街东,人民路南</t>
  </si>
  <si>
    <t>小于或等于2.5</t>
  </si>
  <si>
    <t>黄骅市广宇房地产开发有限公司</t>
  </si>
  <si>
    <t>中捷产业园区范围内,东至捷港大街,南至沧州渤海新区新谊旅游开发有限公司用地,西至规划水系,北至规划水系</t>
  </si>
  <si>
    <t>2019-03-20</t>
  </si>
  <si>
    <t>中捷产业园区王肖庄村境内,东至国有空地,西至国有空地,北至国有空地,南至国有空地</t>
  </si>
  <si>
    <t>≤2</t>
  </si>
  <si>
    <t>2019-02-22</t>
  </si>
  <si>
    <t>河北京海农业科技有限公司</t>
  </si>
  <si>
    <t>中捷产业园区朱庄子村,东至国用空地,西至国有空地,北至国有空地,南至国有空地</t>
  </si>
  <si>
    <t>住宿餐饮用地</t>
  </si>
  <si>
    <t>2018-12-28</t>
  </si>
  <si>
    <t>沧州临港易生园农业发展有限公司</t>
  </si>
  <si>
    <t>沿海高速路口北、海防公路东</t>
  </si>
  <si>
    <t>大于0.5并且小于0.8</t>
  </si>
  <si>
    <t>2018-12-24</t>
  </si>
  <si>
    <t>海兴县起晨加气站</t>
  </si>
  <si>
    <t>5星</t>
  </si>
  <si>
    <t>2018-12-21</t>
  </si>
  <si>
    <t>黄骅市盈通石油制品销售有限公司</t>
  </si>
  <si>
    <t>中捷产业园区十一队,东至B-2018-27号宗地,西至十一队村公路,北至国有空地,南至国有空地</t>
  </si>
  <si>
    <t>批发零售用地</t>
  </si>
  <si>
    <t>≤0.5</t>
  </si>
  <si>
    <t>2018-10-19</t>
  </si>
  <si>
    <t>沧州临港瑞虹加油站</t>
  </si>
  <si>
    <t>东至沧州经济开发区建设投资有限公司,西至开泰街,南至管委会国有储备用地、沧州经济开发区建设投资有限公司,北至九河东路</t>
  </si>
  <si>
    <t>招标</t>
  </si>
  <si>
    <t>≥2.5且≤3.5</t>
  </si>
  <si>
    <t>2018-09-20</t>
  </si>
  <si>
    <t>瀚祥(沧州)房地产开发有限公司</t>
  </si>
  <si>
    <t>南大港产业园区二分区,东至土路,南至二分区东北队国有空地,西至二分区东北队国有空地,北至二分区东北队国有空地</t>
  </si>
  <si>
    <t>≤0.8</t>
  </si>
  <si>
    <t>2018-09-14</t>
  </si>
  <si>
    <t>王秀芹</t>
  </si>
  <si>
    <t>沧州开发区内,东至沧州经济开发区国有储备用地,西至河北泰通机械设备有限公司,南至兴业路,北至沧州经济开发区国有储备用地</t>
  </si>
  <si>
    <t>≥0.1,≤0.5</t>
  </si>
  <si>
    <t>2018-09-06</t>
  </si>
  <si>
    <t>中国石化销售有限公司河北沧州石油分公司</t>
  </si>
  <si>
    <t>市区华兴街西、规划支路北</t>
  </si>
  <si>
    <t>2018-06-23</t>
  </si>
  <si>
    <t>沧州同相房地产开发有限公司</t>
  </si>
  <si>
    <t>市区学院路北、海丰大街西</t>
  </si>
  <si>
    <t>黄骅市滨城房地产开发有限公司</t>
  </si>
  <si>
    <t>市区华兴街西、北海路南</t>
  </si>
  <si>
    <t>沧州乾域房地产开发有限公司</t>
  </si>
  <si>
    <t>市区和平大街西、学院路北</t>
  </si>
  <si>
    <t>黄骅市广信房地产开发有限公司</t>
  </si>
  <si>
    <t>市区学院路南、振兴街西</t>
  </si>
  <si>
    <t>许得凤</t>
  </si>
  <si>
    <t>市区和平大街以西、学院路北</t>
  </si>
  <si>
    <t>刘景春</t>
  </si>
  <si>
    <t>中捷产业园区,东至捷克村,南至国有空地,西至规划曙光街,北至国有空地</t>
  </si>
  <si>
    <t>2018-06-07</t>
  </si>
  <si>
    <t>沧州天惠房地产开发有限公司</t>
  </si>
  <si>
    <t>南大港产业园区一分区,东至土路,南至沧州市南大港管理区宏远资源再生利用有限公司用地,西至沧州市南大港管理区宏远资源再生利用有限公司用地,北至羊孔公路</t>
  </si>
  <si>
    <t>≤0.6</t>
  </si>
  <si>
    <t>2018-05-18</t>
  </si>
  <si>
    <t>刘荣霞</t>
  </si>
  <si>
    <t>市区华兴街西、人民路北</t>
  </si>
  <si>
    <t>2018-04-18</t>
  </si>
  <si>
    <t>黄骅市华苑房地产开发有限公司</t>
  </si>
  <si>
    <t>市区昌骅大街东、新海路南</t>
  </si>
  <si>
    <t>信誉楼百货集团有限公司黄骅信誉楼商厦新海路店</t>
  </si>
  <si>
    <t>4星</t>
  </si>
  <si>
    <t>银河路南、迎宾大街西侧</t>
  </si>
  <si>
    <t>河北赢信房地产开发有限公司</t>
  </si>
  <si>
    <t>南大港产业园区一分区,东至西环路、南至一分区西南大队国有空地、西至一分区西南大队国有空地、北至沧州市南大港管理区浩良汽车装具经销处</t>
  </si>
  <si>
    <t>≤1.8</t>
  </si>
  <si>
    <t>2018-03-30</t>
  </si>
  <si>
    <t>田培育</t>
  </si>
  <si>
    <t>南大港产业园区,东至D-2017-9号地块,南至规划四纬路,西至国有空地,北至D-2017-9号地块</t>
  </si>
  <si>
    <t>≤1</t>
  </si>
  <si>
    <t>2018-03-22</t>
  </si>
  <si>
    <t>沧州益聚房地产开发有限公司</t>
  </si>
  <si>
    <t>南大港产业园区,东至国有空地,南至规划四纬路,西至D-2017-9号地块,北至D-2017-9号地块</t>
  </si>
  <si>
    <t>东至国有空地,西至尼特拉有限公司用地,北至国有空地,南至国有空地</t>
  </si>
  <si>
    <t>2018-03-14</t>
  </si>
  <si>
    <t>河北中捷房地产开发有限公司</t>
  </si>
  <si>
    <t>河港路以东</t>
  </si>
  <si>
    <t>≤3</t>
  </si>
  <si>
    <t>2018-03-13</t>
  </si>
  <si>
    <t>沧州渤海新区沧海投资开发有限公司</t>
  </si>
  <si>
    <t>府前路北、兴融街东</t>
  </si>
  <si>
    <t>沧州泷兴房地产开发有限公司</t>
  </si>
  <si>
    <t>南大港产业园区,东至国有空地,南至国有空地,西至D-2017-87号地块,北至南环路</t>
  </si>
  <si>
    <t>2018-02-09</t>
  </si>
  <si>
    <t>沧州康凯房地产开发有限公司</t>
  </si>
  <si>
    <t>南大港产业园区,东至D-2017-90号地块,南至国有空地,西至国有空地,北至南环路</t>
  </si>
  <si>
    <t>南大港产业园区,东至D-2017-88号地块,南至国有空地,西至D-2017-86号地块,北至南环路</t>
  </si>
  <si>
    <t>南大港产业园区,东至D-2017-104号地块,南至国有空地,西至国有空地,北至南环路</t>
  </si>
  <si>
    <t>南大港产业园区,东至D-2017-94号地块,南至国有空地,西至规划二经路南路,北至国有空地</t>
  </si>
  <si>
    <t>朝阳街以西,方泽房地产用地以南</t>
  </si>
  <si>
    <t>2018-02-02</t>
  </si>
  <si>
    <t>沧州方泽房地产开发有限公司</t>
  </si>
  <si>
    <t>东至国有空地,南至南环路,西至童港河东路,北至国有空地</t>
  </si>
  <si>
    <t>2017-12-29</t>
  </si>
  <si>
    <t>沧州元康房地产开发有限公司</t>
  </si>
  <si>
    <t>东至国有空地,南至规划五纬路,西至童港河东路,北至国有空地</t>
  </si>
  <si>
    <t>沧州凯进房地产开发有限公司</t>
  </si>
  <si>
    <t>东至童港河西路,南至规划五纬路,西至国有空地,北至国有空地</t>
  </si>
  <si>
    <t>东至国有空地,南至规划七纬路,西至童港河东路,北至规划东二支路</t>
  </si>
  <si>
    <t>沧州源美房地产开发有限公司</t>
  </si>
  <si>
    <t>东至国有空地,南至南环路,西至规划一经路南路,北至规划七纬路</t>
  </si>
  <si>
    <t>≤1.2</t>
  </si>
  <si>
    <t>沧州庆和房地产开发有限公司</t>
  </si>
  <si>
    <t>东至童港河西路,南至D-2017-77号地块,西至国有空地,北至规划七纬路</t>
  </si>
  <si>
    <t>东至国有空地,南至规划六纬路东路,西至童港河东路,北至规划东一支路</t>
  </si>
  <si>
    <t>沧州丰汇房地产开发有限公司</t>
  </si>
  <si>
    <t>东至童港河西路,南至规划六纬路,西至国有空地,北至规划西三支路</t>
  </si>
  <si>
    <t>东至规划一经路南路,南至南环路,西至西环路、国有空地,北至国有空地、规划七纬路</t>
  </si>
  <si>
    <t>东至童港河西路,南至规划七纬路,西至国有空地,北至规划六纬路</t>
  </si>
  <si>
    <t>沧州长鑫房地产开发有限公司</t>
  </si>
  <si>
    <t>东至规划一经路南路,南至规划西三支路,西至D-2017-61号地块,北至国有空地</t>
  </si>
  <si>
    <t>沧州满安房地产开发有限公司</t>
  </si>
  <si>
    <t>东至童港河西路,南至规划西三支路,西至国有空地,北至规划五纬路</t>
  </si>
  <si>
    <t>东至童港河西路,南至南环路,西至国有空地,北至D-2017-76号地块</t>
  </si>
  <si>
    <t>东至国有空地,南至规划东一支路,西至童港河东路,北至规划五纬路</t>
  </si>
  <si>
    <t>东至国有空地,南至规划东二支路,西至童港河东路,北至规划六纬路东路</t>
  </si>
  <si>
    <t>旧城镇纬四路南、纬五路北、经三街东</t>
  </si>
  <si>
    <t>2017-12-13</t>
  </si>
  <si>
    <t>南大港产业园区,东至国有空地、南至规划四纬路、西至D-2017-9号地块、北至D-2017-9号地块</t>
  </si>
  <si>
    <t>2017-08-23</t>
  </si>
  <si>
    <t>沧州宏祥旅游开发有限公司</t>
  </si>
  <si>
    <t>南大港产业园区,东至国有空地,南至D-2017-40号地块、D-2017-41号地块、规划四纬路,西至国有空地,北至国有空地</t>
  </si>
  <si>
    <t>沧州童世界旅游发展有限公司</t>
  </si>
  <si>
    <t>南大港产业园区,东至D-2017-9号地块、南至规划四纬路、西至国有空地、北至D-2017-9号地块</t>
  </si>
  <si>
    <t>南大港产业园区,东至国有空地、南至规划三纬路东路、西至国有空地、北至D-2017-14号地块</t>
  </si>
  <si>
    <t>沧州满安旅游开发有限公司</t>
  </si>
  <si>
    <t>沧海路以南</t>
  </si>
  <si>
    <t>≤2.5</t>
  </si>
  <si>
    <t>2017-08-04</t>
  </si>
  <si>
    <t>沧州渤海新区新城房地产开发有限公司</t>
  </si>
  <si>
    <t>东至利源街,西至国有空地,北至沧州市正欣源兽药有限公司用地,南至沧州临港九易市政工程有限公司用地</t>
  </si>
  <si>
    <t>2017-07-07</t>
  </si>
  <si>
    <t>沧州临港安盛宾馆</t>
  </si>
  <si>
    <t>南大港产业园区,东至规划一经路、南至国有空地、西至国有空地、北至规划西一支路</t>
  </si>
  <si>
    <t>2017-06-21</t>
  </si>
  <si>
    <t>南大港产业园区,东至规划西二支路、南至国有空地、西至国有空地、北至规划西一支路</t>
  </si>
  <si>
    <t>市区建设大街东、北海路南</t>
  </si>
  <si>
    <t>小于或等于2</t>
  </si>
  <si>
    <t>2017-06-16</t>
  </si>
  <si>
    <t>黄骅市海城房地产开发有限公司</t>
  </si>
  <si>
    <t>市区建设大街东,北海路南</t>
  </si>
  <si>
    <t>荣盛商厦用地东</t>
  </si>
  <si>
    <t>2017-03-17</t>
  </si>
  <si>
    <t>沧州黄骅港京港房地产开发有限公司</t>
  </si>
  <si>
    <t>兴贸街以西、神华路南</t>
  </si>
  <si>
    <t>南大港产业园区一分区,东至小辛庄大队国有沟渠,南至土路、西至沧州市南大港管理区泰丰汽车检测有限公司、北至南环路。</t>
  </si>
  <si>
    <t>2016-12-23</t>
  </si>
  <si>
    <t>王艳良</t>
  </si>
  <si>
    <t>南大港产业园区一分区,东至西环路、南至一分区西南大队国有空地、西至一分区西南大队国有空地、北至沧州市南大港管理区华宇汽车装具销售有限公司</t>
  </si>
  <si>
    <t>2016-12-13</t>
  </si>
  <si>
    <t>沧州诚盛商贸有限公司</t>
  </si>
  <si>
    <t>东至海防大街,西至国有空地,南至南疏港路,北至国有空地</t>
  </si>
  <si>
    <t>批发零售用地、仓储用地</t>
  </si>
  <si>
    <t>2016-10-28</t>
  </si>
  <si>
    <t>沧州弘信物流有限公司</t>
  </si>
  <si>
    <t>中捷产业园区,东至国有空地,西至集贤路,北至国有空地,南至新海路</t>
  </si>
  <si>
    <t>2016-09-20</t>
  </si>
  <si>
    <t>沧州中顺发商贸有限公司</t>
  </si>
  <si>
    <t>北海路北、神华大街东</t>
  </si>
  <si>
    <t>2016-09-01</t>
  </si>
  <si>
    <t>黄骅市中医医院</t>
  </si>
  <si>
    <t>平安大街东、南滕路北、42号路南</t>
  </si>
  <si>
    <t>王云清</t>
  </si>
  <si>
    <t>南大港产业园区城区,东至兴港路、南至沧州市农村信用合作社中心社南大港分社、西至胡同、北至沧州渤海新区地方税务局南大港分局</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</si>
  <si>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</si>
  <si>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</si>
  <si>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</si>
  <si>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</si>
  <si>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</si>
  <si>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</si>
  <si>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</si>
  <si>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2016-06-29</t>
  </si>
  <si>
    <t>中捷产业园区曙光街以东、创业路以北</t>
  </si>
  <si>
    <t>2016-05-10</t>
  </si>
  <si>
    <t>东至四号路,西至新村回族乡村民委员会用地,南至新村回族乡村民委员会用地,北至沧州渤海新区盐百商厦有限公司用地</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</si>
  <si>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</si>
  <si>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</si>
  <si>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</si>
  <si>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</si>
  <si>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</si>
  <si>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</si>
  <si>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</si>
  <si>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</si>
  <si>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</si>
  <si>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</si>
  <si>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</si>
  <si>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</si>
  <si>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</si>
  <si>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</si>
  <si>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</si>
  <si>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</si>
  <si>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海丰大街东、第四中学北侧</t>
  </si>
  <si>
    <t>小于或等于4.2</t>
  </si>
  <si>
    <t>2015-08-13</t>
  </si>
  <si>
    <t>于岚</t>
  </si>
  <si>
    <t>海港路南、兴顺街西</t>
  </si>
  <si>
    <t>小于3</t>
  </si>
  <si>
    <t>2015-08-11</t>
  </si>
  <si>
    <t>沧州骐晟商贸有限公司</t>
  </si>
  <si>
    <t>南大港产业园区,沧州市南大港医院南侧</t>
  </si>
  <si>
    <t>小于或等于2.7</t>
  </si>
  <si>
    <t>2015-08-05</t>
  </si>
  <si>
    <t>刘俊英</t>
  </si>
  <si>
    <t>渤海路北、昌骅大街西</t>
  </si>
  <si>
    <t>2015-07-08</t>
  </si>
  <si>
    <t>东至规划道路,西至华东路,北至横六路,南至中央大道</t>
  </si>
  <si>
    <t>2015-05-22</t>
  </si>
  <si>
    <t>沧州临港阳光房地产开发有限公司</t>
  </si>
  <si>
    <t>东至纵二路,西至规划路,北至横六路,南至中央大道</t>
  </si>
  <si>
    <t>中捷产业园区境内,东至六队村级公路,南至国有空地,西至国有空地,北至国有空地</t>
    <phoneticPr fontId="227" type="noConversion"/>
  </si>
  <si>
    <t>南排河镇经五路西、纬六路北</t>
    <phoneticPr fontId="227" type="noConversion"/>
  </si>
  <si>
    <t>住宅用地</t>
  </si>
  <si>
    <t>城镇住宅用地</t>
  </si>
  <si>
    <t>大于1并且小于或等于1.6</t>
  </si>
  <si>
    <t>2019-09-06</t>
  </si>
  <si>
    <t>保定市博汇房地产开发有限公司</t>
  </si>
  <si>
    <t>大于1并且小于或等于2</t>
  </si>
  <si>
    <t>海兴冀海房地产开发有限公司</t>
  </si>
  <si>
    <t>南大港产业园区一分区马营大队,东至光明街,南至国有空地、西至国有空地、北至D-2019-27号地块</t>
  </si>
  <si>
    <t>大于或等于1.5并且小于或等于2</t>
  </si>
  <si>
    <t>沧州奥莱房地产开发有限公司</t>
  </si>
  <si>
    <t>中捷产业园区范围内,东至广盛街,西至规划乐丰街,南至新华路,北至渤海路</t>
  </si>
  <si>
    <t>市区神华大街东、北平路南</t>
  </si>
  <si>
    <t>大于或等于1并且小于或等于2</t>
  </si>
  <si>
    <t>2019-06-27</t>
  </si>
  <si>
    <t>滨州梁盛置业有限公司</t>
  </si>
  <si>
    <t>位于沧州开发区内,东至开明街,西至河北盛通路面养护有限公司,南至兴业路,北至沧州市恒泰房地产开发有限公司。</t>
  </si>
  <si>
    <t>大于或等于1.5并且小于或等于1.8</t>
  </si>
  <si>
    <t>2019-06-20</t>
  </si>
  <si>
    <t>兆丰地产开发有限责任公司</t>
  </si>
  <si>
    <t>大于或等于1并且小于或等于1.7</t>
  </si>
  <si>
    <t>黄骅市恒越房地产开发有限公司</t>
  </si>
  <si>
    <t>南排河镇经六路东、纬五路南</t>
  </si>
  <si>
    <t>大于或等于1并且小于或等于1.5</t>
  </si>
  <si>
    <t>南排河镇一支路东、纬五路北</t>
  </si>
  <si>
    <t>南排河镇经五路东、纬五路北</t>
  </si>
  <si>
    <t>南排河镇一支路西、纬五路北</t>
  </si>
  <si>
    <t>南排河镇经五路东、纬六路北</t>
  </si>
  <si>
    <t>南排河镇经五路西、纬五路南</t>
  </si>
  <si>
    <t>中捷产业园区,东至沧州渤海新区中捷产业园区卫生局用地,南至沧州临港阳光房地产开发有限公司用地,西至朝阳街,北至光明路</t>
  </si>
  <si>
    <t>＞1,≤1.2</t>
  </si>
  <si>
    <t>2019-03-08</t>
  </si>
  <si>
    <t>中捷产业园区,东至河北贝尔房地产开发有限公司临港分公司用地,南至国有空地,西至支农街,北至国有空地</t>
  </si>
  <si>
    <t>＞1,≤1.8</t>
  </si>
  <si>
    <t>沧州贝尔坤华房地产开发有限公司</t>
  </si>
  <si>
    <t>南大港产业园区城区,东至前进路,南至振兴街、西至砖路、北至国有空地</t>
  </si>
  <si>
    <t>综合用地(含住宅)</t>
  </si>
  <si>
    <t>住宅,商业</t>
  </si>
  <si>
    <t>＞1,≤2</t>
  </si>
  <si>
    <t>2019-02-21</t>
  </si>
  <si>
    <t>沧州市南大港管理区今朝房地产开发有限公司</t>
  </si>
  <si>
    <t>中捷产业园区,东至幸福街,西至国有空地,北至农行用地,南至国有空地</t>
  </si>
  <si>
    <t>其他普通商品住房用地</t>
  </si>
  <si>
    <t>＞1,≤1.5</t>
  </si>
  <si>
    <t>海政路南、兴融街西</t>
  </si>
  <si>
    <t>大于1并且小于或等于2.5</t>
  </si>
  <si>
    <t>无棣县舜腾置业有限公司海兴分公司</t>
  </si>
  <si>
    <t>黄骅市区海丰大街东、新华路北</t>
  </si>
  <si>
    <t>黄骅市金都房地产开发有限责任公司</t>
  </si>
  <si>
    <t>黄骅市区渤海路南、经三路西</t>
  </si>
  <si>
    <t>黄骅市常郭镇常国公路以南、晨光街西</t>
  </si>
  <si>
    <t>大于或等于1并且小于或等于1.6</t>
  </si>
  <si>
    <t>黄骅市盛世家和房地产开发有限公司</t>
  </si>
  <si>
    <t>黄骅市区海华大街东、渤海路南</t>
  </si>
  <si>
    <t>大于或等于1并且小于或等于1.8</t>
  </si>
  <si>
    <t>河北万腾房地产开发集团有限公司</t>
  </si>
  <si>
    <t>中捷产业园区,东至国有空地,西至泰合隆兴房地产开发集团有限公司用地、英杰路,北至泰合隆兴房地产开发集团有限公司用地,南至新海路</t>
  </si>
  <si>
    <t>2018-12-19</t>
  </si>
  <si>
    <t>泰合隆兴房地产开发集团有限公司</t>
  </si>
  <si>
    <t>开发区东泰道东、金江路北</t>
  </si>
  <si>
    <t>2018-10-31</t>
  </si>
  <si>
    <t>沧州渤海新区凯宏房地产开发有限公司</t>
  </si>
  <si>
    <t>中捷产业园区,规划芳林路以西,规划华悦路以东</t>
  </si>
  <si>
    <t>2018-10-17</t>
  </si>
  <si>
    <t>市区昌骅大街东、规划44号路南</t>
  </si>
  <si>
    <t>2018-09-30</t>
  </si>
  <si>
    <t>东至开明街,西至河北盛通路面养护有限公司,南至兴业路,北至沧州市恒泰房地产开发有限公司;</t>
  </si>
  <si>
    <t>住宅用地,商业用地</t>
  </si>
  <si>
    <t>≥1.5,≤1.8</t>
  </si>
  <si>
    <t>海政路南、兴达街西</t>
  </si>
  <si>
    <t>2018-09-10</t>
  </si>
  <si>
    <t>海兴县路盛房地产开发有限公司</t>
  </si>
  <si>
    <t>海滨路南、兴业街西</t>
  </si>
  <si>
    <t>2018-09-05</t>
  </si>
  <si>
    <t>河北中融联合房地产开发有限公司</t>
  </si>
  <si>
    <t>中捷产业园区,东至芳林路,西至华悦路,北至规划智美路,南至学院路</t>
  </si>
  <si>
    <t>综合用地</t>
  </si>
  <si>
    <t>2018-07-19</t>
  </si>
  <si>
    <t>沧州临港捷兴房地产开发有限公司</t>
  </si>
  <si>
    <t>中捷产业园区,东至河北旺豪房地产开发有限公司用地,西至规划乐丰路,北至富春路,南至新海路</t>
  </si>
  <si>
    <t>住宅、批发零售</t>
  </si>
  <si>
    <t>＞1且≤1.6</t>
  </si>
  <si>
    <t>2018-07-11</t>
  </si>
  <si>
    <t>河北旺豪房地产开发有限公司</t>
  </si>
  <si>
    <t>市区3号路东、42号路南</t>
  </si>
  <si>
    <t>中捷产业园区,东至广安大街,西至规划新源路,北至富春路,南至新海路</t>
  </si>
  <si>
    <t>住宅、商务金融、住宿餐饮用地40年</t>
  </si>
  <si>
    <t>＞1且≤2.3</t>
  </si>
  <si>
    <t>沧州铭阳房地产开发有限公司</t>
  </si>
  <si>
    <t>东至规划道路,西至规划道路,北至国有空地,南至规划捷克路</t>
  </si>
  <si>
    <t>≥1且≤1.5</t>
  </si>
  <si>
    <t>港城大街以东,人民街以西,沿河北路以北,沧海路以南</t>
  </si>
  <si>
    <t>住宅、商服</t>
  </si>
  <si>
    <t>≥1且≤2.2</t>
  </si>
  <si>
    <t>2018-04-20</t>
  </si>
  <si>
    <t>南大港产业园区,东至国有空地,南至规划东一支路,西至国有空地,北至规划五纬路</t>
  </si>
  <si>
    <t>住宅、商业</t>
  </si>
  <si>
    <t>＞1且≤1.8</t>
  </si>
  <si>
    <t>沧州昌捷房地产开发有限公司</t>
  </si>
  <si>
    <t>南大港产业园区,东至国有空地,南至规划七纬路、国有空地,西至规划二经路南路,北至规划东二支路</t>
  </si>
  <si>
    <t>＞1且≤1.3</t>
  </si>
  <si>
    <t>东至规划二经路南路,南至规划东二支路,西至国有空地,北至规划六纬路东路</t>
  </si>
  <si>
    <t>＞1且≤1.5</t>
  </si>
  <si>
    <t>南大港产业园区,东至规划二经路南路,南至规划六纬路东路,西至国有空地,北至规划东一支路</t>
  </si>
  <si>
    <t>南大港产业园区,东至规划二经路南路,南至南环路,西至国有空地,北至规划七纬路</t>
  </si>
  <si>
    <t>南大港产业园区,东至国有空地,南至南环路,西至规划二经路南路,北至规划七纬路</t>
  </si>
  <si>
    <t>南大港产业园区,东至国有空地,南至规划五纬路,西至规划二经路南路,北至国有空地</t>
  </si>
  <si>
    <t>南大港产业园区,东至规划二经路南路,南至规划七纬路,西至国有空地,北至规划东二支路</t>
  </si>
  <si>
    <t>南大港产业园区,东至规划二经路南路,南至规划五纬路,西至国有空地,北至国有空地</t>
  </si>
  <si>
    <t>南大港产业园区,东至国有空地,南至规划东二支路,西至规划二经路南路,北至规划六纬路东路</t>
  </si>
  <si>
    <t>南大港产业园区,东至国有空地,南至规划东一支路,西至国有空地、D-2017-112号地块、国有空地,北至规划五纬路</t>
  </si>
  <si>
    <t>东至规划一经路南路,南至规划五纬路,西至西环路,北至国有空地</t>
  </si>
  <si>
    <t>沧州裕宝房地产开发有限公司</t>
  </si>
  <si>
    <t>东至规划一经路南路,南至规划六纬路,西至西环路,北至规划西三支路</t>
  </si>
  <si>
    <t>东至规划一经路南路,南至规划七纬路,西至西环路,北至规划六纬路</t>
  </si>
  <si>
    <t>东至国有空地、D-2017-62号地块,南至规划西三支路,西至西环路,北至规划五纬路</t>
  </si>
  <si>
    <t>东至国有空地,南至规划五纬路,西至规划一经路南路,北至国有空地</t>
  </si>
  <si>
    <t>东至国有空地,南至规划六纬路,西至规划一经路南路,北至规划西三支路</t>
  </si>
  <si>
    <t>东至沧州兴盛房地产开发有限公司用地,西至土路,南至沧州市南大港管理区杰明汽修厂用地,北至土路</t>
  </si>
  <si>
    <t>沧州兴盛房地产开发有限公司</t>
  </si>
  <si>
    <t>东至国有空地,南至规划七纬路,西至规划一经路南路,北至规划六纬路</t>
  </si>
  <si>
    <t>≥1.5且≤1.8</t>
  </si>
  <si>
    <t>2017-12-18</t>
  </si>
  <si>
    <t>河北晟光房地产开发有限公司</t>
  </si>
  <si>
    <t>沧州开发区内,东至开城街绿化带,西至开泰街,南至规划海河路,北至规划支路、开发区公租房。</t>
  </si>
  <si>
    <t>沧州千宸房地产开发有限公司</t>
  </si>
  <si>
    <t>中捷产业园区境内,东至广盛路,南至国有空地,西至规划乐丰路,北至新海路</t>
  </si>
  <si>
    <t>黄骅市海茏房地产开发有限公司</t>
  </si>
  <si>
    <t>海中路北、兴业街东</t>
  </si>
  <si>
    <t>2017-11-22</t>
  </si>
  <si>
    <t>河北尚润房地产开发有限公司</t>
  </si>
  <si>
    <t>中捷产业园区境内,东至广盛路,南至渤海路,西至规划乐丰路,北至国有空地</t>
  </si>
  <si>
    <t>2017-10-31</t>
  </si>
  <si>
    <t>南大港产业园区一分区,东为东环路、南为规划路、西、北均为一分区前庄大队国有空地</t>
  </si>
  <si>
    <t>2017-07-13</t>
  </si>
  <si>
    <t>兴贸街西、沧州渤海新区社会事务管理局用地南</t>
  </si>
  <si>
    <t>≥1,≤2</t>
  </si>
  <si>
    <t>2017-07-12</t>
  </si>
  <si>
    <t>秦港街东、渤海路北、神华路南、港城大街西</t>
  </si>
  <si>
    <t>2017-07-05</t>
  </si>
  <si>
    <t>惠民街东、渤海路北</t>
  </si>
  <si>
    <t>兴贸街东、惠民街西、渤海路北</t>
  </si>
  <si>
    <t>≥1,≤1.8</t>
  </si>
  <si>
    <t>南大港产业园区,东至规划二经路、南至国有空地、西至国有空地、北至规划四纬路东路</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</si>
  <si>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</si>
  <si>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</si>
  <si>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</si>
  <si>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</si>
  <si>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</si>
  <si>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</si>
  <si>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</si>
  <si>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</si>
  <si>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</si>
  <si>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</si>
  <si>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</si>
  <si>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</si>
  <si>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</si>
  <si>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</si>
  <si>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</si>
  <si>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</si>
  <si>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</si>
  <si>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南大港产业园区,东至国有空地、南至规划四纬路东路、西至规划二经路、北至规划三纬路东路</t>
  </si>
  <si>
    <t>市区昌骅大街东、规划四十四号路南</t>
  </si>
  <si>
    <t>市区海华大街东、中心路北</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</si>
  <si>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</si>
  <si>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</si>
  <si>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</si>
  <si>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</si>
  <si>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</si>
  <si>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南大港产业园区城区,东至胡同、西至土路、南至土路、北至沧州市鑫江房地产开发有限公司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</si>
  <si>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</si>
  <si>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</si>
  <si>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</si>
  <si>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</si>
  <si>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</si>
  <si>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2017-04-19</t>
  </si>
  <si>
    <t>东至砖路、南至公路、西至胡同、北至顺达路</t>
  </si>
  <si>
    <t>≥1且≤1.6</t>
  </si>
  <si>
    <t>2017-02-24</t>
  </si>
  <si>
    <t>南大港产业园区一分区,东至一分区邓庄大队国有空地、南至公路、西至公路、北至沧州渤海新区秀水湾房地产开发有限公司用地。</t>
  </si>
  <si>
    <t>≥1且≤1.1</t>
  </si>
  <si>
    <t>金江路南、规划东泰道东侧</t>
  </si>
  <si>
    <t>2016-10-19</t>
  </si>
  <si>
    <t>2016-10-10</t>
  </si>
  <si>
    <t>海兴县京海房地产开发有限公司</t>
  </si>
  <si>
    <t>神华大街东、44号路南</t>
  </si>
  <si>
    <t>2016-09-30</t>
  </si>
  <si>
    <t>迎宾大街西、渤海路南、中心路北、供销花园小区东北角</t>
  </si>
  <si>
    <t>振兴街东、华兴大街西、新海路北</t>
  </si>
  <si>
    <t>住宅用地、商服用地</t>
  </si>
  <si>
    <t>黄骅市顺驰房地产开发有限公司</t>
  </si>
  <si>
    <t>海政路南、兴业街西</t>
  </si>
  <si>
    <t>2016-09-14</t>
  </si>
  <si>
    <t>衡水泰隆房地产开发有限公司海兴分公司</t>
  </si>
  <si>
    <t>海政路北、兴盛街东</t>
  </si>
  <si>
    <t>海港路北、兴融街东</t>
  </si>
  <si>
    <t>大于1并且小于或等于1.7</t>
  </si>
  <si>
    <t>2016-09-13</t>
  </si>
  <si>
    <t>沧兴集团房地产开发有限公司</t>
  </si>
  <si>
    <t>收益法-公寓</t>
  </si>
  <si>
    <t>收益法-公寓</t>
    <phoneticPr fontId="14" type="noConversion"/>
  </si>
  <si>
    <t>地面单价</t>
    <phoneticPr fontId="227" type="noConversion"/>
  </si>
  <si>
    <t>中捷产业园区,东至集贤路,西至泰合隆兴房地产开发集团有限公司用地,北至学院路,南至国有空地</t>
    <phoneticPr fontId="227" type="noConversion"/>
  </si>
  <si>
    <t>南排河镇二支路东、纬五路北</t>
    <phoneticPr fontId="227" type="noConversion"/>
  </si>
  <si>
    <t>沧州开发区内,东至开泰街,西至储备地,南至海河路绿化带,北至沧州军分区民兵训练基地、规划路。</t>
    <phoneticPr fontId="227" type="noConversion"/>
  </si>
  <si>
    <t>海港路南、兴顺街东</t>
    <phoneticPr fontId="227" type="noConversion"/>
  </si>
  <si>
    <t>海政路南、兴盛街东</t>
    <phoneticPr fontId="227" type="noConversion"/>
  </si>
  <si>
    <t>官庄乡工业园羊孔公路南、规划路东</t>
    <phoneticPr fontId="227" type="noConversion"/>
  </si>
  <si>
    <t>碧桂园</t>
    <phoneticPr fontId="227" type="noConversion"/>
  </si>
  <si>
    <t>叠拼</t>
    <phoneticPr fontId="227" type="noConversion"/>
  </si>
  <si>
    <t>联排</t>
    <phoneticPr fontId="227" type="noConversion"/>
  </si>
  <si>
    <t>平层</t>
    <phoneticPr fontId="227" type="noConversion"/>
  </si>
  <si>
    <r>
      <t>6</t>
    </r>
    <r>
      <rPr>
        <sz val="11"/>
        <color theme="1"/>
        <rFont val="宋体"/>
        <family val="3"/>
        <charset val="134"/>
        <scheme val="minor"/>
      </rPr>
      <t>000-8000</t>
    </r>
    <phoneticPr fontId="227" type="noConversion"/>
  </si>
  <si>
    <t>商铺</t>
    <phoneticPr fontId="227" type="noConversion"/>
  </si>
  <si>
    <t>10000-14000</t>
    <phoneticPr fontId="227" type="noConversion"/>
  </si>
  <si>
    <t>酒店房价</t>
    <phoneticPr fontId="227" type="noConversion"/>
  </si>
  <si>
    <r>
      <t>2</t>
    </r>
    <r>
      <rPr>
        <sz val="11"/>
        <color theme="1"/>
        <rFont val="宋体"/>
        <family val="3"/>
        <charset val="134"/>
        <scheme val="minor"/>
      </rPr>
      <t>00元/天</t>
    </r>
    <phoneticPr fontId="227" type="noConversion"/>
  </si>
  <si>
    <t>平整成本</t>
    <phoneticPr fontId="227" type="noConversion"/>
  </si>
  <si>
    <t>60万/亩（盐碱地）</t>
    <phoneticPr fontId="227" type="noConversion"/>
  </si>
  <si>
    <t>黄骅市华东大街西、北海路南</t>
    <phoneticPr fontId="227" type="noConversion"/>
  </si>
  <si>
    <t>中捷产业园区范围内,东至规划新源路,西至广盛街,南至新华路,北至渤海路</t>
    <phoneticPr fontId="227" type="noConversion"/>
  </si>
  <si>
    <t>中捷产业园区范围内,东至冠信(沧州)房地产开发有限公司用地,南至沧州渤海新区新谊旅游开发有限公司用地和国有空地,西至集贤路,北至学院路</t>
    <phoneticPr fontId="227" type="noConversion"/>
  </si>
  <si>
    <t>中兴大街以东、地方铁路以南</t>
    <phoneticPr fontId="227" type="noConversion"/>
  </si>
  <si>
    <t>商业</t>
    <phoneticPr fontId="26" type="noConversion"/>
  </si>
  <si>
    <t>40</t>
    <phoneticPr fontId="26" type="noConversion"/>
  </si>
  <si>
    <t>城市支路</t>
  </si>
  <si>
    <t>好</t>
  </si>
  <si>
    <t>估价对象位于南大港产业园，周边居住用地比例一般、居住小区规模和社区发展完善程度一般，综合评价居住社区成熟度一般</t>
  </si>
  <si>
    <t>估价对象位于南大港产业园，周边商业氛围成熟度一般，人流量大一般，商业繁华度一般</t>
  </si>
  <si>
    <t>区域自然环境：好；人文环境：一般；综合评价环境状况好</t>
  </si>
  <si>
    <t>估价对象所在区域公共配套设施齐备情况一般</t>
  </si>
  <si>
    <t>估价对象所在区域基础设施水平一般</t>
  </si>
  <si>
    <t>估价对象位于中捷产业园，周边居住用地比例一般、居住小区规模和社区发展完善程度一般，综合评价居住社区成熟度一般</t>
    <phoneticPr fontId="26" type="noConversion"/>
  </si>
  <si>
    <t>估价对象周边道路状况较好、公共交通通达情况较好、停车便捷程度较好，综合评价交通便捷度较好</t>
    <phoneticPr fontId="26" type="noConversion"/>
  </si>
  <si>
    <t>单位面积地价</t>
  </si>
  <si>
    <t>土地平整</t>
    <phoneticPr fontId="9" type="noConversion"/>
  </si>
  <si>
    <t>仅含出让金</t>
  </si>
  <si>
    <t>抵押价值-已注销（万元）</t>
    <phoneticPr fontId="227" type="noConversion"/>
  </si>
  <si>
    <t>合计</t>
    <phoneticPr fontId="227" type="noConversion"/>
  </si>
  <si>
    <t>扣减土地平整费</t>
    <phoneticPr fontId="227" type="noConversion"/>
  </si>
  <si>
    <t>容积率</t>
    <phoneticPr fontId="227" type="noConversion"/>
  </si>
  <si>
    <t>住宅</t>
    <phoneticPr fontId="227" type="noConversion"/>
  </si>
  <si>
    <t>商业</t>
    <phoneticPr fontId="227" type="noConversion"/>
  </si>
  <si>
    <t>——</t>
    <phoneticPr fontId="227" type="noConversion"/>
  </si>
  <si>
    <t>——</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</si>
</sst>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theme="1"/>
      <name val="仿宋"/>
      <family val="3"/>
      <charset val="134"/>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0" fontId="81" fillId="5" borderId="0" xfId="0" applyFont="1" applyFill="1" applyProtection="1">
      <alignment vertical="center"/>
      <protection locked="0"/>
    </xf>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8" borderId="0" xfId="0" applyFont="1" applyFill="1" applyAlignment="1" applyProtection="1">
      <protection locked="0"/>
    </xf>
    <xf numFmtId="0" fontId="91" fillId="8" borderId="0" xfId="0" applyFont="1" applyFill="1" applyAlignment="1" applyProtection="1">
      <protection locked="0"/>
    </xf>
    <xf numFmtId="0" fontId="274" fillId="0" borderId="0" xfId="0" applyFont="1">
      <alignment vertical="center"/>
    </xf>
    <xf numFmtId="0" fontId="275" fillId="0" borderId="0" xfId="0" applyFont="1" applyAlignment="1">
      <alignment vertical="center" wrapText="1"/>
    </xf>
    <xf numFmtId="0" fontId="275" fillId="0" borderId="0" xfId="0" applyFont="1" applyAlignment="1">
      <alignment vertical="center"/>
    </xf>
    <xf numFmtId="0" fontId="275" fillId="0" borderId="0" xfId="0" applyFont="1" applyAlignment="1">
      <alignment horizontal="left" vertical="center" wrapText="1"/>
    </xf>
    <xf numFmtId="0" fontId="275" fillId="0" borderId="0" xfId="0" applyFont="1" applyAlignment="1">
      <alignment horizontal="left" vertical="center"/>
    </xf>
    <xf numFmtId="0" fontId="275" fillId="0" borderId="0" xfId="0" applyFont="1" applyFill="1" applyAlignment="1">
      <alignment vertical="center"/>
    </xf>
    <xf numFmtId="0" fontId="275" fillId="7" borderId="0" xfId="0" applyFont="1" applyFill="1" applyAlignment="1">
      <alignment vertical="center"/>
    </xf>
    <xf numFmtId="0" fontId="275" fillId="7" borderId="0" xfId="0" applyFont="1" applyFill="1" applyAlignment="1">
      <alignment horizontal="left" vertical="center"/>
    </xf>
    <xf numFmtId="1" fontId="275" fillId="0" borderId="0" xfId="0" applyNumberFormat="1" applyFont="1" applyAlignment="1">
      <alignment vertical="center"/>
    </xf>
    <xf numFmtId="1" fontId="275" fillId="7" borderId="0" xfId="0" applyNumberFormat="1" applyFont="1" applyFill="1" applyAlignment="1">
      <alignment vertical="center"/>
    </xf>
    <xf numFmtId="0" fontId="144" fillId="0" borderId="0" xfId="0" applyFont="1">
      <alignment vertical="center"/>
    </xf>
    <xf numFmtId="0" fontId="144" fillId="0" borderId="0" xfId="0" applyFont="1" applyAlignment="1">
      <alignment horizontal="left" vertical="center"/>
    </xf>
    <xf numFmtId="1" fontId="275" fillId="0" borderId="0" xfId="0" applyNumberFormat="1" applyFont="1" applyFill="1" applyAlignment="1">
      <alignment vertical="center"/>
    </xf>
    <xf numFmtId="0" fontId="275" fillId="6" borderId="0" xfId="0" applyFont="1" applyFill="1" applyAlignment="1">
      <alignment vertical="center"/>
    </xf>
    <xf numFmtId="1" fontId="275" fillId="6" borderId="0" xfId="0" applyNumberFormat="1" applyFont="1" applyFill="1" applyAlignment="1">
      <alignment vertical="center"/>
    </xf>
    <xf numFmtId="0" fontId="275" fillId="6" borderId="0" xfId="0" applyFont="1" applyFill="1" applyAlignment="1">
      <alignment horizontal="left" vertical="center"/>
    </xf>
    <xf numFmtId="1" fontId="107" fillId="3" borderId="30" xfId="0" applyNumberFormat="1" applyFont="1" applyFill="1" applyBorder="1" applyAlignment="1" applyProtection="1">
      <alignment vertical="center" wrapText="1"/>
      <protection locked="0"/>
    </xf>
    <xf numFmtId="0" fontId="201" fillId="0" borderId="11" xfId="0" applyFont="1" applyBorder="1" applyAlignment="1" applyProtection="1">
      <alignment horizontal="center" vertical="center"/>
      <protection locked="0"/>
    </xf>
    <xf numFmtId="0" fontId="255" fillId="5" borderId="2" xfId="14" applyFont="1" applyFill="1" applyBorder="1" applyAlignment="1">
      <alignment horizontal="left" vertical="center"/>
    </xf>
    <xf numFmtId="0" fontId="256" fillId="5" borderId="10" xfId="14" applyFont="1" applyFill="1" applyBorder="1" applyAlignment="1">
      <alignment horizontal="left" vertical="center" wrapText="1"/>
    </xf>
    <xf numFmtId="0" fontId="256" fillId="5" borderId="2" xfId="14" applyFont="1" applyFill="1" applyBorder="1" applyAlignment="1">
      <alignment horizontal="left" vertical="center" wrapText="1"/>
    </xf>
    <xf numFmtId="0" fontId="144" fillId="6" borderId="0" xfId="0" applyFont="1" applyFill="1" applyAlignment="1">
      <alignment horizontal="left" vertical="center"/>
    </xf>
    <xf numFmtId="2" fontId="144" fillId="0" borderId="0" xfId="0" applyNumberFormat="1" applyFont="1" applyAlignment="1">
      <alignment horizontal="left" vertical="center"/>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xdr:row>
      <xdr:rowOff>142875</xdr:rowOff>
    </xdr:from>
    <xdr:to>
      <xdr:col>13</xdr:col>
      <xdr:colOff>541778</xdr:colOff>
      <xdr:row>15</xdr:row>
      <xdr:rowOff>104480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314325"/>
          <a:ext cx="9180953" cy="2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304799</xdr:colOff>
      <xdr:row>0</xdr:row>
      <xdr:rowOff>131368</xdr:rowOff>
    </xdr:from>
    <xdr:to>
      <xdr:col>12</xdr:col>
      <xdr:colOff>161924</xdr:colOff>
      <xdr:row>27</xdr:row>
      <xdr:rowOff>114300</xdr:rowOff>
    </xdr:to>
    <xdr:pic>
      <xdr:nvPicPr>
        <xdr:cNvPr id="2" name="图片 1" descr="C:\Documents and Settings\Administrator\Application Data\Tencent\Users\2416965547\QQ\WinTemp\RichOle\_6UZ%$JVJEXZMOP9PI@BBI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131368"/>
          <a:ext cx="8086725" cy="461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11</xdr:col>
      <xdr:colOff>227401</xdr:colOff>
      <xdr:row>22</xdr:row>
      <xdr:rowOff>148169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050"/>
          <a:ext cx="7771201" cy="3901019"/>
        </a:xfrm>
        <a:prstGeom prst="rect">
          <a:avLst/>
        </a:prstGeom>
      </xdr:spPr>
    </xdr:pic>
    <xdr:clientData/>
  </xdr:twoCellAnchor>
  <xdr:twoCellAnchor editAs="oneCell">
    <xdr:from>
      <xdr:col>0</xdr:col>
      <xdr:colOff>304800</xdr:colOff>
      <xdr:row>22</xdr:row>
      <xdr:rowOff>95250</xdr:rowOff>
    </xdr:from>
    <xdr:to>
      <xdr:col>10</xdr:col>
      <xdr:colOff>361950</xdr:colOff>
      <xdr:row>55</xdr:row>
      <xdr:rowOff>28575</xdr:rowOff>
    </xdr:to>
    <xdr:pic>
      <xdr:nvPicPr>
        <xdr:cNvPr id="3" name="图片 2" descr="C:\Documents and Settings\Administrator\Application Data\Tencent\Users\2416965547\QQ\WinTemp\RichOle\]QPGC_P9E~E]I9ZH54`U%]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3867150"/>
          <a:ext cx="6915150" cy="559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447675</xdr:colOff>
      <xdr:row>2</xdr:row>
      <xdr:rowOff>66675</xdr:rowOff>
    </xdr:from>
    <xdr:to>
      <xdr:col>10</xdr:col>
      <xdr:colOff>19050</xdr:colOff>
      <xdr:row>31</xdr:row>
      <xdr:rowOff>85725</xdr:rowOff>
    </xdr:to>
    <xdr:pic>
      <xdr:nvPicPr>
        <xdr:cNvPr id="2" name="图片 1" descr="C:\Documents and Settings\Administrator\Application Data\Tencent\Users\2416965547\QQ\WinTemp\RichOle\CBPF[%DCFB~K[FB{)DUL84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09575"/>
          <a:ext cx="6429375" cy="499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73%23&#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0005;&#31639;&#34920;-88%23&#22303;&#2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0005;&#31639;&#34920;-89%23&#22303;&#223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0005;&#31639;&#34920;-95%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74%2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75%2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76%23&#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77%23&#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78%23&#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79%23&#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0005;&#31639;&#34920;-80%23&#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0005;&#31639;&#34920;-87%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66978.06</v>
          </cell>
          <cell r="E3">
            <v>100467.09</v>
          </cell>
          <cell r="I3">
            <v>1.5</v>
          </cell>
        </row>
      </sheetData>
      <sheetData sheetId="13"/>
      <sheetData sheetId="14"/>
      <sheetData sheetId="15"/>
      <sheetData sheetId="16">
        <row r="27">
          <cell r="D27">
            <v>2009</v>
          </cell>
        </row>
        <row r="32">
          <cell r="C32">
            <v>6476</v>
          </cell>
        </row>
        <row r="33">
          <cell r="C33">
            <v>645</v>
          </cell>
        </row>
        <row r="34">
          <cell r="C34">
            <v>967</v>
          </cell>
        </row>
        <row r="79">
          <cell r="O79">
            <v>6128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28575.46</v>
          </cell>
          <cell r="E3">
            <v>14287.73</v>
          </cell>
          <cell r="I3">
            <v>0.5</v>
          </cell>
        </row>
      </sheetData>
      <sheetData sheetId="13"/>
      <sheetData sheetId="14"/>
      <sheetData sheetId="15"/>
      <sheetData sheetId="16">
        <row r="27">
          <cell r="D27">
            <v>857</v>
          </cell>
        </row>
        <row r="32">
          <cell r="C32">
            <v>2115</v>
          </cell>
        </row>
        <row r="33">
          <cell r="C33">
            <v>1480</v>
          </cell>
        </row>
        <row r="34">
          <cell r="C34">
            <v>740</v>
          </cell>
        </row>
        <row r="79">
          <cell r="O79">
            <v>2001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26689.95</v>
          </cell>
          <cell r="E3">
            <v>21351.960000000003</v>
          </cell>
          <cell r="I3">
            <v>0.8</v>
          </cell>
        </row>
      </sheetData>
      <sheetData sheetId="13"/>
      <sheetData sheetId="14"/>
      <sheetData sheetId="15"/>
      <sheetData sheetId="16">
        <row r="27">
          <cell r="D27">
            <v>801</v>
          </cell>
        </row>
        <row r="32">
          <cell r="C32">
            <v>2650</v>
          </cell>
        </row>
        <row r="33">
          <cell r="C33">
            <v>1241</v>
          </cell>
        </row>
        <row r="34">
          <cell r="C34">
            <v>993</v>
          </cell>
        </row>
        <row r="79">
          <cell r="O79">
            <v>2508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63227.08</v>
          </cell>
          <cell r="E3">
            <v>101163.33</v>
          </cell>
          <cell r="I3">
            <v>1.6</v>
          </cell>
        </row>
        <row r="19">
          <cell r="F19">
            <v>85988.83</v>
          </cell>
        </row>
        <row r="20">
          <cell r="F20">
            <v>15174.5</v>
          </cell>
        </row>
      </sheetData>
      <sheetData sheetId="13"/>
      <sheetData sheetId="14"/>
      <sheetData sheetId="15"/>
      <sheetData sheetId="16">
        <row r="27">
          <cell r="D27">
            <v>1897</v>
          </cell>
        </row>
        <row r="32">
          <cell r="C32">
            <v>7952</v>
          </cell>
        </row>
        <row r="33">
          <cell r="C33">
            <v>786</v>
          </cell>
        </row>
        <row r="34">
          <cell r="C34">
            <v>1258</v>
          </cell>
        </row>
        <row r="79">
          <cell r="O79">
            <v>6821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36872.89</v>
          </cell>
          <cell r="E3">
            <v>73745.78</v>
          </cell>
          <cell r="I3">
            <v>2</v>
          </cell>
        </row>
      </sheetData>
      <sheetData sheetId="13"/>
      <sheetData sheetId="14"/>
      <sheetData sheetId="15"/>
      <sheetData sheetId="16">
        <row r="27">
          <cell r="D27">
            <v>1106</v>
          </cell>
        </row>
        <row r="32">
          <cell r="C32">
            <v>3145</v>
          </cell>
        </row>
        <row r="33">
          <cell r="C33">
            <v>426</v>
          </cell>
        </row>
        <row r="34">
          <cell r="C34">
            <v>853</v>
          </cell>
        </row>
        <row r="79">
          <cell r="O79">
            <v>2975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45229.74</v>
          </cell>
          <cell r="E3">
            <v>67844.61</v>
          </cell>
          <cell r="I3">
            <v>1.5</v>
          </cell>
        </row>
      </sheetData>
      <sheetData sheetId="13"/>
      <sheetData sheetId="14"/>
      <sheetData sheetId="15"/>
      <sheetData sheetId="16">
        <row r="32">
          <cell r="C32">
            <v>4329</v>
          </cell>
        </row>
        <row r="33">
          <cell r="C33">
            <v>638</v>
          </cell>
        </row>
        <row r="34">
          <cell r="C34">
            <v>957</v>
          </cell>
        </row>
        <row r="79">
          <cell r="O79">
            <v>4096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32682.59</v>
          </cell>
          <cell r="E3">
            <v>16341.295</v>
          </cell>
          <cell r="I3">
            <v>0.5</v>
          </cell>
        </row>
      </sheetData>
      <sheetData sheetId="13"/>
      <sheetData sheetId="14"/>
      <sheetData sheetId="15"/>
      <sheetData sheetId="16">
        <row r="27">
          <cell r="D27">
            <v>980</v>
          </cell>
        </row>
        <row r="32">
          <cell r="C32">
            <v>2387</v>
          </cell>
        </row>
        <row r="33">
          <cell r="C33">
            <v>1461</v>
          </cell>
        </row>
        <row r="34">
          <cell r="C34">
            <v>730</v>
          </cell>
        </row>
        <row r="79">
          <cell r="O79">
            <v>2259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34264.870000000003</v>
          </cell>
          <cell r="E3">
            <v>27411.896000000004</v>
          </cell>
          <cell r="I3">
            <v>0.8</v>
          </cell>
        </row>
      </sheetData>
      <sheetData sheetId="13"/>
      <sheetData sheetId="14"/>
      <sheetData sheetId="15"/>
      <sheetData sheetId="16">
        <row r="27">
          <cell r="D27">
            <v>1028</v>
          </cell>
        </row>
        <row r="32">
          <cell r="C32">
            <v>3351</v>
          </cell>
        </row>
        <row r="33">
          <cell r="C33">
            <v>1222</v>
          </cell>
        </row>
        <row r="34">
          <cell r="C34">
            <v>978</v>
          </cell>
        </row>
        <row r="79">
          <cell r="O79">
            <v>3170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55185.68</v>
          </cell>
          <cell r="E3">
            <v>44148.544000000002</v>
          </cell>
          <cell r="I3">
            <v>0.8</v>
          </cell>
        </row>
      </sheetData>
      <sheetData sheetId="13"/>
      <sheetData sheetId="14"/>
      <sheetData sheetId="15"/>
      <sheetData sheetId="16">
        <row r="27">
          <cell r="D27">
            <v>1656</v>
          </cell>
        </row>
        <row r="32">
          <cell r="C32">
            <v>5441</v>
          </cell>
        </row>
        <row r="33">
          <cell r="C33">
            <v>1232</v>
          </cell>
        </row>
        <row r="34">
          <cell r="C34">
            <v>986</v>
          </cell>
        </row>
        <row r="79">
          <cell r="O79">
            <v>5148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28822.73</v>
          </cell>
          <cell r="E3">
            <v>34587.275999999998</v>
          </cell>
          <cell r="I3">
            <v>1.2</v>
          </cell>
        </row>
      </sheetData>
      <sheetData sheetId="13"/>
      <sheetData sheetId="14"/>
      <sheetData sheetId="15"/>
      <sheetData sheetId="16">
        <row r="27">
          <cell r="D27">
            <v>865</v>
          </cell>
        </row>
        <row r="32">
          <cell r="C32">
            <v>2363</v>
          </cell>
        </row>
        <row r="33">
          <cell r="C33">
            <v>683</v>
          </cell>
        </row>
        <row r="34">
          <cell r="C34">
            <v>820</v>
          </cell>
        </row>
        <row r="79">
          <cell r="O79">
            <v>2236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37285.33</v>
          </cell>
          <cell r="E3">
            <v>44742.396000000001</v>
          </cell>
          <cell r="I3">
            <v>1.2</v>
          </cell>
        </row>
      </sheetData>
      <sheetData sheetId="13"/>
      <sheetData sheetId="14"/>
      <sheetData sheetId="15"/>
      <sheetData sheetId="16">
        <row r="27">
          <cell r="D27">
            <v>1119</v>
          </cell>
        </row>
        <row r="32">
          <cell r="C32">
            <v>3063</v>
          </cell>
        </row>
        <row r="33">
          <cell r="C33">
            <v>685</v>
          </cell>
        </row>
        <row r="34">
          <cell r="C34">
            <v>822</v>
          </cell>
        </row>
        <row r="79">
          <cell r="O79">
            <v>2898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27628.09</v>
          </cell>
          <cell r="E3">
            <v>13814.045</v>
          </cell>
          <cell r="I3">
            <v>0.5</v>
          </cell>
        </row>
      </sheetData>
      <sheetData sheetId="13"/>
      <sheetData sheetId="14"/>
      <sheetData sheetId="15"/>
      <sheetData sheetId="16">
        <row r="27">
          <cell r="D27">
            <v>829</v>
          </cell>
        </row>
        <row r="32">
          <cell r="C32">
            <v>2048</v>
          </cell>
        </row>
        <row r="33">
          <cell r="C33">
            <v>1483</v>
          </cell>
        </row>
        <row r="34">
          <cell r="C34">
            <v>741</v>
          </cell>
        </row>
        <row r="79">
          <cell r="O79">
            <v>1938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2611</v>
      </c>
      <c r="B1" s="2846" t="s">
        <v>2708</v>
      </c>
    </row>
    <row r="2" spans="1:55" s="2850" customFormat="1" ht="15" thickTop="1">
      <c r="A2" s="2848" t="s">
        <v>2615</v>
      </c>
      <c r="B2" s="2849" t="str">
        <f>'预评函-封皮'!B37</f>
        <v>沧州市黄骅市南大港产业园区出让国有建设用地使用权抵押价格预评估</v>
      </c>
      <c r="AX2" s="2851"/>
      <c r="AZ2" s="2851"/>
      <c r="BA2" s="2852"/>
      <c r="BC2" s="2852"/>
    </row>
    <row r="3" spans="1:55" s="2853" customFormat="1">
      <c r="A3" s="2832" t="s">
        <v>2616</v>
      </c>
      <c r="B3" s="2835">
        <f>'预评函-封皮'!B40</f>
        <v>0</v>
      </c>
    </row>
    <row r="4" spans="1:55" s="2834" customFormat="1">
      <c r="A4" s="2832" t="s">
        <v>2617</v>
      </c>
      <c r="B4" s="2833" t="str">
        <f>'预评函-封皮'!B46</f>
        <v>崔锴、赵雯</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2618</v>
      </c>
      <c r="B5" s="2855" t="str">
        <f>'预评函-封皮'!B49</f>
        <v>康正预评字号</v>
      </c>
    </row>
    <row r="6" spans="1:55" s="2856" customFormat="1" ht="15" thickTop="1">
      <c r="A6" s="2848" t="s">
        <v>2660</v>
      </c>
      <c r="B6" s="2849" t="str">
        <f>'预评函-1'!A4</f>
        <v>受贵公司委托，我公司对沧州市黄骅市南大港产业园区出让国有建设用地使用权抵押价格进行了预评估。</v>
      </c>
      <c r="AM6" s="2857"/>
    </row>
    <row r="7" spans="1:55" s="2831" customFormat="1">
      <c r="A7" s="2832" t="s">
        <v>2612</v>
      </c>
      <c r="B7" s="2833" t="str">
        <f>'预评函-1'!A6</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8" spans="1:55" s="2831" customFormat="1">
      <c r="A8" s="2832" t="s">
        <v>2613</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2663</v>
      </c>
      <c r="B9" s="2833"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2614</v>
      </c>
      <c r="B10" s="2833" t="str">
        <f>'预评函-1'!A11</f>
        <v>2019年9月16日（评估专业人员勘察现场之日）</v>
      </c>
    </row>
    <row r="11" spans="1:55" s="2831" customFormat="1">
      <c r="A11" s="2832" t="s">
        <v>2620</v>
      </c>
      <c r="B11" s="2833" t="str">
        <f>'预评函-1'!A14</f>
        <v>根据《国有土地使用证》，本次评估估价对象证载（地类）用途为。</v>
      </c>
    </row>
    <row r="12" spans="1:55" s="2831" customFormat="1">
      <c r="A12" s="2832" t="s">
        <v>2621</v>
      </c>
      <c r="B12" s="2833" t="str">
        <f>'预评函-1'!A15</f>
        <v>本次评估设定用途即为证载用途。</v>
      </c>
    </row>
    <row r="13" spans="1:55" s="2831" customFormat="1">
      <c r="A13" s="2832" t="s">
        <v>2622</v>
      </c>
      <c r="B13" s="2833" t="str">
        <f>'预评函-1'!A17</f>
        <v>根据委托估价方介绍及评估专业人员现场勘查，本次评估估价对象实际土地开发程度为红线外市政基础设施达“七通”（即通路、通电、通讯、通上水、通下水、燃气、通热）、宗地红线内场地平整。</v>
      </c>
    </row>
    <row r="14" spans="1:55" s="2831" customFormat="1">
      <c r="A14" s="2832" t="s">
        <v>2623</v>
      </c>
      <c r="B14" s="2833" t="str">
        <f>'预评函-1'!A18</f>
        <v>。本次评估设定土地开发程度为红线外市政基础设施达“七通”、宗地红线内场地平整。</v>
      </c>
    </row>
    <row r="15" spans="1:55" s="2831" customFormat="1">
      <c r="A15" s="2832" t="s">
        <v>2619</v>
      </c>
      <c r="B15" s="2833" t="str">
        <f>'预评函-1'!A20</f>
        <v>根据《不动产权证书》，估价对象（分摊）出让国有建设用地使用权面积为27729.29平方米。根据《出让合同》，估价对象规划建筑面积为55458.58平方米。</v>
      </c>
    </row>
    <row r="16" spans="1:55" s="2831" customFormat="1">
      <c r="A16" s="2832" t="s">
        <v>2624</v>
      </c>
      <c r="B16" s="2833" t="str">
        <f>'预评函-1'!A22</f>
        <v>本次估价对象为出让国有建设用地使用权，《国有土地使用证》证载土地终止日期为商业2058年4月12日。截至估价期日，出让国有建设用地使用权剩余土地使用年限为。</v>
      </c>
    </row>
    <row r="17" spans="1:48" s="2831" customFormat="1">
      <c r="A17" s="2832" t="s">
        <v>2625</v>
      </c>
      <c r="B17" s="2833" t="str">
        <f>'预评函-1'!A23</f>
        <v>本次评估设定估价对象剩余土地使用年限为。</v>
      </c>
    </row>
    <row r="18" spans="1:48" s="2831" customFormat="1">
      <c r="A18" s="2832" t="s">
        <v>2626</v>
      </c>
      <c r="B18" s="2833" t="str">
        <f>'预评函-1'!A25</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19" spans="1:48" s="2831" customFormat="1">
      <c r="A19" s="2832" t="s">
        <v>2627</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2628</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2629</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2630</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2631</v>
      </c>
      <c r="B23" s="2833" t="str">
        <f>'预评函-2'!K2</f>
        <v>估价期日：2019年9月16日</v>
      </c>
    </row>
    <row r="24" spans="1:48">
      <c r="A24" s="2832" t="s">
        <v>2632</v>
      </c>
      <c r="B24" s="2833" t="str">
        <f>'预评函-2'!R2</f>
        <v>估价期日的国有建设用地使用权性质：出让</v>
      </c>
    </row>
    <row r="25" spans="1:48">
      <c r="A25" s="2832" t="s">
        <v>2688</v>
      </c>
      <c r="B25" s="2833" t="str">
        <f>'预评函-2'!A3</f>
        <v>估价期日土地使用者</v>
      </c>
    </row>
    <row r="26" spans="1:48">
      <c r="A26" s="2832" t="s">
        <v>2664</v>
      </c>
      <c r="B26" s="2833" t="str">
        <f>'预评函-2'!A5</f>
        <v>中信开发</v>
      </c>
    </row>
    <row r="27" spans="1:48">
      <c r="A27" s="2832" t="s">
        <v>2689</v>
      </c>
      <c r="B27" s="2833" t="str">
        <f>'预评函-2'!B3</f>
        <v>宗地编号/不动产单元号</v>
      </c>
    </row>
    <row r="28" spans="1:48">
      <c r="A28" s="2832" t="s">
        <v>2665</v>
      </c>
      <c r="B28" s="2833" t="str">
        <f>'预评函-2'!B5</f>
        <v>11111111111</v>
      </c>
    </row>
    <row r="29" spans="1:48">
      <c r="A29" s="2832" t="s">
        <v>2691</v>
      </c>
      <c r="B29" s="2833">
        <f>'预评函-2'!C5</f>
        <v>22</v>
      </c>
    </row>
    <row r="30" spans="1:48">
      <c r="A30" s="2832" t="s">
        <v>2692</v>
      </c>
      <c r="B30" s="2833" t="str">
        <f>'预评函-2'!D3</f>
        <v>土地使用证编号/不动产权证书编号</v>
      </c>
    </row>
    <row r="31" spans="1:48">
      <c r="A31" s="2832" t="s">
        <v>2666</v>
      </c>
      <c r="B31" s="2833" t="str">
        <f>'预评函-2'!D5</f>
        <v>京国土字第111号</v>
      </c>
    </row>
    <row r="32" spans="1:48">
      <c r="A32" s="2832" t="s">
        <v>2667</v>
      </c>
      <c r="B32" s="2833">
        <f>'预评函-2'!E5</f>
        <v>0</v>
      </c>
      <c r="AV32" s="2837"/>
    </row>
    <row r="33" spans="1:2">
      <c r="A33" s="2832" t="s">
        <v>2668</v>
      </c>
      <c r="B33" s="2833">
        <f>'预评函-2'!F5</f>
        <v>258</v>
      </c>
    </row>
    <row r="34" spans="1:2">
      <c r="A34" s="2832" t="s">
        <v>2669</v>
      </c>
      <c r="B34" s="2833">
        <f>'预评函-2'!G5</f>
        <v>0</v>
      </c>
    </row>
    <row r="35" spans="1:2">
      <c r="A35" s="2832" t="s">
        <v>2670</v>
      </c>
      <c r="B35" s="2833">
        <f>'预评函-2'!H5</f>
        <v>1.5</v>
      </c>
    </row>
    <row r="36" spans="1:2">
      <c r="A36" s="2832" t="s">
        <v>2671</v>
      </c>
      <c r="B36" s="2833">
        <f>'预评函-2'!I5</f>
        <v>1.5</v>
      </c>
    </row>
    <row r="37" spans="1:2">
      <c r="A37" s="2832" t="s">
        <v>2672</v>
      </c>
      <c r="B37" s="2833">
        <f>'预评函-2'!J5</f>
        <v>1.5</v>
      </c>
    </row>
    <row r="38" spans="1:2">
      <c r="A38" s="2832" t="s">
        <v>2673</v>
      </c>
      <c r="B38" s="2833" t="str">
        <f>'预评函-2'!K5</f>
        <v>红线外七通、宗地红线内</v>
      </c>
    </row>
    <row r="39" spans="1:2">
      <c r="A39" s="2832" t="s">
        <v>2674</v>
      </c>
      <c r="B39" s="2833" t="str">
        <f>'预评函-2'!L5</f>
        <v>红线外七通、宗地红线内场地</v>
      </c>
    </row>
    <row r="40" spans="1:2">
      <c r="A40" s="2832" t="s">
        <v>2693</v>
      </c>
      <c r="B40" s="2833" t="str">
        <f>'预评函-2'!M3</f>
        <v>（剩余）土地使用年限/年</v>
      </c>
    </row>
    <row r="41" spans="1:2">
      <c r="A41" s="2832" t="s">
        <v>2675</v>
      </c>
      <c r="B41" s="2833">
        <f>'预评函-2'!M5</f>
        <v>0</v>
      </c>
    </row>
    <row r="42" spans="1:2">
      <c r="A42" s="2832" t="s">
        <v>2694</v>
      </c>
      <c r="B42" s="2833" t="str">
        <f>'预评函-2'!N3</f>
        <v>（分摊）出让国有建设用地使用权面积/㎡</v>
      </c>
    </row>
    <row r="43" spans="1:2">
      <c r="A43" s="2832" t="s">
        <v>2676</v>
      </c>
      <c r="B43" s="2833">
        <f>'预评函-2'!N5</f>
        <v>27729.29</v>
      </c>
    </row>
    <row r="44" spans="1:2">
      <c r="A44" s="2832" t="s">
        <v>2695</v>
      </c>
      <c r="B44" s="2833" t="str">
        <f>'预评函-2'!O3</f>
        <v>规划建筑面积/㎡</v>
      </c>
    </row>
    <row r="45" spans="1:2">
      <c r="A45" s="2832" t="s">
        <v>2677</v>
      </c>
      <c r="B45" s="2833">
        <f>'预评函-2'!O5</f>
        <v>55458.58</v>
      </c>
    </row>
    <row r="46" spans="1:2">
      <c r="A46" s="2832" t="s">
        <v>2678</v>
      </c>
      <c r="B46" s="2833">
        <f ca="1">'预评函-2'!P5</f>
        <v>854</v>
      </c>
    </row>
    <row r="47" spans="1:2">
      <c r="A47" s="2832" t="s">
        <v>2679</v>
      </c>
      <c r="B47" s="2833">
        <f ca="1">'预评函-2'!Q5</f>
        <v>427</v>
      </c>
    </row>
    <row r="48" spans="1:2">
      <c r="A48" s="2832" t="s">
        <v>2680</v>
      </c>
      <c r="B48" s="2833">
        <f ca="1">'预评函-2'!R5</f>
        <v>2369</v>
      </c>
    </row>
    <row r="49" spans="1:2">
      <c r="A49" s="2832" t="s">
        <v>2696</v>
      </c>
      <c r="B49" s="2833" t="str">
        <f>'预评函-2'!A6</f>
        <v>抵押价格</v>
      </c>
    </row>
    <row r="50" spans="1:2">
      <c r="A50" s="2832" t="s">
        <v>2681</v>
      </c>
      <c r="B50" s="2833">
        <f ca="1">'预评函-2'!R6</f>
        <v>2369</v>
      </c>
    </row>
    <row r="51" spans="1:2">
      <c r="A51" s="2832" t="s">
        <v>2697</v>
      </c>
      <c r="B51" s="2833" t="str">
        <f>'预评函-2'!A7</f>
        <v>——</v>
      </c>
    </row>
    <row r="52" spans="1:2">
      <c r="A52" s="2832" t="s">
        <v>2682</v>
      </c>
      <c r="B52" s="2833" t="str">
        <f>'预评函-2'!R7</f>
        <v>——</v>
      </c>
    </row>
    <row r="53" spans="1:2">
      <c r="A53" s="2832" t="s">
        <v>2698</v>
      </c>
      <c r="B53" s="2833" t="str">
        <f>'预评函-2'!A8</f>
        <v>抵押净值</v>
      </c>
    </row>
    <row r="54" spans="1:2" s="2847" customFormat="1" ht="15" thickBot="1">
      <c r="A54" s="2854" t="s">
        <v>2683</v>
      </c>
      <c r="B54" s="2855">
        <f ca="1">'预评函-2'!R8</f>
        <v>2242</v>
      </c>
    </row>
    <row r="55" spans="1:2" ht="15" thickTop="1">
      <c r="A55" s="2843" t="s">
        <v>2633</v>
      </c>
      <c r="B55" s="2844" t="str">
        <f>'预评函-3'!A2</f>
        <v>1.权利限制：根据估价对象《不动产权证书》复印件、《国有土地使用权》复印件，截至估价期日，估价对象抵押权未见登记。未设定租赁等其他他项权利。</v>
      </c>
    </row>
    <row r="56" spans="1:2">
      <c r="A56" s="2832" t="s">
        <v>2634</v>
      </c>
      <c r="B56" s="2833" t="str">
        <f>'预评函-3'!A3</f>
        <v>2.基础设施条件：估价对象实际开发程度为红线外七通、宗地红线内；本次评估设定开发程度为红线外七通、宗地红线内场地。</v>
      </c>
    </row>
    <row r="57" spans="1:2">
      <c r="A57" s="2832" t="s">
        <v>2635</v>
      </c>
      <c r="B57" s="2833" t="str">
        <f>'预评函-3'!A4</f>
        <v>3.估价规划限制条件：详见《出让合同》。</v>
      </c>
    </row>
    <row r="58" spans="1:2" s="2847" customFormat="1" ht="15" thickBot="1">
      <c r="A58" s="2854" t="s">
        <v>2684</v>
      </c>
      <c r="B58" s="2855" t="str">
        <f>'预评函-3'!A5</f>
        <v>4.影响价格的其他限定条件：无。</v>
      </c>
    </row>
    <row r="59" spans="1:2" ht="15" thickTop="1">
      <c r="A59" s="2843" t="s">
        <v>2636</v>
      </c>
      <c r="B59" s="2844" t="str">
        <f>'预评函-3'!A8</f>
        <v>2.本《评估意见函》仅供金融机构进行内部审核使用，不做其他目的之用。</v>
      </c>
    </row>
    <row r="60" spans="1:2">
      <c r="A60" s="2832" t="s">
        <v>2637</v>
      </c>
      <c r="B60" s="2833" t="str">
        <f>'预评函-3'!A9</f>
        <v>3.抵押双方在办理抵押登记手续时，应使用本公司出具的正式《土地估价报告》，特提请报告使用者注意。</v>
      </c>
    </row>
    <row r="61" spans="1:2">
      <c r="A61" s="2832" t="s">
        <v>2639</v>
      </c>
      <c r="B61" s="2833" t="str">
        <f>'预评函-3'!A10</f>
        <v>4.估价师所知悉的法定优先受偿款情况为：</v>
      </c>
    </row>
    <row r="62" spans="1:2">
      <c r="A62" s="2832" t="s">
        <v>2638</v>
      </c>
      <c r="B62" s="2833" t="str">
        <f>'预评函-3'!A11</f>
        <v>（1）根据估价对象《不动产权证书》复印件、《国有土地使用权》复印件，截至估价期日，估价对象抵押权未见登记。</v>
      </c>
    </row>
    <row r="63" spans="1:2">
      <c r="A63" s="2832" t="s">
        <v>2640</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2641</v>
      </c>
      <c r="B64" s="2838" t="str">
        <f>'预评函-3'!A13</f>
        <v>（3）。</v>
      </c>
    </row>
    <row r="65" spans="1:2">
      <c r="A65" s="2832" t="s">
        <v>2642</v>
      </c>
      <c r="B65" s="2839" t="str">
        <f>'预评函-3'!A14</f>
        <v>综上，本次评估不存在估价师知悉的法定优先受偿款</v>
      </c>
    </row>
    <row r="66" spans="1:2">
      <c r="A66" s="2832" t="s">
        <v>2643</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2644</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2647</v>
      </c>
      <c r="B68" s="2858">
        <f>'预评函-3'!D30</f>
        <v>42558</v>
      </c>
    </row>
    <row r="69" spans="1:2" ht="15" thickTop="1">
      <c r="A69" s="2843" t="s">
        <v>2645</v>
      </c>
      <c r="B69" s="2844" t="str">
        <f>'预评函-3'!A20</f>
        <v>崔锴</v>
      </c>
    </row>
    <row r="70" spans="1:2">
      <c r="A70" s="2832" t="s">
        <v>2645</v>
      </c>
      <c r="B70" s="2839">
        <f ca="1">'预评函-3'!B20</f>
        <v>2010110070</v>
      </c>
    </row>
    <row r="71" spans="1:2">
      <c r="A71" s="2832" t="s">
        <v>2646</v>
      </c>
      <c r="B71" s="2833" t="str">
        <f>'预评函-3'!A21</f>
        <v>赵雯</v>
      </c>
    </row>
    <row r="72" spans="1:2" s="2847" customFormat="1" ht="15" thickBot="1">
      <c r="A72" s="2854" t="s">
        <v>2646</v>
      </c>
      <c r="B72" s="2860">
        <f ca="1">'预评函-3'!B21</f>
        <v>2011110090</v>
      </c>
    </row>
    <row r="73" spans="1:2" ht="15" thickTop="1">
      <c r="A73" s="2843" t="s">
        <v>2705</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2706</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2707</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2742</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1896</v>
      </c>
      <c r="B1" s="3266" t="str">
        <f>IF(B10="北京市","北京市",C10)&amp;F10&amp;B16&amp;"国有建设用地使用权"&amp;B9&amp;"预评估"</f>
        <v>沧州市黄骅市南大港产业园区出让国有建设用地使用权抵押价格预评估</v>
      </c>
      <c r="C1" s="3267"/>
      <c r="D1" s="3267"/>
      <c r="E1" s="3267"/>
      <c r="F1" s="3267"/>
      <c r="G1" s="3267"/>
      <c r="H1" s="3267"/>
      <c r="I1" s="3268"/>
      <c r="J1" s="1677"/>
      <c r="K1" s="2418" t="str">
        <f>IF(B10="北京市","北京市",C10)&amp;F10&amp;B16&amp;"国有建设用地使用权"&amp;B9</f>
        <v>沧州市黄骅市南大港产业园区出让国有建设用地使用权抵押价格</v>
      </c>
      <c r="L1" s="1706"/>
      <c r="M1" s="1706"/>
      <c r="N1" s="1677"/>
      <c r="O1" s="1678"/>
      <c r="P1" s="1677"/>
      <c r="Q1" s="1677"/>
      <c r="R1" s="1677"/>
      <c r="S1" s="1677"/>
      <c r="T1" s="1677"/>
      <c r="U1" s="1677"/>
    </row>
    <row r="2" spans="1:21">
      <c r="A2" s="1643" t="s">
        <v>1897</v>
      </c>
      <c r="B2" s="1825"/>
      <c r="D2" s="1677"/>
      <c r="E2" s="1677"/>
      <c r="F2" s="1677"/>
      <c r="G2" s="1677"/>
      <c r="H2" s="1643"/>
      <c r="I2" s="1678"/>
      <c r="J2" s="1677"/>
      <c r="K2" s="2418" t="str">
        <f>IF(B10="北京市","北京市",C10)&amp;F10&amp;B16&amp;"国有建设用地使用权"</f>
        <v>沧州市黄骅市南大港产业园区出让国有建设用地使用权</v>
      </c>
      <c r="L2" s="1706"/>
      <c r="M2" s="1706"/>
      <c r="N2" s="1677"/>
      <c r="O2" s="1678"/>
      <c r="P2" s="1677"/>
      <c r="Q2" s="1677"/>
      <c r="R2" s="1677"/>
      <c r="S2" s="1677"/>
      <c r="T2" s="1677"/>
      <c r="U2" s="1677"/>
    </row>
    <row r="3" spans="1:21">
      <c r="A3" s="1644" t="s">
        <v>1898</v>
      </c>
      <c r="B3" s="1645">
        <v>43724</v>
      </c>
      <c r="C3" s="1646" t="s">
        <v>1953</v>
      </c>
      <c r="D3" s="1645">
        <f>B3</f>
        <v>43724</v>
      </c>
      <c r="E3" s="1677"/>
      <c r="F3" s="1677"/>
      <c r="G3" s="1677"/>
      <c r="H3" s="1643"/>
      <c r="I3" s="1678"/>
      <c r="J3" s="1677"/>
      <c r="K3" s="1757"/>
      <c r="L3" s="1706"/>
      <c r="M3" s="1706"/>
      <c r="N3" s="1677"/>
      <c r="O3" s="1678"/>
      <c r="P3" s="1677"/>
      <c r="Q3" s="1677"/>
      <c r="R3" s="1677"/>
      <c r="S3" s="1677"/>
      <c r="T3" s="1677"/>
      <c r="U3" s="1677"/>
    </row>
    <row r="4" spans="1:21" ht="15" thickBot="1">
      <c r="A4" s="1647" t="s">
        <v>1899</v>
      </c>
      <c r="B4" s="1826" t="s">
        <v>2936</v>
      </c>
      <c r="C4" s="1829">
        <f ca="1">SUMIF(土地估价师,B4,估价师及机构信息!E3:E24)</f>
        <v>2010110070</v>
      </c>
      <c r="D4" s="1826" t="s">
        <v>2937</v>
      </c>
      <c r="E4" s="1829">
        <f ca="1">SUMIF(土地估价师,D4,估价师及机构信息!E3:E24)</f>
        <v>2011110090</v>
      </c>
      <c r="F4" s="1826" t="s">
        <v>915</v>
      </c>
      <c r="G4" s="1829">
        <f>SUMIF(土地估价师,F4,估价师及机构信息!E3:E24)</f>
        <v>0</v>
      </c>
      <c r="H4" s="1826" t="s">
        <v>915</v>
      </c>
      <c r="I4" s="1829">
        <f>SUMIF(土地估价师,H4,估价师及机构信息!E3:E24)</f>
        <v>0</v>
      </c>
      <c r="J4" s="1677"/>
      <c r="K4" s="2418" t="str">
        <f>IF(AND(F4="——",H4="——"),B4&amp;"、"&amp;D4,IF(AND(F4&lt;&gt;"——",H4="——"),B4&amp;"、"&amp;D4&amp;"、"&amp;F4,B4&amp;"、"&amp;D4&amp;"、"&amp;F4&amp;"、"&amp;H4))</f>
        <v>崔锴、赵雯</v>
      </c>
      <c r="L4" s="1706"/>
      <c r="M4" s="1706"/>
      <c r="N4" s="1677"/>
      <c r="O4" s="1678"/>
      <c r="P4" s="1677"/>
      <c r="Q4" s="1677"/>
      <c r="R4" s="1677"/>
      <c r="S4" s="1677"/>
      <c r="T4" s="1677"/>
      <c r="U4" s="1677"/>
    </row>
    <row r="5" spans="1:21" ht="15" thickTop="1">
      <c r="A5" s="1648" t="s">
        <v>1900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2661</v>
      </c>
      <c r="B6" s="1772" t="s">
        <v>3016</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2662</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1901</v>
      </c>
      <c r="B8" s="1653" t="s">
        <v>2938</v>
      </c>
      <c r="C8" s="1654"/>
      <c r="D8" s="3272" t="s">
        <v>1903</v>
      </c>
      <c r="E8" s="1827" t="s">
        <v>2939</v>
      </c>
      <c r="F8" s="1655"/>
      <c r="G8" s="1643"/>
      <c r="H8" s="1643"/>
      <c r="I8" s="1690"/>
      <c r="J8" s="1677"/>
      <c r="K8" s="1757"/>
      <c r="L8" s="1706"/>
      <c r="M8" s="1706"/>
      <c r="N8" s="1677"/>
      <c r="O8" s="1678"/>
      <c r="P8" s="1677"/>
      <c r="Q8" s="1677"/>
      <c r="R8" s="1677"/>
      <c r="S8" s="1677"/>
      <c r="T8" s="1677"/>
      <c r="U8" s="1677"/>
    </row>
    <row r="9" spans="1:21" ht="15" thickBot="1">
      <c r="A9" s="1656" t="s">
        <v>1902</v>
      </c>
      <c r="B9" s="1657" t="s">
        <v>2939</v>
      </c>
      <c r="C9" s="1658"/>
      <c r="D9" s="3273"/>
      <c r="E9" s="1657" t="s">
        <v>2809</v>
      </c>
      <c r="F9" s="1730"/>
      <c r="G9" s="1725"/>
      <c r="H9" s="1725"/>
      <c r="I9" s="1726"/>
      <c r="J9" s="1677"/>
      <c r="K9" s="1757"/>
      <c r="L9" s="1706"/>
      <c r="M9" s="1706"/>
      <c r="N9" s="1677"/>
      <c r="O9" s="1678"/>
      <c r="P9" s="1677"/>
      <c r="Q9" s="1677"/>
      <c r="R9" s="1677"/>
      <c r="S9" s="1677"/>
      <c r="T9" s="1677"/>
      <c r="U9" s="1677"/>
    </row>
    <row r="10" spans="1:21" ht="15" thickTop="1">
      <c r="A10" s="1727" t="s">
        <v>1956</v>
      </c>
      <c r="B10" s="1702" t="s">
        <v>2940</v>
      </c>
      <c r="C10" s="1659" t="s">
        <v>3020</v>
      </c>
      <c r="D10" s="1650"/>
      <c r="E10" s="1660" t="s">
        <v>1905</v>
      </c>
      <c r="F10" s="1661" t="s">
        <v>3017</v>
      </c>
      <c r="G10" s="1728"/>
      <c r="H10" s="1729"/>
      <c r="I10" s="1650"/>
      <c r="J10" s="1677"/>
      <c r="K10" s="1757"/>
      <c r="L10" s="1706"/>
      <c r="M10" s="1706"/>
      <c r="N10" s="1677"/>
      <c r="O10" s="1678"/>
      <c r="P10" s="1677"/>
      <c r="Q10" s="1677"/>
      <c r="R10" s="1677"/>
      <c r="S10" s="1677"/>
      <c r="T10" s="1677"/>
      <c r="U10" s="1677"/>
    </row>
    <row r="11" spans="1:21">
      <c r="A11" s="1680" t="s">
        <v>1957</v>
      </c>
      <c r="B11" s="1681" t="s">
        <v>2941</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2015</v>
      </c>
      <c r="B12" s="3269"/>
      <c r="C12" s="3270"/>
      <c r="D12" s="3271"/>
      <c r="E12" s="1682" t="s">
        <v>2018</v>
      </c>
      <c r="F12" s="3287" t="s">
        <v>2942</v>
      </c>
      <c r="G12" s="3288"/>
      <c r="H12" s="3288"/>
      <c r="I12" s="3289"/>
      <c r="J12" s="1677"/>
      <c r="K12" s="1757"/>
      <c r="L12" s="1706"/>
      <c r="M12" s="1706"/>
      <c r="N12" s="1677"/>
      <c r="O12" s="1678"/>
      <c r="P12" s="1677"/>
      <c r="Q12" s="1677"/>
      <c r="R12" s="1677"/>
      <c r="S12" s="1677"/>
      <c r="T12" s="1677"/>
      <c r="U12" s="1677"/>
    </row>
    <row r="13" spans="1:21">
      <c r="A13" s="1670" t="s">
        <v>2016</v>
      </c>
      <c r="B13" s="3269"/>
      <c r="C13" s="3270"/>
      <c r="D13" s="3271"/>
      <c r="E13" s="1682" t="s">
        <v>2018</v>
      </c>
      <c r="F13" s="3287" t="s">
        <v>2946</v>
      </c>
      <c r="G13" s="3288"/>
      <c r="H13" s="3288"/>
      <c r="I13" s="3289"/>
      <c r="J13" s="1677"/>
      <c r="K13" s="1757"/>
      <c r="L13" s="1706"/>
      <c r="M13" s="1706"/>
      <c r="N13" s="1677"/>
      <c r="O13" s="1678"/>
      <c r="P13" s="1677"/>
      <c r="Q13" s="1677"/>
      <c r="R13" s="1677"/>
      <c r="S13" s="1677"/>
      <c r="T13" s="1677"/>
      <c r="U13" s="1677"/>
    </row>
    <row r="14" spans="1:21">
      <c r="A14" s="1644" t="s">
        <v>2019</v>
      </c>
      <c r="B14" s="1682"/>
      <c r="C14" s="1828" t="s">
        <v>2944</v>
      </c>
      <c r="D14" s="1716" t="str">
        <f>IF(C14="不一致","是否符合证载地类范围","")</f>
        <v/>
      </c>
      <c r="E14" s="1682"/>
      <c r="F14" s="1773" t="s">
        <v>2945</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1908</v>
      </c>
      <c r="E15" s="1749" t="s">
        <v>1909</v>
      </c>
      <c r="F15" s="1749" t="s">
        <v>1910</v>
      </c>
      <c r="G15" s="1669" t="s">
        <v>1911</v>
      </c>
      <c r="H15" s="1669" t="s">
        <v>1912</v>
      </c>
      <c r="I15" s="1669" t="s">
        <v>1913</v>
      </c>
      <c r="J15" s="1677"/>
      <c r="K15" s="1757"/>
      <c r="L15" s="1706"/>
      <c r="M15" s="1706"/>
      <c r="N15" s="1677"/>
      <c r="O15" s="1678"/>
      <c r="P15" s="1677"/>
      <c r="Q15" s="1677"/>
      <c r="R15" s="1677"/>
      <c r="S15" s="1677"/>
      <c r="T15" s="1677"/>
      <c r="U15" s="1677"/>
    </row>
    <row r="16" spans="1:21" ht="28.5">
      <c r="A16" s="1663" t="s">
        <v>1906</v>
      </c>
      <c r="B16" s="1664" t="s">
        <v>2930</v>
      </c>
      <c r="C16" s="1682" t="s">
        <v>1907</v>
      </c>
      <c r="D16" s="2609" t="s">
        <v>1908</v>
      </c>
      <c r="E16" s="1705" t="s">
        <v>2943</v>
      </c>
      <c r="F16" s="1705"/>
      <c r="G16" s="1705"/>
      <c r="H16" s="1705"/>
      <c r="I16" s="1669" t="s">
        <v>1913</v>
      </c>
      <c r="J16" s="1677"/>
      <c r="K16" s="2419" t="str">
        <f>IF(D17="","",D16&amp;TEXT(D17,"yyyy年m月d日;;"))</f>
        <v/>
      </c>
      <c r="L16" s="1682" t="str">
        <f>IF(OR(K16="",M16=""),"","、")</f>
        <v/>
      </c>
      <c r="M16" s="2419" t="str">
        <f>IF(E17="","",E16&amp;TEXT(E17,"yyyy年m月d日;;"))</f>
        <v>商业2058年4月12日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1914</v>
      </c>
      <c r="D17" s="1683"/>
      <c r="E17" s="1683">
        <v>57812</v>
      </c>
      <c r="F17" s="1683"/>
      <c r="G17" s="1683"/>
      <c r="H17" s="1683"/>
      <c r="I17" s="1683"/>
      <c r="J17" s="1677"/>
      <c r="K17" s="2418" t="str">
        <f>CONCATENATE(K16,L16,M16,N16,O16,P16,Q16,R16,S16,T16,,U16)</f>
        <v>商业2058年4月12日</v>
      </c>
      <c r="L17" s="1706"/>
      <c r="M17" s="1706"/>
      <c r="N17" s="1677"/>
      <c r="O17" s="1678"/>
      <c r="P17" s="1677"/>
      <c r="Q17" s="1677"/>
      <c r="R17" s="1677"/>
      <c r="S17" s="1677"/>
      <c r="T17" s="1677"/>
      <c r="U17" s="1677"/>
    </row>
    <row r="18" spans="1:21">
      <c r="A18" s="1746"/>
      <c r="B18" s="1665"/>
      <c r="C18" s="1666" t="s">
        <v>1915</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1916</v>
      </c>
      <c r="D19" s="1741" t="str">
        <f>IF(B16="出让",IF(D17="","",ROUNDDOWN(MIN((D17-$D$3)/365,D18),2)),D18)</f>
        <v/>
      </c>
      <c r="E19" s="1668">
        <f>IF(B16="出让",IF(E17="","",ROUNDDOWN(MIN((E17-$D$3)/365,E18),2)),E18)</f>
        <v>38.590000000000003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2017</v>
      </c>
      <c r="D20" s="3284"/>
      <c r="E20" s="3285"/>
      <c r="F20" s="3285"/>
      <c r="G20" s="3285"/>
      <c r="H20" s="3285"/>
      <c r="I20" s="3286"/>
      <c r="J20" s="1677"/>
      <c r="K20" s="1757"/>
      <c r="L20" s="1706"/>
      <c r="M20" s="1706"/>
      <c r="N20" s="1677"/>
      <c r="O20" s="1678"/>
      <c r="P20" s="1677"/>
      <c r="Q20" s="1677"/>
      <c r="R20" s="1677"/>
      <c r="S20" s="1677"/>
      <c r="T20" s="1677"/>
      <c r="U20" s="1677"/>
    </row>
    <row r="21" spans="1:21">
      <c r="A21" s="1746" t="s">
        <v>1917</v>
      </c>
      <c r="B21" s="1747" t="s">
        <v>1918</v>
      </c>
      <c r="C21" s="1742">
        <f>'数据-汇总表'!E3</f>
        <v>55458.58</v>
      </c>
      <c r="D21" s="1743" t="s">
        <v>1919</v>
      </c>
      <c r="E21" s="3274" t="s">
        <v>3021</v>
      </c>
      <c r="F21" s="3275"/>
      <c r="G21" s="3275"/>
      <c r="H21" s="3275"/>
      <c r="I21" s="3276"/>
      <c r="J21" s="1677"/>
      <c r="K21" s="1757"/>
      <c r="L21" s="1706"/>
      <c r="M21" s="1706"/>
      <c r="N21" s="1677"/>
      <c r="O21" s="1678"/>
      <c r="P21" s="1677"/>
      <c r="Q21" s="1677"/>
      <c r="R21" s="1677"/>
      <c r="S21" s="1677"/>
      <c r="T21" s="1677"/>
      <c r="U21" s="1677"/>
    </row>
    <row r="22" spans="1:21">
      <c r="A22" s="3094" t="s">
        <v>915</v>
      </c>
      <c r="B22" s="1644" t="s">
        <v>1920</v>
      </c>
      <c r="C22" s="1669">
        <f>'数据-汇总表'!D3</f>
        <v>27729.29</v>
      </c>
      <c r="D22" s="1670" t="s">
        <v>1919</v>
      </c>
      <c r="E22" s="3274" t="s">
        <v>3022</v>
      </c>
      <c r="F22" s="3275"/>
      <c r="G22" s="3275"/>
      <c r="H22" s="3275"/>
      <c r="I22" s="3276"/>
      <c r="J22" s="1677"/>
      <c r="K22" s="1757"/>
      <c r="L22" s="1706"/>
      <c r="M22" s="1706"/>
      <c r="N22" s="1677"/>
      <c r="O22" s="1678"/>
      <c r="P22" s="1677"/>
      <c r="Q22" s="1677"/>
      <c r="R22" s="1677"/>
      <c r="S22" s="1677"/>
      <c r="T22" s="1677"/>
      <c r="U22" s="1677"/>
    </row>
    <row r="23" spans="1:21" ht="43.5" thickBot="1">
      <c r="A23" s="1748" t="s">
        <v>1921</v>
      </c>
      <c r="B23" s="1684" t="s">
        <v>1922</v>
      </c>
      <c r="C23" s="1685" t="s">
        <v>2947</v>
      </c>
      <c r="D23" s="1686" t="s">
        <v>1923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1924</v>
      </c>
      <c r="B24" s="3277" t="s">
        <v>1925</v>
      </c>
      <c r="C24" s="3278"/>
      <c r="D24" s="3279" t="s">
        <v>1926</v>
      </c>
      <c r="E24" s="3280"/>
      <c r="F24" s="1691" t="s">
        <v>1927</v>
      </c>
      <c r="G24" s="1677"/>
      <c r="H24" s="1677"/>
      <c r="I24" s="1690"/>
      <c r="J24" s="1677"/>
      <c r="K24" s="3265" t="s">
        <v>1928</v>
      </c>
      <c r="L24" s="242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6"/>
      <c r="N24" s="1677"/>
      <c r="O24" s="1678"/>
      <c r="P24" s="1677"/>
      <c r="Q24" s="1677"/>
      <c r="R24" s="1677"/>
      <c r="S24" s="1677"/>
      <c r="T24" s="1677"/>
      <c r="U24" s="1677"/>
    </row>
    <row r="25" spans="1:21" ht="28.5">
      <c r="A25" s="1734"/>
      <c r="B25" s="1731" t="s">
        <v>2282</v>
      </c>
      <c r="C25" s="1692" t="s">
        <v>2283</v>
      </c>
      <c r="D25" s="1693"/>
      <c r="E25" s="1694" t="s">
        <v>915</v>
      </c>
      <c r="F25" s="1695"/>
      <c r="G25" s="1677"/>
      <c r="H25" s="1677"/>
      <c r="I25" s="1690"/>
      <c r="J25" s="1677"/>
      <c r="K25" s="326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29.25" thickBot="1">
      <c r="A26" s="1735"/>
      <c r="B26" s="1732" t="s">
        <v>1929</v>
      </c>
      <c r="C26" s="1692" t="s">
        <v>2283</v>
      </c>
      <c r="D26" s="1643"/>
      <c r="E26" s="1643"/>
      <c r="F26" s="1671"/>
      <c r="G26" s="1677"/>
      <c r="H26" s="1677"/>
      <c r="I26" s="1690"/>
      <c r="J26" s="1677"/>
      <c r="K26" s="326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1930</v>
      </c>
      <c r="B27" s="1736" t="s">
        <v>1931</v>
      </c>
      <c r="C27" s="1696"/>
      <c r="D27" s="2614" t="s">
        <v>1931</v>
      </c>
      <c r="E27" s="1697"/>
      <c r="F27" s="1671"/>
      <c r="G27" s="1677"/>
      <c r="H27" s="1677"/>
      <c r="I27" s="1690"/>
      <c r="J27" s="1677"/>
      <c r="K27" s="1757"/>
      <c r="L27" s="1706"/>
      <c r="M27" s="1706"/>
      <c r="N27" s="1677"/>
      <c r="O27" s="1678"/>
      <c r="P27" s="1677"/>
      <c r="Q27" s="1677"/>
      <c r="R27" s="1677"/>
      <c r="S27" s="1677"/>
      <c r="T27" s="1677"/>
      <c r="U27" s="1677"/>
    </row>
    <row r="28" spans="1:21">
      <c r="A28" s="1739"/>
      <c r="B28" s="1736" t="s">
        <v>1932</v>
      </c>
      <c r="C28" s="1698"/>
      <c r="D28" s="2615" t="s">
        <v>1932</v>
      </c>
      <c r="E28" s="1699"/>
      <c r="F28" s="1671"/>
      <c r="G28" s="1677"/>
      <c r="H28" s="1677"/>
      <c r="I28" s="1690"/>
      <c r="J28" s="1677"/>
      <c r="K28" s="1757"/>
      <c r="L28" s="1706"/>
      <c r="M28" s="1706"/>
      <c r="N28" s="1677"/>
      <c r="O28" s="1678"/>
      <c r="P28" s="1677"/>
      <c r="Q28" s="1677"/>
      <c r="R28" s="1677"/>
      <c r="S28" s="1677"/>
      <c r="T28" s="1677"/>
      <c r="U28" s="1677"/>
    </row>
    <row r="29" spans="1:21">
      <c r="A29" s="1739"/>
      <c r="B29" s="1736" t="s">
        <v>1933</v>
      </c>
      <c r="C29" s="1698"/>
      <c r="D29" s="2615" t="s">
        <v>1933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1934</v>
      </c>
      <c r="C30" s="1700"/>
      <c r="D30" s="2616" t="s">
        <v>1934</v>
      </c>
      <c r="E30" s="1701"/>
      <c r="F30" s="1672"/>
      <c r="G30" s="1725"/>
      <c r="H30" s="1725"/>
      <c r="I30" s="1726"/>
      <c r="J30" s="1677"/>
      <c r="K30" s="1757"/>
      <c r="L30" s="1706"/>
      <c r="M30" s="1706"/>
      <c r="N30" s="1677"/>
      <c r="O30" s="1678"/>
      <c r="P30" s="1677"/>
      <c r="Q30" s="1677"/>
      <c r="R30" s="1677"/>
      <c r="S30" s="1677"/>
      <c r="T30" s="1677"/>
      <c r="U30" s="1677"/>
    </row>
    <row r="31" spans="1:21" ht="15" thickTop="1">
      <c r="A31" s="3251" t="s">
        <v>1958</v>
      </c>
      <c r="B31" s="1747" t="s">
        <v>1959</v>
      </c>
      <c r="C31" s="3290" t="s">
        <v>3018</v>
      </c>
      <c r="D31" s="3291"/>
      <c r="E31" s="1677"/>
      <c r="F31" s="1677"/>
      <c r="G31" s="1677"/>
      <c r="H31" s="1677"/>
      <c r="I31" s="1690"/>
      <c r="J31" s="1677"/>
      <c r="K31" s="2421"/>
      <c r="L31" s="1677"/>
      <c r="M31" s="1677"/>
      <c r="N31" s="1677"/>
      <c r="O31" s="1677"/>
      <c r="P31" s="1677"/>
      <c r="Q31" s="1677"/>
      <c r="R31" s="1677"/>
      <c r="S31" s="1677"/>
      <c r="T31" s="1677"/>
      <c r="U31" s="1677"/>
    </row>
    <row r="32" spans="1:21">
      <c r="A32" s="3251"/>
      <c r="B32" s="1644" t="s">
        <v>1960</v>
      </c>
      <c r="C32" s="1702" t="s">
        <v>2948</v>
      </c>
      <c r="D32" s="1703"/>
      <c r="E32" s="1677"/>
      <c r="F32" s="1677"/>
      <c r="G32" s="1677"/>
      <c r="H32" s="1677"/>
      <c r="I32" s="1690"/>
      <c r="J32" s="1677"/>
      <c r="K32" s="2421"/>
      <c r="L32" s="1677"/>
      <c r="M32" s="1677"/>
      <c r="N32" s="1677"/>
      <c r="O32" s="1677"/>
      <c r="P32" s="1677"/>
      <c r="Q32" s="1677"/>
      <c r="R32" s="1677"/>
      <c r="S32" s="1677"/>
      <c r="T32" s="1677"/>
      <c r="U32" s="1677"/>
    </row>
    <row r="33" spans="1:21">
      <c r="A33" s="3251"/>
      <c r="B33" s="1644" t="s">
        <v>1961</v>
      </c>
      <c r="C33" s="1704" t="s">
        <v>2947</v>
      </c>
      <c r="D33" s="1821"/>
      <c r="E33" s="1677"/>
      <c r="F33" s="1677"/>
      <c r="G33" s="1677"/>
      <c r="H33" s="1677"/>
      <c r="I33" s="1690"/>
      <c r="J33" s="1677"/>
      <c r="K33" s="2421"/>
      <c r="L33" s="1677"/>
      <c r="M33" s="1677"/>
      <c r="N33" s="1677"/>
      <c r="O33" s="1677"/>
      <c r="P33" s="1677"/>
      <c r="Q33" s="1677"/>
      <c r="R33" s="1677"/>
      <c r="S33" s="1677"/>
      <c r="T33" s="1677"/>
      <c r="U33" s="1677"/>
    </row>
    <row r="34" spans="1:21">
      <c r="A34" s="3252"/>
      <c r="B34" s="1644" t="s">
        <v>1962</v>
      </c>
      <c r="C34" s="3253"/>
      <c r="D34" s="3254"/>
      <c r="E34" s="1677"/>
      <c r="F34" s="1677"/>
      <c r="G34" s="1677"/>
      <c r="H34" s="1677"/>
      <c r="I34" s="1690"/>
      <c r="J34" s="1677"/>
      <c r="K34" s="2421"/>
      <c r="L34" s="1677"/>
      <c r="M34" s="1677"/>
      <c r="N34" s="1677"/>
      <c r="O34" s="1677"/>
      <c r="P34" s="1677"/>
      <c r="Q34" s="1677"/>
      <c r="R34" s="1677"/>
      <c r="S34" s="1677"/>
      <c r="T34" s="1677"/>
      <c r="U34" s="1677"/>
    </row>
    <row r="35" spans="1:21">
      <c r="A35" s="3255" t="s">
        <v>810</v>
      </c>
      <c r="B35" s="1705"/>
      <c r="C35" s="1759" t="str">
        <f>IF(B35="场地平整","——","具体情况：")</f>
        <v>具体情况：</v>
      </c>
      <c r="D35" s="3257"/>
      <c r="E35" s="3258"/>
      <c r="F35" s="3258"/>
      <c r="G35" s="3258"/>
      <c r="H35" s="3258"/>
      <c r="I35" s="3259"/>
      <c r="J35" s="1677"/>
      <c r="K35" s="1758"/>
      <c r="L35" s="1706"/>
      <c r="M35" s="1706"/>
      <c r="N35" s="1677"/>
      <c r="O35" s="1678"/>
      <c r="P35" s="1677"/>
      <c r="Q35" s="1677"/>
      <c r="R35" s="1677"/>
      <c r="S35" s="1677"/>
      <c r="T35" s="1677"/>
      <c r="U35" s="1677"/>
    </row>
    <row r="36" spans="1:21">
      <c r="A36" s="3251"/>
      <c r="B36" s="3260" t="s">
        <v>2011</v>
      </c>
      <c r="C36" s="3261"/>
      <c r="D36" s="1775"/>
      <c r="E36" s="3262"/>
      <c r="F36" s="3262"/>
      <c r="G36" s="1670" t="str">
        <f>IF(B35="场地未平整","估价结果处理","")</f>
        <v/>
      </c>
      <c r="H36" s="3263"/>
      <c r="I36" s="3263"/>
      <c r="J36" s="1677"/>
      <c r="K36" s="1758"/>
      <c r="L36" s="1706"/>
      <c r="M36" s="1706"/>
      <c r="N36" s="1677"/>
      <c r="O36" s="1678"/>
      <c r="P36" s="1677"/>
      <c r="Q36" s="1677"/>
      <c r="R36" s="1677"/>
      <c r="S36" s="1677"/>
      <c r="T36" s="1677"/>
      <c r="U36" s="1677"/>
    </row>
    <row r="37" spans="1:21" ht="28.5">
      <c r="A37" s="3251"/>
      <c r="B37" s="3281" t="s">
        <v>811</v>
      </c>
      <c r="C37" s="1707" t="s">
        <v>812</v>
      </c>
      <c r="D37" s="1708"/>
      <c r="E37" s="1709"/>
      <c r="F37" s="1677"/>
      <c r="G37" s="1677"/>
      <c r="H37" s="1677"/>
      <c r="I37" s="1690"/>
      <c r="J37" s="1677"/>
      <c r="K37" s="1758"/>
      <c r="L37" s="1677"/>
      <c r="M37" s="1677"/>
      <c r="N37" s="1677"/>
      <c r="O37" s="1677"/>
      <c r="P37" s="1677"/>
      <c r="Q37" s="1677"/>
      <c r="R37" s="1677"/>
      <c r="S37" s="1677"/>
      <c r="T37" s="1677"/>
      <c r="U37" s="1677"/>
    </row>
    <row r="38" spans="1:21">
      <c r="A38" s="3251"/>
      <c r="B38" s="3282"/>
      <c r="C38" s="1652" t="s">
        <v>813</v>
      </c>
      <c r="D38" s="1774">
        <f>ROUNDDOWN(MIN(('数据-取费表'!$B$2-D37)/365,D34),1)</f>
        <v>119.7</v>
      </c>
      <c r="E38" s="1710" t="s">
        <v>814</v>
      </c>
      <c r="F38" s="1677"/>
      <c r="G38" s="1677"/>
      <c r="H38" s="1677"/>
      <c r="I38" s="1690"/>
      <c r="J38" s="1677"/>
      <c r="K38" s="1758"/>
      <c r="L38" s="1677"/>
      <c r="M38" s="1677"/>
      <c r="N38" s="1677"/>
      <c r="O38" s="1677"/>
      <c r="P38" s="1677"/>
      <c r="Q38" s="1677"/>
      <c r="R38" s="1677"/>
      <c r="S38" s="1677"/>
      <c r="T38" s="1677"/>
      <c r="U38" s="1677"/>
    </row>
    <row r="39" spans="1:21">
      <c r="A39" s="3252"/>
      <c r="B39" s="328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1935</v>
      </c>
      <c r="B40" s="1673" t="s">
        <v>2949</v>
      </c>
      <c r="C40" s="1673" t="s">
        <v>2950</v>
      </c>
      <c r="D40" s="1673" t="s">
        <v>2951</v>
      </c>
      <c r="E40" s="1673" t="s">
        <v>2952</v>
      </c>
      <c r="F40" s="1673" t="s">
        <v>2953</v>
      </c>
      <c r="G40" s="1673" t="s">
        <v>2954</v>
      </c>
      <c r="H40" s="1673" t="s">
        <v>3019</v>
      </c>
      <c r="I40" s="1690"/>
      <c r="J40" s="1677"/>
      <c r="K40" s="1713">
        <f>COUNTIF(B40:H40,"——")</f>
        <v>0</v>
      </c>
      <c r="L40" s="1682" t="s">
        <v>1936</v>
      </c>
      <c r="M40" s="1679" t="s">
        <v>1937</v>
      </c>
      <c r="N40" s="1679" t="s">
        <v>1938</v>
      </c>
      <c r="O40" s="1679" t="s">
        <v>1939</v>
      </c>
      <c r="P40" s="1679" t="s">
        <v>1940</v>
      </c>
      <c r="Q40" s="1679" t="s">
        <v>1941</v>
      </c>
      <c r="R40" s="1679" t="s">
        <v>1942</v>
      </c>
      <c r="S40" s="3264" t="s">
        <v>1943</v>
      </c>
      <c r="T40" s="1714" t="str">
        <f>NUMBERSTRING(7-K40,1)&amp;"通"</f>
        <v>七通</v>
      </c>
      <c r="U40" s="1677"/>
    </row>
    <row r="41" spans="1:21" ht="28.5">
      <c r="A41" s="1646"/>
      <c r="B41" s="3256" t="s">
        <v>1680</v>
      </c>
      <c r="C41" s="3256"/>
      <c r="D41" s="3256"/>
      <c r="E41" s="3256"/>
      <c r="F41" s="1715" t="str">
        <f>C10</f>
        <v>沧州市黄骅市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通路、通电、通讯、通上水、通下水、燃气、通热</v>
      </c>
      <c r="S41" s="3264"/>
      <c r="T41" s="1716" t="str">
        <f>IF(T40="一通",L41,IF(T40="二通",M41,IF(T40="三通",N41,IF(T40="四通",O41,IF(T40="五通",P41,IF(T40="六通",Q41,R41))))))</f>
        <v>通路、通电、通讯、通上水、通下水、燃气、通热</v>
      </c>
      <c r="U41" s="1677"/>
    </row>
    <row r="42" spans="1:21">
      <c r="A42" s="1718"/>
      <c r="B42" s="1749" t="s">
        <v>1856</v>
      </c>
      <c r="C42" s="1749" t="s">
        <v>1857</v>
      </c>
      <c r="D42" s="1749" t="s">
        <v>1858</v>
      </c>
      <c r="E42" s="1682" t="s">
        <v>1859</v>
      </c>
      <c r="F42" s="1719"/>
      <c r="G42" s="1677"/>
      <c r="H42" s="1677"/>
      <c r="I42" s="1690"/>
      <c r="J42" s="1677"/>
      <c r="K42" s="1757"/>
      <c r="L42" s="1706"/>
      <c r="M42" s="1706"/>
      <c r="N42" s="1677"/>
      <c r="O42" s="1678"/>
      <c r="P42" s="1677"/>
      <c r="Q42" s="1677"/>
      <c r="R42" s="1677"/>
      <c r="S42" s="1677"/>
      <c r="T42" s="1677"/>
      <c r="U42" s="1677"/>
    </row>
    <row r="43" spans="1:21">
      <c r="A43" s="1720" t="s">
        <v>1665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1666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2843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1964</v>
      </c>
      <c r="B48" s="1669" t="s">
        <v>1965</v>
      </c>
      <c r="C48" s="1669" t="s">
        <v>1966</v>
      </c>
      <c r="D48" s="1669" t="s">
        <v>1967</v>
      </c>
      <c r="E48" s="1669" t="s">
        <v>1968</v>
      </c>
      <c r="F48" s="1669" t="s">
        <v>1969</v>
      </c>
      <c r="G48" s="1669" t="s">
        <v>1970</v>
      </c>
      <c r="H48" s="1669" t="s">
        <v>1971</v>
      </c>
      <c r="I48" s="1669" t="s">
        <v>1972</v>
      </c>
      <c r="J48" s="1755" t="s">
        <v>1973</v>
      </c>
      <c r="K48" s="1749" t="s">
        <v>1974</v>
      </c>
      <c r="L48" s="1749" t="s">
        <v>1975</v>
      </c>
      <c r="M48" s="1749" t="s">
        <v>1976</v>
      </c>
      <c r="N48" s="1669" t="s">
        <v>1977</v>
      </c>
      <c r="O48" s="1669" t="s">
        <v>1978</v>
      </c>
      <c r="P48" s="1669" t="s">
        <v>1979</v>
      </c>
      <c r="Q48" s="1682" t="s">
        <v>1980</v>
      </c>
      <c r="R48" s="1682" t="s">
        <v>1981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6" sqref="L1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132</v>
      </c>
      <c r="AZ2" s="2323" t="s">
        <v>2290</v>
      </c>
      <c r="BA2" s="2324" t="s">
        <v>2289</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27729.29</v>
      </c>
      <c r="B3" s="21">
        <f>IF(C3="否",G5-AT5,G5)</f>
        <v>55458.58</v>
      </c>
      <c r="C3" s="22" t="s">
        <v>2947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133</v>
      </c>
      <c r="B5" s="988"/>
      <c r="C5" s="988"/>
      <c r="D5" s="995"/>
      <c r="E5" s="26" t="s">
        <v>1</v>
      </c>
      <c r="F5" s="26">
        <f>SUM(F13:F572)</f>
        <v>0</v>
      </c>
      <c r="G5" s="26">
        <f>SUM(G13:G572)</f>
        <v>55458.58</v>
      </c>
      <c r="H5" s="26">
        <f t="shared" ref="H5:AT5" si="0">SUM(H13:H641)</f>
        <v>55458.58</v>
      </c>
      <c r="I5" s="26">
        <f t="shared" si="0"/>
        <v>0</v>
      </c>
      <c r="J5" s="26">
        <f t="shared" si="0"/>
        <v>0</v>
      </c>
      <c r="K5" s="26">
        <f t="shared" si="0"/>
        <v>55458.58</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133</v>
      </c>
      <c r="AW5" s="988"/>
      <c r="AX5" s="988"/>
      <c r="AY5" s="27" t="s">
        <v>3</v>
      </c>
      <c r="AZ5" s="28">
        <f t="shared" ref="AZ5:BT5" si="1">SUM(AZ13:AZ641)</f>
        <v>55458.58</v>
      </c>
      <c r="BA5" s="28">
        <f t="shared" si="1"/>
        <v>55458.58</v>
      </c>
      <c r="BB5" s="28">
        <f t="shared" si="1"/>
        <v>0</v>
      </c>
      <c r="BC5" s="28">
        <f t="shared" si="1"/>
        <v>55458.58</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134</v>
      </c>
      <c r="B6" s="30"/>
      <c r="C6" s="30"/>
      <c r="D6" s="31"/>
      <c r="E6" s="26">
        <f>H6+AC6+AT6</f>
        <v>27729.29</v>
      </c>
      <c r="F6" s="26" t="s">
        <v>1</v>
      </c>
      <c r="G6" s="26" t="s">
        <v>2</v>
      </c>
      <c r="H6" s="32">
        <f>SUMIF(I$12:AB$12,"总值",I6:AB6)</f>
        <v>27729.29</v>
      </c>
      <c r="I6" s="26">
        <f t="shared" ref="I6:AB6" si="2">ROUND($A$3*I5/$B$3,2)</f>
        <v>0</v>
      </c>
      <c r="J6" s="26">
        <f t="shared" si="2"/>
        <v>0</v>
      </c>
      <c r="K6" s="26">
        <f t="shared" si="2"/>
        <v>27729.29</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27729.29</v>
      </c>
      <c r="AZ6" s="26" t="s">
        <v>3</v>
      </c>
      <c r="BA6" s="26">
        <f>ROUND($AY$6*BA5/$AZ$5,2)</f>
        <v>27729.29</v>
      </c>
      <c r="BB6" s="26">
        <f>ROUND($AY$6*BB5/$AZ$5,2)</f>
        <v>0</v>
      </c>
      <c r="BC6" s="26">
        <f t="shared" ref="BC6:BH6" si="4">ROUND($AY$6*BC5/$AZ$5,2)</f>
        <v>27729.29</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142</v>
      </c>
      <c r="AV7" s="40" t="s">
        <v>143</v>
      </c>
      <c r="AW7" s="41" t="s">
        <v>144</v>
      </c>
      <c r="AX7" s="40" t="s">
        <v>145</v>
      </c>
      <c r="AY7" s="988"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1000"/>
      <c r="K8" s="1000"/>
      <c r="L8" s="1000"/>
      <c r="M8" s="1000"/>
      <c r="N8" s="1000"/>
      <c r="O8" s="1000"/>
      <c r="P8" s="1000"/>
      <c r="Q8" s="1000"/>
      <c r="R8" s="1000"/>
      <c r="S8" s="1000"/>
      <c r="T8" s="1000"/>
      <c r="U8" s="1000"/>
      <c r="V8" s="48"/>
      <c r="W8" s="1000"/>
      <c r="X8" s="1000"/>
      <c r="Y8" s="1000"/>
      <c r="Z8" s="1000"/>
      <c r="AA8" s="48"/>
      <c r="AB8" s="49"/>
      <c r="AC8" s="50" t="s">
        <v>149</v>
      </c>
      <c r="AD8" s="51"/>
      <c r="AE8" s="42"/>
      <c r="AF8" s="1000"/>
      <c r="AG8" s="1000"/>
      <c r="AH8" s="1000"/>
      <c r="AI8" s="1000"/>
      <c r="AJ8" s="1000"/>
      <c r="AK8" s="1000"/>
      <c r="AL8" s="1000"/>
      <c r="AM8" s="1000"/>
      <c r="AN8" s="1000"/>
      <c r="AO8" s="1000"/>
      <c r="AP8" s="1000"/>
      <c r="AQ8" s="1000"/>
      <c r="AR8" s="1000"/>
      <c r="AS8" s="2281"/>
      <c r="AT8" s="2312" t="s">
        <v>818</v>
      </c>
      <c r="AU8" s="44" t="s">
        <v>150</v>
      </c>
      <c r="AV8" s="54"/>
      <c r="AW8" s="1002"/>
      <c r="AX8" s="54"/>
      <c r="AY8" s="41" t="s">
        <v>151</v>
      </c>
      <c r="AZ8" s="999" t="s">
        <v>152</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153</v>
      </c>
      <c r="I9" s="2970"/>
      <c r="J9" s="50"/>
      <c r="K9" s="2970" t="s">
        <v>2955</v>
      </c>
      <c r="L9" s="50"/>
      <c r="M9" s="2970"/>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2" t="s">
        <v>156</v>
      </c>
      <c r="AQ9" s="1184"/>
      <c r="AR9" s="1182" t="s">
        <v>157</v>
      </c>
      <c r="AS9" s="2313"/>
      <c r="AT9" s="44"/>
      <c r="AU9" s="44" t="s">
        <v>159</v>
      </c>
      <c r="AV9" s="54"/>
      <c r="AW9" s="1002"/>
      <c r="AX9" s="54"/>
      <c r="AY9" s="61"/>
      <c r="AZ9" s="61" t="s">
        <v>160</v>
      </c>
      <c r="BA9" s="62" t="s">
        <v>161</v>
      </c>
      <c r="BB9" s="63"/>
      <c r="BC9" s="994"/>
      <c r="BD9" s="994"/>
      <c r="BE9" s="994"/>
      <c r="BF9" s="994"/>
      <c r="BG9" s="994"/>
      <c r="BH9" s="994"/>
      <c r="BI9" s="994"/>
      <c r="BJ9" s="994"/>
      <c r="BK9" s="64"/>
      <c r="BL9" s="25" t="s">
        <v>162</v>
      </c>
      <c r="BM9" s="1000"/>
      <c r="BN9" s="47"/>
      <c r="BO9" s="1000"/>
      <c r="BP9" s="1000"/>
      <c r="BQ9" s="1000"/>
      <c r="BR9" s="1000"/>
      <c r="BS9" s="1000"/>
      <c r="BT9" s="55"/>
    </row>
    <row r="10" spans="1:72" s="56" customFormat="1" ht="12.75">
      <c r="A10" s="44"/>
      <c r="B10" s="44"/>
      <c r="C10" s="44"/>
      <c r="D10" s="44"/>
      <c r="E10" s="44"/>
      <c r="F10" s="44"/>
      <c r="G10" s="54"/>
      <c r="H10" s="61"/>
      <c r="I10" s="2970"/>
      <c r="J10" s="50"/>
      <c r="K10" s="2972" t="s">
        <v>2943</v>
      </c>
      <c r="L10" s="50"/>
      <c r="M10" s="2972"/>
      <c r="N10" s="50"/>
      <c r="O10" s="65"/>
      <c r="P10" s="50"/>
      <c r="Q10" s="65"/>
      <c r="R10" s="50"/>
      <c r="S10" s="65"/>
      <c r="T10" s="50"/>
      <c r="U10" s="65"/>
      <c r="V10" s="50"/>
      <c r="W10" s="65"/>
      <c r="X10" s="50"/>
      <c r="Y10" s="65"/>
      <c r="Z10" s="50"/>
      <c r="AA10" s="65"/>
      <c r="AB10" s="50"/>
      <c r="AC10" s="54"/>
      <c r="AD10" s="2298" t="s">
        <v>2274</v>
      </c>
      <c r="AE10" s="2320"/>
      <c r="AF10" s="2298" t="s">
        <v>2274</v>
      </c>
      <c r="AG10" s="2320"/>
      <c r="AH10" s="2298" t="s">
        <v>2275</v>
      </c>
      <c r="AI10" s="2320"/>
      <c r="AJ10" s="25" t="s">
        <v>2288</v>
      </c>
      <c r="AK10" s="2317"/>
      <c r="AL10" s="2298" t="s">
        <v>2276</v>
      </c>
      <c r="AM10" s="2299"/>
      <c r="AN10" s="25" t="s">
        <v>163</v>
      </c>
      <c r="AO10" s="60"/>
      <c r="AP10" s="1182" t="s">
        <v>164</v>
      </c>
      <c r="AQ10" s="1184"/>
      <c r="AR10" s="1182" t="s">
        <v>164</v>
      </c>
      <c r="AS10" s="1184"/>
      <c r="AT10" s="44"/>
      <c r="AU10" s="44"/>
      <c r="AV10" s="54"/>
      <c r="AW10" s="1002"/>
      <c r="AX10" s="54"/>
      <c r="AY10" s="61"/>
      <c r="AZ10" s="61"/>
      <c r="BA10" s="66" t="s">
        <v>158</v>
      </c>
      <c r="BB10" s="67">
        <f>I9</f>
        <v>0</v>
      </c>
      <c r="BC10" s="68" t="str">
        <f>K9</f>
        <v>地上</v>
      </c>
      <c r="BD10" s="68">
        <f>M9</f>
        <v>0</v>
      </c>
      <c r="BE10" s="68">
        <f>O9</f>
        <v>0</v>
      </c>
      <c r="BF10" s="68">
        <f>Q9</f>
        <v>0</v>
      </c>
      <c r="BG10" s="68">
        <f>S9</f>
        <v>0</v>
      </c>
      <c r="BH10" s="68">
        <f>U9</f>
        <v>0</v>
      </c>
      <c r="BI10" s="68">
        <f>W9</f>
        <v>0</v>
      </c>
      <c r="BJ10" s="68">
        <f>Y9</f>
        <v>0</v>
      </c>
      <c r="BK10" s="68">
        <f>AA9</f>
        <v>0</v>
      </c>
      <c r="BL10" s="53" t="s">
        <v>158</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1"/>
      <c r="J11" s="70"/>
      <c r="K11" s="2971" t="s">
        <v>2935</v>
      </c>
      <c r="L11" s="70"/>
      <c r="M11" s="69"/>
      <c r="N11" s="70"/>
      <c r="O11" s="69"/>
      <c r="P11" s="70"/>
      <c r="Q11" s="69"/>
      <c r="R11" s="70"/>
      <c r="S11" s="69"/>
      <c r="T11" s="70"/>
      <c r="U11" s="69"/>
      <c r="V11" s="70"/>
      <c r="W11" s="69"/>
      <c r="X11" s="70"/>
      <c r="Y11" s="69"/>
      <c r="Z11" s="70"/>
      <c r="AA11" s="69"/>
      <c r="AB11" s="70"/>
      <c r="AC11" s="54"/>
      <c r="AD11" s="2318" t="s">
        <v>2287</v>
      </c>
      <c r="AE11" s="1001"/>
      <c r="AF11" s="2318" t="s">
        <v>2287</v>
      </c>
      <c r="AG11" s="1001"/>
      <c r="AH11" s="2318" t="s">
        <v>2286</v>
      </c>
      <c r="AI11" s="2319"/>
      <c r="AJ11" s="2318" t="s">
        <v>2286</v>
      </c>
      <c r="AK11" s="2317"/>
      <c r="AL11" s="999"/>
      <c r="AM11" s="1001"/>
      <c r="AN11" s="999"/>
      <c r="AO11" s="1001"/>
      <c r="AP11" s="1183"/>
      <c r="AQ11" s="1185"/>
      <c r="AR11" s="1183"/>
      <c r="AS11" s="1185"/>
      <c r="AT11" s="1002"/>
      <c r="AU11" s="44"/>
      <c r="AV11" s="54"/>
      <c r="AW11" s="1002"/>
      <c r="AX11" s="54"/>
      <c r="AY11" s="61"/>
      <c r="AZ11" s="61"/>
      <c r="BA11" s="61"/>
      <c r="BB11" s="49">
        <f>I10</f>
        <v>0</v>
      </c>
      <c r="BC11" s="49" t="str">
        <f>K10</f>
        <v>商业</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7" t="s">
        <v>166</v>
      </c>
      <c r="W12" s="16" t="s">
        <v>165</v>
      </c>
      <c r="X12" s="16" t="s">
        <v>166</v>
      </c>
      <c r="Y12" s="16" t="s">
        <v>165</v>
      </c>
      <c r="Z12" s="16" t="s">
        <v>166</v>
      </c>
      <c r="AA12" s="16" t="s">
        <v>165</v>
      </c>
      <c r="AB12" s="16" t="s">
        <v>166</v>
      </c>
      <c r="AC12" s="74"/>
      <c r="AD12" s="995" t="s">
        <v>165</v>
      </c>
      <c r="AE12" s="16" t="s">
        <v>166</v>
      </c>
      <c r="AF12" s="16" t="s">
        <v>165</v>
      </c>
      <c r="AG12" s="16" t="s">
        <v>166</v>
      </c>
      <c r="AH12" s="16" t="s">
        <v>165</v>
      </c>
      <c r="AI12" s="16" t="s">
        <v>166</v>
      </c>
      <c r="AJ12" s="16" t="s">
        <v>165</v>
      </c>
      <c r="AK12" s="16" t="s">
        <v>166</v>
      </c>
      <c r="AL12" s="16" t="s">
        <v>165</v>
      </c>
      <c r="AM12" s="16" t="s">
        <v>166</v>
      </c>
      <c r="AN12" s="16" t="s">
        <v>165</v>
      </c>
      <c r="AO12" s="16" t="s">
        <v>166</v>
      </c>
      <c r="AP12" s="1181" t="s">
        <v>165</v>
      </c>
      <c r="AQ12" s="1181" t="s">
        <v>166</v>
      </c>
      <c r="AR12" s="1187" t="s">
        <v>165</v>
      </c>
      <c r="AS12" s="1186" t="s">
        <v>166</v>
      </c>
      <c r="AT12" s="75"/>
      <c r="AU12" s="71"/>
      <c r="AV12" s="76"/>
      <c r="AW12" s="41"/>
      <c r="AX12" s="76"/>
      <c r="AY12" s="77"/>
      <c r="AZ12" s="61"/>
      <c r="BA12" s="66"/>
      <c r="BB12" s="52">
        <f>I11</f>
        <v>0</v>
      </c>
      <c r="BC12" s="78" t="str">
        <f>K11</f>
        <v>商业用房</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5"/>
      <c r="B13" s="2965"/>
      <c r="C13" s="2965"/>
      <c r="D13" s="2966" t="s">
        <v>1640</v>
      </c>
      <c r="E13" s="26">
        <f t="shared" ref="E13:E20" si="6">IF($C$3="是",ROUND($A$3*G13/$B$3,2),ROUND($A$3*(G13-AT13)/$B$3,2))</f>
        <v>27729.29</v>
      </c>
      <c r="F13" s="80"/>
      <c r="G13" s="81">
        <f t="shared" ref="G13:G20" si="7">H13+AC13+AT13</f>
        <v>55458.58</v>
      </c>
      <c r="H13" s="32">
        <f t="shared" ref="H13:H20" si="8">SUMIF(I$12:AB$12,"总值",I13:AB13)</f>
        <v>55458.58</v>
      </c>
      <c r="I13" s="2969"/>
      <c r="J13" s="2969"/>
      <c r="K13" s="2969">
        <v>55458.58</v>
      </c>
      <c r="L13" s="2969"/>
      <c r="M13" s="2969"/>
      <c r="N13" s="82"/>
      <c r="O13" s="82"/>
      <c r="P13" s="82"/>
      <c r="Q13" s="82"/>
      <c r="R13" s="82"/>
      <c r="S13" s="82"/>
      <c r="T13" s="82"/>
      <c r="U13" s="82"/>
      <c r="V13" s="82"/>
      <c r="W13" s="82"/>
      <c r="X13" s="82"/>
      <c r="Y13" s="82"/>
      <c r="Z13" s="82"/>
      <c r="AA13" s="82"/>
      <c r="AB13" s="82"/>
      <c r="AC13" s="26">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6">
        <f t="shared" ref="AV13:AX20" si="10">A13</f>
        <v>0</v>
      </c>
      <c r="AW13" s="16">
        <f t="shared" si="10"/>
        <v>0</v>
      </c>
      <c r="AX13" s="16">
        <f t="shared" si="10"/>
        <v>0</v>
      </c>
      <c r="AY13" s="995">
        <f t="shared" ref="AY13:AY20" si="11">ROUND($AY$6*AZ13/$AZ$5,2)</f>
        <v>27729.29</v>
      </c>
      <c r="AZ13" s="26">
        <f t="shared" ref="AZ13:AZ20" si="12">BA13+BL13</f>
        <v>55458.58</v>
      </c>
      <c r="BA13" s="26">
        <f t="shared" ref="BA13:BA20" si="13">SUM(BB13:BK13)</f>
        <v>55458.58</v>
      </c>
      <c r="BB13" s="26">
        <f t="shared" ref="BB13:BB20" si="14">IF($D13="是",I13-J13,0)</f>
        <v>0</v>
      </c>
      <c r="BC13" s="26">
        <f t="shared" ref="BC13:BC20" si="15">IF($D13="是",K13-L13,0)</f>
        <v>55458.58</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5"/>
      <c r="B14" s="2965"/>
      <c r="C14" s="2967"/>
      <c r="D14" s="2966"/>
      <c r="E14" s="26">
        <f t="shared" si="6"/>
        <v>0</v>
      </c>
      <c r="F14" s="80"/>
      <c r="G14" s="81">
        <f t="shared" si="7"/>
        <v>0</v>
      </c>
      <c r="H14" s="32">
        <f t="shared" si="8"/>
        <v>0</v>
      </c>
      <c r="I14" s="2969"/>
      <c r="J14" s="2969"/>
      <c r="K14" s="2969"/>
      <c r="L14" s="2969"/>
      <c r="M14" s="2969"/>
      <c r="N14" s="82"/>
      <c r="O14" s="82"/>
      <c r="P14" s="82"/>
      <c r="Q14" s="82"/>
      <c r="R14" s="82"/>
      <c r="S14" s="82"/>
      <c r="T14" s="82"/>
      <c r="U14" s="82"/>
      <c r="V14" s="82"/>
      <c r="W14" s="82"/>
      <c r="X14" s="82"/>
      <c r="Y14" s="82"/>
      <c r="Z14" s="82"/>
      <c r="AA14" s="82"/>
      <c r="AB14" s="82"/>
      <c r="AC14" s="26">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5"/>
      <c r="B15" s="2965"/>
      <c r="C15" s="2967"/>
      <c r="D15" s="2966"/>
      <c r="E15" s="26">
        <f t="shared" si="6"/>
        <v>0</v>
      </c>
      <c r="F15" s="80"/>
      <c r="G15" s="81">
        <f t="shared" si="7"/>
        <v>0</v>
      </c>
      <c r="H15" s="32">
        <f t="shared" si="8"/>
        <v>0</v>
      </c>
      <c r="I15" s="2969"/>
      <c r="J15" s="2969"/>
      <c r="K15" s="2969"/>
      <c r="L15" s="2969"/>
      <c r="M15" s="2969"/>
      <c r="N15" s="82"/>
      <c r="O15" s="82"/>
      <c r="P15" s="82"/>
      <c r="Q15" s="82"/>
      <c r="R15" s="82"/>
      <c r="S15" s="82"/>
      <c r="T15" s="82"/>
      <c r="U15" s="82"/>
      <c r="V15" s="82"/>
      <c r="W15" s="82"/>
      <c r="X15" s="82"/>
      <c r="Y15" s="82"/>
      <c r="Z15" s="82"/>
      <c r="AA15" s="82"/>
      <c r="AB15" s="82"/>
      <c r="AC15" s="26">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5"/>
      <c r="B16" s="2965"/>
      <c r="C16" s="2967"/>
      <c r="D16" s="2966"/>
      <c r="E16" s="26">
        <f t="shared" si="6"/>
        <v>0</v>
      </c>
      <c r="F16" s="80"/>
      <c r="G16" s="81">
        <f t="shared" si="7"/>
        <v>0</v>
      </c>
      <c r="H16" s="32">
        <f t="shared" si="8"/>
        <v>0</v>
      </c>
      <c r="I16" s="2969"/>
      <c r="J16" s="2969"/>
      <c r="K16" s="2969"/>
      <c r="L16" s="2969"/>
      <c r="M16" s="2969"/>
      <c r="N16" s="82"/>
      <c r="O16" s="82"/>
      <c r="P16" s="82"/>
      <c r="Q16" s="82"/>
      <c r="R16" s="82"/>
      <c r="S16" s="82"/>
      <c r="T16" s="82"/>
      <c r="U16" s="82"/>
      <c r="V16" s="82"/>
      <c r="W16" s="82"/>
      <c r="X16" s="82"/>
      <c r="Y16" s="82"/>
      <c r="Z16" s="82"/>
      <c r="AA16" s="82"/>
      <c r="AB16" s="82"/>
      <c r="AC16" s="26">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5"/>
      <c r="B17" s="2965"/>
      <c r="C17" s="2967"/>
      <c r="D17" s="2966"/>
      <c r="E17" s="26">
        <f t="shared" si="6"/>
        <v>0</v>
      </c>
      <c r="F17" s="80"/>
      <c r="G17" s="81">
        <f t="shared" si="7"/>
        <v>0</v>
      </c>
      <c r="H17" s="32">
        <f t="shared" si="8"/>
        <v>0</v>
      </c>
      <c r="I17" s="2969"/>
      <c r="J17" s="2969"/>
      <c r="K17" s="2969"/>
      <c r="L17" s="2969"/>
      <c r="M17" s="2969"/>
      <c r="N17" s="82"/>
      <c r="O17" s="82"/>
      <c r="P17" s="82"/>
      <c r="Q17" s="82"/>
      <c r="R17" s="82"/>
      <c r="S17" s="82"/>
      <c r="T17" s="82"/>
      <c r="U17" s="82"/>
      <c r="V17" s="82"/>
      <c r="W17" s="82"/>
      <c r="X17" s="82"/>
      <c r="Y17" s="82"/>
      <c r="Z17" s="82"/>
      <c r="AA17" s="82"/>
      <c r="AB17" s="82"/>
      <c r="AC17" s="26">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8"/>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2" t="s">
        <v>0</v>
      </c>
      <c r="B1" s="3292" t="s">
        <v>4</v>
      </c>
      <c r="C1" s="3292" t="s">
        <v>5</v>
      </c>
      <c r="D1" s="3293" t="s">
        <v>39</v>
      </c>
      <c r="E1" s="3293" t="s">
        <v>40</v>
      </c>
      <c r="F1" s="3293"/>
      <c r="G1" s="3293"/>
      <c r="H1" s="3293"/>
      <c r="I1" s="3293"/>
      <c r="J1" s="3293"/>
      <c r="K1" s="3293"/>
      <c r="L1" s="3293"/>
      <c r="M1" s="3293"/>
    </row>
    <row r="2" spans="1:13" ht="27" customHeight="1">
      <c r="A2" s="3292"/>
      <c r="B2" s="3292"/>
      <c r="C2" s="3292"/>
      <c r="D2" s="3293"/>
      <c r="E2" s="3293" t="s">
        <v>23</v>
      </c>
      <c r="F2" s="3293" t="s">
        <v>24</v>
      </c>
      <c r="G2" s="3293"/>
      <c r="H2" s="3293"/>
      <c r="I2" s="3293"/>
      <c r="J2" s="3293" t="s">
        <v>25</v>
      </c>
      <c r="K2" s="3293"/>
      <c r="L2" s="3293"/>
      <c r="M2" s="3293"/>
    </row>
    <row r="3" spans="1:13" ht="28.5">
      <c r="A3" s="3292"/>
      <c r="B3" s="3292"/>
      <c r="C3" s="3292"/>
      <c r="D3" s="3293"/>
      <c r="E3" s="329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3" t="s">
        <v>41</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11" sqref="N1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167</v>
      </c>
      <c r="B1" s="1968"/>
      <c r="C1" s="1968"/>
      <c r="D1" s="1968"/>
      <c r="E1" s="1968"/>
      <c r="F1" s="1968"/>
      <c r="G1" s="1968"/>
      <c r="H1" s="1968"/>
      <c r="I1" s="1968"/>
      <c r="J1" s="1968"/>
      <c r="K1" s="1968"/>
      <c r="L1" s="1968"/>
    </row>
    <row r="2" spans="1:16" ht="15">
      <c r="A2" s="3303" t="s">
        <v>168</v>
      </c>
      <c r="B2" s="3303"/>
      <c r="C2" s="3303"/>
      <c r="D2" s="1959" t="s">
        <v>169</v>
      </c>
      <c r="E2" s="105" t="s">
        <v>170</v>
      </c>
      <c r="F2" s="1968"/>
      <c r="G2" s="1193"/>
      <c r="H2" s="1194"/>
      <c r="I2" s="1195" t="s">
        <v>820</v>
      </c>
      <c r="J2" s="1968"/>
      <c r="K2" s="1968"/>
      <c r="L2" s="1968"/>
    </row>
    <row r="3" spans="1:16" ht="15.75" thickBot="1">
      <c r="A3" s="3304" t="s">
        <v>171</v>
      </c>
      <c r="B3" s="3304"/>
      <c r="C3" s="3304"/>
      <c r="D3" s="106">
        <f>'数据-基础表'!AY6</f>
        <v>27729.29</v>
      </c>
      <c r="E3" s="106">
        <f>'数据-基础表'!AZ5</f>
        <v>55458.58</v>
      </c>
      <c r="F3" s="1968"/>
      <c r="G3" s="279" t="s">
        <v>821</v>
      </c>
      <c r="H3" s="274" t="s">
        <v>822</v>
      </c>
      <c r="I3" s="1960">
        <f>ROUND('数据-基础表'!B3/'数据-基础表'!A3,2)</f>
        <v>2</v>
      </c>
      <c r="J3" s="1968"/>
      <c r="K3" s="1968"/>
      <c r="L3" s="1968"/>
    </row>
    <row r="4" spans="1:16" ht="15">
      <c r="A4" s="3305"/>
      <c r="B4" s="3306"/>
      <c r="C4" s="3307"/>
      <c r="D4" s="107" t="s">
        <v>169</v>
      </c>
      <c r="E4" s="108" t="s">
        <v>170</v>
      </c>
      <c r="F4" s="1968"/>
      <c r="G4" s="1196"/>
      <c r="H4" s="274" t="s">
        <v>823</v>
      </c>
      <c r="I4" s="1960">
        <f>ROUND(SUMIF('数据-基础表'!I9:AS9,"地上",'数据-基础表'!I5:AS5)/'数据-基础表'!A3,2)</f>
        <v>2</v>
      </c>
      <c r="J4" s="1968"/>
      <c r="K4" s="1968"/>
      <c r="L4" s="1968"/>
    </row>
    <row r="5" spans="1:16">
      <c r="A5" s="109" t="s">
        <v>172</v>
      </c>
      <c r="B5" s="3308" t="s">
        <v>195</v>
      </c>
      <c r="C5" s="3308"/>
      <c r="D5" s="110">
        <f>ROUND($D$3*E5/$E$3,2)</f>
        <v>0</v>
      </c>
      <c r="E5" s="111">
        <f>SUMIF('数据-基础表'!$11:$11,"住宅",'数据-基础表'!$5:$5)</f>
        <v>0</v>
      </c>
      <c r="F5" s="1968"/>
      <c r="G5" s="279" t="s">
        <v>824</v>
      </c>
      <c r="H5" s="274" t="s">
        <v>822</v>
      </c>
      <c r="I5" s="1960">
        <f>ROUND(E31/D31,2)</f>
        <v>2</v>
      </c>
      <c r="J5" s="1968"/>
      <c r="K5" s="1968"/>
      <c r="L5" s="1968"/>
    </row>
    <row r="6" spans="1:16" ht="15" thickBot="1">
      <c r="A6" s="112"/>
      <c r="B6" s="3308" t="s">
        <v>173</v>
      </c>
      <c r="C6" s="3308"/>
      <c r="D6" s="110">
        <f>ROUND($D$3*E6/$E$3,2)</f>
        <v>27729.29</v>
      </c>
      <c r="E6" s="111">
        <f>E3-E5</f>
        <v>55458.58</v>
      </c>
      <c r="F6" s="1968"/>
      <c r="G6" s="1196"/>
      <c r="H6" s="274" t="s">
        <v>823</v>
      </c>
      <c r="I6" s="1960">
        <f>ROUND(F31/D31,2)</f>
        <v>2</v>
      </c>
      <c r="J6" s="1968"/>
      <c r="K6" s="1968"/>
      <c r="L6" s="1968"/>
    </row>
    <row r="7" spans="1:16" ht="15">
      <c r="A7" s="3300"/>
      <c r="B7" s="3301"/>
      <c r="C7" s="3302"/>
      <c r="D7" s="107" t="s">
        <v>169</v>
      </c>
      <c r="E7" s="113" t="s">
        <v>196</v>
      </c>
      <c r="F7" s="1968"/>
      <c r="G7" s="1151" t="s">
        <v>1607</v>
      </c>
      <c r="H7" s="1152"/>
      <c r="I7" s="1830"/>
      <c r="J7" s="1968"/>
      <c r="K7" s="1968"/>
      <c r="L7" s="1968"/>
    </row>
    <row r="8" spans="1:16">
      <c r="A8" s="109" t="s">
        <v>174</v>
      </c>
      <c r="B8" s="114" t="s">
        <v>175</v>
      </c>
      <c r="C8" s="110" t="s">
        <v>176</v>
      </c>
      <c r="D8" s="110">
        <f t="shared" ref="D8:D15" si="0">ROUND($D$3*E8/$E$3,2)</f>
        <v>27729.29</v>
      </c>
      <c r="E8" s="115">
        <f>SUMIF('数据-基础表'!BB10:BK10,"地上",'数据-基础表'!BB5:BK5)</f>
        <v>55458.58</v>
      </c>
      <c r="F8" s="1968"/>
      <c r="G8" s="1970"/>
      <c r="H8" s="1970"/>
      <c r="I8" s="1968"/>
      <c r="J8" s="1968"/>
      <c r="K8" s="1968"/>
      <c r="L8" s="1968"/>
    </row>
    <row r="9" spans="1:16">
      <c r="A9" s="116"/>
      <c r="B9" s="117"/>
      <c r="C9" s="110" t="s">
        <v>177</v>
      </c>
      <c r="D9" s="110">
        <f t="shared" si="0"/>
        <v>0</v>
      </c>
      <c r="E9" s="118">
        <v>0</v>
      </c>
      <c r="F9" s="1968"/>
      <c r="G9" s="1970"/>
      <c r="H9" s="1970"/>
      <c r="I9" s="1968"/>
      <c r="J9" s="1968"/>
      <c r="K9" s="1968"/>
      <c r="L9" s="1968"/>
    </row>
    <row r="10" spans="1:16">
      <c r="A10" s="116"/>
      <c r="B10" s="117"/>
      <c r="C10" s="110" t="s">
        <v>178</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2284</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179</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2291</v>
      </c>
      <c r="D13" s="110">
        <f t="shared" si="0"/>
        <v>0</v>
      </c>
      <c r="E13" s="115">
        <f>SUMPRODUCT(('数据-基础表'!BB10:BK10="地下")*('数据-基础表'!BB11:BK11="车库")*('数据-基础表'!BB5:BK5))</f>
        <v>0</v>
      </c>
      <c r="F13" s="1968"/>
      <c r="G13" s="1970"/>
      <c r="H13" s="1970"/>
      <c r="I13" s="1968"/>
      <c r="J13" s="1968"/>
      <c r="K13" s="1968"/>
      <c r="L13" s="1968"/>
    </row>
    <row r="14" spans="1:16">
      <c r="A14" s="116"/>
      <c r="B14" s="117"/>
      <c r="C14" s="110" t="s">
        <v>197</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198</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180</v>
      </c>
      <c r="D16" s="114">
        <f>SUM(D8:D15)</f>
        <v>27729.29</v>
      </c>
      <c r="E16" s="119">
        <f>SUM(E8:E15)</f>
        <v>55458.58</v>
      </c>
      <c r="F16" s="1968"/>
      <c r="G16" s="1970"/>
      <c r="H16" s="967" t="s">
        <v>184</v>
      </c>
      <c r="I16" s="968"/>
      <c r="J16" s="1968"/>
      <c r="K16" s="3294" t="s">
        <v>2521</v>
      </c>
      <c r="L16" s="3295"/>
      <c r="M16" s="3295"/>
      <c r="N16" s="3295"/>
      <c r="O16" s="3295"/>
      <c r="P16" s="3296"/>
    </row>
    <row r="17" spans="1:19" ht="15">
      <c r="A17" s="120" t="s">
        <v>181</v>
      </c>
      <c r="B17" s="121" t="s">
        <v>182</v>
      </c>
      <c r="C17" s="2282" t="s">
        <v>2270</v>
      </c>
      <c r="D17" s="107" t="s">
        <v>169</v>
      </c>
      <c r="E17" s="123" t="s">
        <v>170</v>
      </c>
      <c r="F17" s="124"/>
      <c r="G17" s="1361"/>
      <c r="H17" s="969" t="s">
        <v>183</v>
      </c>
      <c r="I17" s="970" t="s">
        <v>2269</v>
      </c>
      <c r="J17" s="1968"/>
      <c r="K17" s="3297" t="s">
        <v>2522</v>
      </c>
      <c r="L17" s="3298"/>
      <c r="M17" s="3299"/>
      <c r="N17" s="3297" t="s">
        <v>2523</v>
      </c>
      <c r="O17" s="3298"/>
      <c r="P17" s="3299"/>
      <c r="R17" s="2283" t="s">
        <v>2268</v>
      </c>
      <c r="S17" s="143"/>
    </row>
    <row r="18" spans="1:19" ht="15">
      <c r="A18" s="116"/>
      <c r="B18" s="127"/>
      <c r="C18" s="128"/>
      <c r="D18" s="2605"/>
      <c r="E18" s="129" t="s">
        <v>185</v>
      </c>
      <c r="F18" s="130" t="s">
        <v>186</v>
      </c>
      <c r="G18" s="1362" t="s">
        <v>187</v>
      </c>
      <c r="H18" s="971" t="s">
        <v>188</v>
      </c>
      <c r="I18" s="972" t="s">
        <v>189</v>
      </c>
      <c r="J18" s="1968"/>
      <c r="K18" s="2568" t="s">
        <v>2524</v>
      </c>
      <c r="L18" s="2569" t="s">
        <v>2525</v>
      </c>
      <c r="M18" s="2570" t="s">
        <v>2526</v>
      </c>
      <c r="N18" s="2568" t="s">
        <v>2524</v>
      </c>
      <c r="O18" s="2569" t="s">
        <v>2525</v>
      </c>
      <c r="P18" s="2570" t="s">
        <v>2526</v>
      </c>
      <c r="R18" s="2284" t="s">
        <v>2266</v>
      </c>
      <c r="S18" s="2284" t="s">
        <v>2267</v>
      </c>
    </row>
    <row r="19" spans="1:19">
      <c r="A19" s="132"/>
      <c r="B19" s="114" t="s">
        <v>190</v>
      </c>
      <c r="C19" s="2976"/>
      <c r="D19" s="110">
        <f t="shared" ref="D19:D26" si="1">ROUND($D$3*E19/$E$3,2)</f>
        <v>0</v>
      </c>
      <c r="E19" s="133">
        <f t="shared" ref="E19:E26" si="2">SUM(F19:G19)</f>
        <v>0</v>
      </c>
      <c r="F19" s="134"/>
      <c r="G19" s="1363"/>
      <c r="H19" s="973">
        <f>ROUND($D$3*I19/$E$3,2)</f>
        <v>0</v>
      </c>
      <c r="I19" s="115">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0</v>
      </c>
      <c r="S19" s="2285">
        <f t="shared" si="5"/>
        <v>0</v>
      </c>
    </row>
    <row r="20" spans="1:19">
      <c r="A20" s="137"/>
      <c r="B20" s="114" t="s">
        <v>191</v>
      </c>
      <c r="C20" s="2976" t="str">
        <f>定义!A3</f>
        <v>公寓用房</v>
      </c>
      <c r="D20" s="110">
        <f t="shared" si="1"/>
        <v>27729.29</v>
      </c>
      <c r="E20" s="133">
        <f t="shared" si="2"/>
        <v>55458.58</v>
      </c>
      <c r="F20" s="134">
        <f>'数据-基础表'!K13</f>
        <v>55458.58</v>
      </c>
      <c r="G20" s="1363"/>
      <c r="H20" s="973">
        <f t="shared" ref="H20:H26" si="6">ROUND($D$3*I20/$E$3,2)</f>
        <v>0</v>
      </c>
      <c r="I20" s="115">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27729.29</v>
      </c>
      <c r="S20" s="2285">
        <f t="shared" si="5"/>
        <v>55458.58</v>
      </c>
    </row>
    <row r="21" spans="1:19">
      <c r="A21" s="137"/>
      <c r="B21" s="114" t="s">
        <v>191</v>
      </c>
      <c r="C21" s="2976"/>
      <c r="D21" s="110">
        <f t="shared" si="1"/>
        <v>0</v>
      </c>
      <c r="E21" s="133">
        <f t="shared" si="2"/>
        <v>0</v>
      </c>
      <c r="F21" s="134"/>
      <c r="G21" s="1363"/>
      <c r="H21" s="973">
        <f t="shared" si="6"/>
        <v>0</v>
      </c>
      <c r="I21" s="115">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7"/>
      <c r="B22" s="114" t="s">
        <v>191</v>
      </c>
      <c r="C22" s="1360"/>
      <c r="D22" s="110">
        <f t="shared" si="1"/>
        <v>0</v>
      </c>
      <c r="E22" s="133">
        <f t="shared" si="2"/>
        <v>0</v>
      </c>
      <c r="F22" s="139"/>
      <c r="G22" s="1364"/>
      <c r="H22" s="973">
        <f t="shared" si="6"/>
        <v>0</v>
      </c>
      <c r="I22" s="115">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7"/>
      <c r="B23" s="114" t="s">
        <v>191</v>
      </c>
      <c r="C23" s="138"/>
      <c r="D23" s="110">
        <f>ROUND($D$3*E23/$E$3,2)</f>
        <v>0</v>
      </c>
      <c r="E23" s="133">
        <f>SUM(F23:G23)</f>
        <v>0</v>
      </c>
      <c r="F23" s="139"/>
      <c r="G23" s="1364"/>
      <c r="H23" s="973">
        <f>ROUND($D$3*I23/$E$3,2)</f>
        <v>0</v>
      </c>
      <c r="I23" s="115">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7"/>
      <c r="B24" s="114" t="s">
        <v>191</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191</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191</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15.75" thickBot="1">
      <c r="A27" s="137"/>
      <c r="B27" s="110"/>
      <c r="C27" s="126" t="s">
        <v>180</v>
      </c>
      <c r="D27" s="133">
        <f>SUM(D19:D26)</f>
        <v>27729.29</v>
      </c>
      <c r="E27" s="142">
        <f>IF(SUM(E19:E26)='数据-基础表'!BA5,SUM(E19:E26),IF(F27="地上面积有误","面积有误","地下面积有误"))</f>
        <v>55458.58</v>
      </c>
      <c r="F27" s="133">
        <f>IF(SUM(F19:F26)=E8,SUM(F19:F26),"地上面积有误")</f>
        <v>55458.58</v>
      </c>
      <c r="G27" s="111">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27729.29</v>
      </c>
      <c r="S27" s="274">
        <f>IF(SUM(S19:S26)=$E$3,SUM(S19:S26),SUM(S19:S26)&amp;"误差"&amp;ROUND(SUM(S19:S26)-E3,2))</f>
        <v>55458.58</v>
      </c>
    </row>
    <row r="28" spans="1:19">
      <c r="A28" s="137"/>
      <c r="B28" s="114" t="s">
        <v>192</v>
      </c>
      <c r="C28" s="135" t="s">
        <v>193</v>
      </c>
      <c r="D28" s="110">
        <f>ROUND($D$3*E28/$E$3,2)</f>
        <v>0</v>
      </c>
      <c r="E28" s="133">
        <f>SUM(F28:G28)</f>
        <v>0</v>
      </c>
      <c r="F28" s="143">
        <f>'数据-基础表'!BQ5+'数据-基础表'!BS5</f>
        <v>0</v>
      </c>
      <c r="G28" s="144">
        <f>'数据-基础表'!BR5+'数据-基础表'!BT5</f>
        <v>0</v>
      </c>
      <c r="H28" s="1968"/>
      <c r="I28" s="1968"/>
      <c r="J28" s="1968"/>
      <c r="K28" s="1968"/>
      <c r="L28" s="1968"/>
    </row>
    <row r="29" spans="1:19">
      <c r="A29" s="137"/>
      <c r="B29" s="114" t="s">
        <v>192</v>
      </c>
      <c r="C29" s="2297" t="s">
        <v>2277</v>
      </c>
      <c r="D29" s="110">
        <f>ROUND($D$3*E29/$E$3,2)</f>
        <v>0</v>
      </c>
      <c r="E29" s="133">
        <f>SUM(F29:G29)</f>
        <v>0</v>
      </c>
      <c r="F29" s="143">
        <f>'数据-基础表'!BM5+'数据-基础表'!BO5</f>
        <v>0</v>
      </c>
      <c r="G29" s="145">
        <f>'数据-基础表'!BN5+'数据-基础表'!BP5</f>
        <v>0</v>
      </c>
      <c r="H29" s="1968"/>
      <c r="I29" s="1968"/>
      <c r="J29" s="1968"/>
      <c r="K29" s="1968"/>
      <c r="L29" s="1968"/>
    </row>
    <row r="30" spans="1:19">
      <c r="A30" s="137"/>
      <c r="B30" s="110"/>
      <c r="C30" s="146" t="s">
        <v>180</v>
      </c>
      <c r="D30" s="133">
        <f>SUM(D28:D29)</f>
        <v>0</v>
      </c>
      <c r="E30" s="133">
        <f>SUM(E28:E29)</f>
        <v>0</v>
      </c>
      <c r="F30" s="133">
        <f>SUM(F28:F29)</f>
        <v>0</v>
      </c>
      <c r="G30" s="111">
        <f>SUM(G28:G29)</f>
        <v>0</v>
      </c>
      <c r="H30" s="1968"/>
      <c r="I30" s="1968"/>
      <c r="J30" s="1968"/>
      <c r="K30" s="1968"/>
      <c r="L30" s="1968"/>
    </row>
    <row r="31" spans="1:19" ht="32.25" customHeight="1" thickBot="1">
      <c r="A31" s="1365"/>
      <c r="B31" s="1366" t="s">
        <v>194</v>
      </c>
      <c r="C31" s="2314" t="s">
        <v>2279</v>
      </c>
      <c r="D31" s="1367">
        <f>D27+D30</f>
        <v>27729.29</v>
      </c>
      <c r="E31" s="1367">
        <f>E27+E30</f>
        <v>55458.58</v>
      </c>
      <c r="F31" s="1368">
        <f>F27+F30</f>
        <v>55458.58</v>
      </c>
      <c r="G31" s="1369">
        <f>G27+G30</f>
        <v>0</v>
      </c>
      <c r="H31" s="1968"/>
      <c r="I31" s="1968"/>
      <c r="J31" s="1968"/>
      <c r="K31" s="1968"/>
      <c r="L31" s="1968"/>
    </row>
    <row r="32" spans="1:19">
      <c r="A32" s="1968"/>
      <c r="B32" s="2326" t="s">
        <v>2278</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R24" sqref="R2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199</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200</v>
      </c>
      <c r="B2" s="2322">
        <f>项目基本情况!D3</f>
        <v>43724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827</v>
      </c>
      <c r="B4" s="151"/>
      <c r="C4" s="152"/>
      <c r="D4" s="1203"/>
      <c r="E4" s="1204" t="s">
        <v>828</v>
      </c>
      <c r="F4" s="152"/>
      <c r="G4" s="152"/>
      <c r="H4" s="152"/>
      <c r="I4" s="152"/>
      <c r="J4" s="153"/>
      <c r="K4" s="1205"/>
      <c r="L4" s="1206"/>
      <c r="M4" s="152"/>
      <c r="N4" s="1204" t="s">
        <v>829</v>
      </c>
      <c r="O4" s="152"/>
      <c r="P4" s="152"/>
      <c r="Q4" s="152"/>
      <c r="R4" s="152"/>
      <c r="S4" s="153"/>
      <c r="T4" s="976" t="str">
        <f>'数据-汇总表'!I17</f>
        <v>按面积比例</v>
      </c>
      <c r="U4" s="151" t="s">
        <v>830</v>
      </c>
      <c r="V4" s="152"/>
      <c r="W4" s="152"/>
      <c r="X4" s="152"/>
      <c r="Y4" s="153"/>
      <c r="Z4" s="122" t="s">
        <v>831</v>
      </c>
      <c r="AA4" s="122"/>
      <c r="AB4" s="122"/>
      <c r="AC4" s="122"/>
      <c r="AD4" s="122"/>
      <c r="AE4" s="120" t="s">
        <v>832</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2281</v>
      </c>
      <c r="B5" s="155" t="s">
        <v>201</v>
      </c>
      <c r="C5" s="156" t="s">
        <v>202</v>
      </c>
      <c r="D5" s="157" t="s">
        <v>203</v>
      </c>
      <c r="E5" s="158" t="s">
        <v>204</v>
      </c>
      <c r="F5" s="159" t="s">
        <v>205</v>
      </c>
      <c r="G5" s="158" t="s">
        <v>206</v>
      </c>
      <c r="H5" s="158" t="s">
        <v>825</v>
      </c>
      <c r="I5" s="158" t="s">
        <v>826</v>
      </c>
      <c r="J5" s="160" t="s">
        <v>207</v>
      </c>
      <c r="K5" s="161" t="s">
        <v>208</v>
      </c>
      <c r="L5" s="162" t="s">
        <v>209</v>
      </c>
      <c r="M5" s="163" t="s">
        <v>210</v>
      </c>
      <c r="N5" s="1214" t="s">
        <v>2783</v>
      </c>
      <c r="O5" s="162" t="s">
        <v>211</v>
      </c>
      <c r="P5" s="164" t="s">
        <v>212</v>
      </c>
      <c r="Q5" s="165" t="s">
        <v>213</v>
      </c>
      <c r="R5" s="166" t="s">
        <v>214</v>
      </c>
      <c r="S5" s="2584" t="s">
        <v>2527</v>
      </c>
      <c r="T5" s="167" t="s">
        <v>215</v>
      </c>
      <c r="U5" s="168" t="s">
        <v>216</v>
      </c>
      <c r="V5" s="158" t="s">
        <v>217</v>
      </c>
      <c r="W5" s="158" t="s">
        <v>218</v>
      </c>
      <c r="X5" s="1802"/>
      <c r="Y5" s="169" t="s">
        <v>219</v>
      </c>
      <c r="Z5" s="170" t="s">
        <v>220</v>
      </c>
      <c r="AA5" s="158" t="s">
        <v>217</v>
      </c>
      <c r="AB5" s="158" t="s">
        <v>218</v>
      </c>
      <c r="AC5" s="1803"/>
      <c r="AD5" s="171" t="s">
        <v>219</v>
      </c>
      <c r="AE5" s="1" t="s">
        <v>833</v>
      </c>
      <c r="AF5" s="158" t="s">
        <v>221</v>
      </c>
      <c r="AG5" s="169" t="s">
        <v>222</v>
      </c>
      <c r="AH5" s="1803" t="s">
        <v>2280</v>
      </c>
      <c r="AI5" s="170" t="s">
        <v>2249</v>
      </c>
      <c r="AJ5" s="170" t="s">
        <v>223</v>
      </c>
      <c r="AK5" s="158" t="s">
        <v>224</v>
      </c>
      <c r="AL5" s="158" t="s">
        <v>225</v>
      </c>
      <c r="AM5" s="171" t="s">
        <v>226</v>
      </c>
      <c r="AN5" s="2354" t="s">
        <v>2330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f>'数据-汇总表'!C19</f>
        <v>0</v>
      </c>
      <c r="B6" s="2321" t="str">
        <f>IF(A6=0,"","经营性")</f>
        <v/>
      </c>
      <c r="C6" s="172"/>
      <c r="D6" s="2292">
        <f>SUMIF(项目基本情况!D$15:I$15,C6,项目基本情况!D$18:I$18)</f>
        <v>0</v>
      </c>
      <c r="E6" s="2293" t="str">
        <f>IF(B6="","",SUMIF(项目基本情况!D$15:I$15,C6,项目基本情况!D$17:I$17))</f>
        <v/>
      </c>
      <c r="F6" s="173">
        <f>SUMIF(项目基本情况!D$15:I$15,C6,项目基本情况!D$19:I$19)</f>
        <v>0</v>
      </c>
      <c r="G6" s="174">
        <f>IF(ISERROR(ROUND(POWER(1+H6,D6-F6)*(POWER(1+H6,F6)-1)/(POWER(1+H6,D6)-1),3)),0,ROUND(POWER(1+H6,D6-F6)*(POWER(1+H6,F6)-1)/(POWER(1+H6,D6)-1),3))</f>
        <v>0</v>
      </c>
      <c r="H6" s="2977"/>
      <c r="I6" s="2977"/>
      <c r="J6" s="175"/>
      <c r="K6" s="178">
        <f>SUMIF('数据-汇总表'!C$19:C$33,'数据-取费表'!A6,'数据-汇总表'!E$19:E$33)</f>
        <v>0</v>
      </c>
      <c r="L6" s="2978"/>
      <c r="M6" s="176">
        <f t="shared" ref="M6:M14" si="0">ROUND(K6*L6/10000,0)</f>
        <v>0</v>
      </c>
      <c r="N6" s="2979"/>
      <c r="O6" s="176">
        <f>IF($N$5="成新度","——",ROUND(M6*N6,0))</f>
        <v>0</v>
      </c>
      <c r="P6" s="177">
        <f>IF($N$5="成新度","——",M6-O6)</f>
        <v>0</v>
      </c>
      <c r="Q6" s="191"/>
      <c r="R6" s="178">
        <f>SUMIF('数据-汇总表'!C$19:C$33,A6,'数据-汇总表'!R$19:R$33)</f>
        <v>0</v>
      </c>
      <c r="S6" s="131">
        <f>IF('数据-汇总表'!$I$17="按面积比例",SUMIF('数据-汇总表'!C$19:C$33,A6,'数据-汇总表'!K$19:K$33),SUMIF('数据-汇总表'!C$19:C$33,A6,'数据-汇总表'!N$19:N$33))</f>
        <v>0</v>
      </c>
      <c r="T6" s="2218" t="str">
        <f>IF($T$4="按面积比例",IF(ISERROR(ROUND($M$14*S6/S$16,0)),"0",ROUND($M$14*S6/S$16,0)),"需自行计算录入")</f>
        <v>0</v>
      </c>
      <c r="U6" s="179"/>
      <c r="V6" s="180"/>
      <c r="W6" s="180"/>
      <c r="X6" s="2305"/>
      <c r="Y6" s="181"/>
      <c r="Z6" s="182"/>
      <c r="AA6" s="175"/>
      <c r="AB6" s="175"/>
      <c r="AC6" s="2308"/>
      <c r="AD6" s="183"/>
      <c r="AE6" s="971">
        <f ca="1">IF(AN6="",0,SUMIF(INDIRECT("'"&amp;AN6&amp;"'"&amp;"!E:E"),$AE$5,INDIRECT("'"&amp;AN6&amp;"'"&amp;"!F:F")))</f>
        <v>0</v>
      </c>
      <c r="AF6" s="140"/>
      <c r="AG6" s="1208">
        <f>IF(AF6="",0,AE6-AF6)</f>
        <v>0</v>
      </c>
      <c r="AH6" s="140"/>
      <c r="AI6" s="186"/>
      <c r="AJ6" s="187"/>
      <c r="AK6" s="188"/>
      <c r="AL6" s="189"/>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公寓用房</v>
      </c>
      <c r="B7" s="2321" t="str">
        <f t="shared" ref="B7:B13" si="1">IF(A7=0,"","经营性")</f>
        <v>经营性</v>
      </c>
      <c r="C7" s="172" t="s">
        <v>2943</v>
      </c>
      <c r="D7" s="2292">
        <f>SUMIF(项目基本情况!D$15:I$15,C7,项目基本情况!D$18:I$18)</f>
        <v>40</v>
      </c>
      <c r="E7" s="2293">
        <f>IF(B7="","",SUMIF(项目基本情况!D$15:I$15,C7,项目基本情况!D$17:I$17))</f>
        <v>57812</v>
      </c>
      <c r="F7" s="173">
        <f>SUMIF(项目基本情况!D$15:I$15,C7,项目基本情况!D$19:I$19)</f>
        <v>38.590000000000003</v>
      </c>
      <c r="G7" s="174">
        <f t="shared" ref="G7:G11" si="2">IF(ISERROR(ROUND(POWER(1+H7,D7-F7)*(POWER(1+H7,F7)-1)/(POWER(1+H7,D7)-1),3)),0,ROUND(POWER(1+H7,D7-F7)*(POWER(1+H7,F7)-1)/(POWER(1+H7,D7)-1),3))</f>
        <v>0.98799999999999999</v>
      </c>
      <c r="H7" s="2977">
        <v>0.05</v>
      </c>
      <c r="I7" s="2977">
        <v>0.06</v>
      </c>
      <c r="J7" s="175">
        <v>8.5000000000000006E-2</v>
      </c>
      <c r="K7" s="178">
        <f>SUMIF('数据-汇总表'!C$19:C$33,'数据-取费表'!A7,'数据-汇总表'!E$19:E$33)</f>
        <v>55458.58</v>
      </c>
      <c r="L7" s="2978">
        <v>3000</v>
      </c>
      <c r="M7" s="176">
        <f t="shared" si="0"/>
        <v>16638</v>
      </c>
      <c r="N7" s="2979">
        <v>0</v>
      </c>
      <c r="O7" s="176">
        <f t="shared" ref="O7:O14" si="3">IF($N$5="成新度","——",ROUND(M7*N7,0))</f>
        <v>0</v>
      </c>
      <c r="P7" s="177">
        <f t="shared" ref="P7:P14" si="4">IF($N$5="成新度","——",M7-O7)</f>
        <v>16638</v>
      </c>
      <c r="Q7" s="191">
        <v>0.2</v>
      </c>
      <c r="R7" s="178">
        <f>SUMIF('数据-汇总表'!C$19:C$33,A7,'数据-汇总表'!R$19:R$33)</f>
        <v>27729.29</v>
      </c>
      <c r="S7" s="131">
        <f>IF('数据-汇总表'!$I$17="按面积比例",SUMIF('数据-汇总表'!C$19:C$33,A7,'数据-汇总表'!K$19:K$33),SUMIF('数据-汇总表'!C$19:C$33,A7,'数据-汇总表'!N$19:N$33))</f>
        <v>0</v>
      </c>
      <c r="T7" s="2218" t="str">
        <f t="shared" ref="T7:T13" si="5">IF($T$4="按面积比例",IF(ISERROR(ROUND($M$14*S7/S$16,0)),"0",ROUND($M$14*S7/S$16,0)),"需自行计算录入")</f>
        <v>0</v>
      </c>
      <c r="U7" s="179">
        <v>1.5</v>
      </c>
      <c r="V7" s="180">
        <v>0.02</v>
      </c>
      <c r="W7" s="180">
        <v>0.1</v>
      </c>
      <c r="X7" s="2305"/>
      <c r="Y7" s="181">
        <v>1</v>
      </c>
      <c r="Z7" s="182"/>
      <c r="AA7" s="175"/>
      <c r="AB7" s="175"/>
      <c r="AC7" s="2308"/>
      <c r="AD7" s="183"/>
      <c r="AE7" s="971">
        <f t="shared" ref="AE7:AE13" ca="1" si="6">IF(AN7="",0,SUMIF(INDIRECT("'"&amp;AN7&amp;"'"&amp;"!E:E"),$AE$5,INDIRECT("'"&amp;AN7&amp;"'"&amp;"!F:F")))</f>
        <v>36.590000000000003</v>
      </c>
      <c r="AF7" s="140"/>
      <c r="AG7" s="1208">
        <f t="shared" ref="AG7:AG13" si="7">IF(AF7="",0,AE7-AF7)</f>
        <v>0</v>
      </c>
      <c r="AH7" s="140"/>
      <c r="AI7" s="186">
        <v>365</v>
      </c>
      <c r="AJ7" s="187"/>
      <c r="AK7" s="188">
        <v>0.02</v>
      </c>
      <c r="AL7" s="189">
        <v>2E-3</v>
      </c>
      <c r="AM7" s="2991">
        <v>0.02</v>
      </c>
      <c r="AN7" s="2355" t="s">
        <v>3512</v>
      </c>
      <c r="AO7" s="1984"/>
      <c r="AP7" s="1199">
        <f t="shared" ref="AP7:AP13" si="8">ROUND(1-1/(1+H7)^F7,3)</f>
        <v>0.84799999999999998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2"/>
      <c r="D8" s="2292">
        <f>SUMIF(项目基本情况!D$15:I$15,C8,项目基本情况!D$18:I$18)</f>
        <v>0</v>
      </c>
      <c r="E8" s="2293" t="str">
        <f>IF(B8="","",SUMIF(项目基本情况!D$15:I$15,C8,项目基本情况!D$17:I$17))</f>
        <v/>
      </c>
      <c r="F8" s="173">
        <f>SUMIF(项目基本情况!D$15:I$15,C8,项目基本情况!D$19:I$19)</f>
        <v>0</v>
      </c>
      <c r="G8" s="174">
        <f t="shared" si="2"/>
        <v>0</v>
      </c>
      <c r="H8" s="2977"/>
      <c r="I8" s="2977"/>
      <c r="J8" s="175"/>
      <c r="K8" s="178">
        <f>SUMIF('数据-汇总表'!C$19:C$33,'数据-取费表'!A8,'数据-汇总表'!E$19:E$33)</f>
        <v>0</v>
      </c>
      <c r="L8" s="2978"/>
      <c r="M8" s="176">
        <f>ROUND(K8*L8/10000,0)</f>
        <v>0</v>
      </c>
      <c r="N8" s="2979"/>
      <c r="O8" s="176">
        <f t="shared" si="3"/>
        <v>0</v>
      </c>
      <c r="P8" s="177">
        <f t="shared" si="4"/>
        <v>0</v>
      </c>
      <c r="Q8" s="2980"/>
      <c r="R8" s="178">
        <f>SUMIF('数据-汇总表'!C$19:C$33,A8,'数据-汇总表'!R$19:R$33)</f>
        <v>0</v>
      </c>
      <c r="S8" s="131">
        <f>IF('数据-汇总表'!$I$17="按面积比例",SUMIF('数据-汇总表'!C$19:C$33,A8,'数据-汇总表'!K$19:K$33),SUMIF('数据-汇总表'!C$19:C$33,A8,'数据-汇总表'!N$19:N$33))</f>
        <v>0</v>
      </c>
      <c r="T8" s="2218" t="str">
        <f t="shared" si="5"/>
        <v>0</v>
      </c>
      <c r="U8" s="179"/>
      <c r="V8" s="180"/>
      <c r="W8" s="180"/>
      <c r="X8" s="2305"/>
      <c r="Y8" s="181"/>
      <c r="Z8" s="182"/>
      <c r="AA8" s="175"/>
      <c r="AB8" s="175"/>
      <c r="AC8" s="2308"/>
      <c r="AD8" s="183"/>
      <c r="AE8" s="971">
        <f t="shared" ca="1" si="6"/>
        <v>0</v>
      </c>
      <c r="AF8" s="140"/>
      <c r="AG8" s="1208">
        <f t="shared" si="7"/>
        <v>0</v>
      </c>
      <c r="AH8" s="140"/>
      <c r="AI8" s="186"/>
      <c r="AJ8" s="187"/>
      <c r="AK8" s="188"/>
      <c r="AL8" s="189"/>
      <c r="AM8" s="2991"/>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2"/>
      <c r="D9" s="2292">
        <f>SUMIF(项目基本情况!D$15:I$15,C9,项目基本情况!D$18:I$18)</f>
        <v>0</v>
      </c>
      <c r="E9" s="229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8" t="str">
        <f t="shared" si="5"/>
        <v>0</v>
      </c>
      <c r="U9" s="179"/>
      <c r="V9" s="180"/>
      <c r="W9" s="180"/>
      <c r="X9" s="2305"/>
      <c r="Y9" s="181"/>
      <c r="Z9" s="182"/>
      <c r="AA9" s="175"/>
      <c r="AB9" s="175"/>
      <c r="AC9" s="2308"/>
      <c r="AD9" s="183"/>
      <c r="AE9" s="971">
        <f t="shared" ca="1" si="6"/>
        <v>0</v>
      </c>
      <c r="AF9" s="140"/>
      <c r="AG9" s="1208">
        <f t="shared" si="7"/>
        <v>0</v>
      </c>
      <c r="AH9" s="140"/>
      <c r="AI9" s="186"/>
      <c r="AJ9" s="187"/>
      <c r="AK9" s="188"/>
      <c r="AL9" s="189"/>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2"/>
      <c r="D10" s="2292">
        <f>SUMIF(项目基本情况!D$15:I$15,C10,项目基本情况!D$18:I$18)</f>
        <v>0</v>
      </c>
      <c r="E10" s="229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8" t="str">
        <f t="shared" si="5"/>
        <v>0</v>
      </c>
      <c r="U10" s="179"/>
      <c r="V10" s="180"/>
      <c r="W10" s="180"/>
      <c r="X10" s="2305"/>
      <c r="Y10" s="181"/>
      <c r="Z10" s="182"/>
      <c r="AA10" s="175"/>
      <c r="AB10" s="175"/>
      <c r="AC10" s="2308"/>
      <c r="AD10" s="183"/>
      <c r="AE10" s="971">
        <f t="shared" ca="1" si="6"/>
        <v>0</v>
      </c>
      <c r="AF10" s="140"/>
      <c r="AG10" s="1208">
        <f t="shared" si="7"/>
        <v>0</v>
      </c>
      <c r="AH10" s="140"/>
      <c r="AI10" s="186"/>
      <c r="AJ10" s="187"/>
      <c r="AK10" s="188"/>
      <c r="AL10" s="189"/>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t="str">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t="str">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t="str">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2271</v>
      </c>
      <c r="B14" s="2290" t="s">
        <v>1641</v>
      </c>
      <c r="C14" s="2291" t="s">
        <v>2271</v>
      </c>
      <c r="D14" s="2292"/>
      <c r="E14" s="2293"/>
      <c r="F14" s="173"/>
      <c r="G14" s="174"/>
      <c r="H14" s="2294"/>
      <c r="I14" s="2294"/>
      <c r="J14" s="2294"/>
      <c r="K14" s="178">
        <f>SUMIF('数据-汇总表'!C$19:C$33,'数据-取费表'!A14,'数据-汇总表'!E$19:E$33)</f>
        <v>0</v>
      </c>
      <c r="L14" s="192"/>
      <c r="M14" s="176">
        <f t="shared" si="0"/>
        <v>0</v>
      </c>
      <c r="N14" s="193"/>
      <c r="O14" s="176">
        <f t="shared" si="3"/>
        <v>0</v>
      </c>
      <c r="P14" s="177">
        <f t="shared" si="4"/>
        <v>0</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2273</v>
      </c>
      <c r="B15" s="2290" t="s">
        <v>1641</v>
      </c>
      <c r="C15" s="2291" t="s">
        <v>2272</v>
      </c>
      <c r="D15" s="2292"/>
      <c r="E15" s="2293"/>
      <c r="F15" s="173"/>
      <c r="G15" s="174"/>
      <c r="H15" s="2294"/>
      <c r="I15" s="2294"/>
      <c r="J15" s="2294"/>
      <c r="K15" s="178">
        <f>SUMIF('数据-汇总表'!C$19:C$33,'数据-取费表'!A15,'数据-汇总表'!E$19:E$33)</f>
        <v>0</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227</v>
      </c>
      <c r="B16" s="198"/>
      <c r="C16" s="199"/>
      <c r="D16" s="200"/>
      <c r="E16" s="198"/>
      <c r="F16" s="198"/>
      <c r="G16" s="201">
        <f>ROUND(SUMPRODUCT(G6:G13,K6:K13)/SUMPRODUCT((G6:G13&gt;0)*(K6:K13)),3)</f>
        <v>0.98799999999999999</v>
      </c>
      <c r="H16" s="202">
        <f>ROUND(SUMPRODUCT(H6:H13,K6:K13)/SUMPRODUCT((H6:H13&gt;0)*(K6:K13)),3)</f>
        <v>0.05</v>
      </c>
      <c r="I16" s="203"/>
      <c r="J16" s="203"/>
      <c r="K16" s="204">
        <f>SUM(K6:K15)</f>
        <v>55458.58</v>
      </c>
      <c r="L16" s="205">
        <f>ROUND(M16*10000/SUM(K6:K14),0)</f>
        <v>3000</v>
      </c>
      <c r="M16" s="205">
        <f>SUM(M6:M14)</f>
        <v>16638</v>
      </c>
      <c r="N16" s="206">
        <f>ROUND(SUMPRODUCT(M6:M14,N6:N14)/M16,3)</f>
        <v>0</v>
      </c>
      <c r="O16" s="205">
        <f>SUM(O6:O14)</f>
        <v>0</v>
      </c>
      <c r="P16" s="205">
        <f>SUM(P6:P14)</f>
        <v>16638</v>
      </c>
      <c r="Q16" s="207">
        <f>ROUND(SUMPRODUCT(Q6:Q13,K6:K13)/SUMPRODUCT((Q6:Q13&gt;0)*(K6:K13)),2)</f>
        <v>0.2</v>
      </c>
      <c r="R16" s="2295">
        <f>SUM(R6:R13)</f>
        <v>27729.29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0.84799999999999998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228</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229</v>
      </c>
      <c r="B19" s="217">
        <v>0</v>
      </c>
      <c r="C19" s="2327" t="s">
        <v>2293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230</v>
      </c>
      <c r="B20" s="219">
        <v>2</v>
      </c>
      <c r="C20" s="2327" t="s">
        <v>2292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231</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232</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233</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234</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235</v>
      </c>
      <c r="B26" s="224" t="s">
        <v>236</v>
      </c>
      <c r="C26" s="1979" t="s">
        <v>237</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2295</v>
      </c>
      <c r="B27" s="226">
        <v>90</v>
      </c>
      <c r="C27" s="2330" t="s">
        <v>2299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2296</v>
      </c>
      <c r="B28" s="228">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2294</v>
      </c>
      <c r="B29" s="231">
        <v>0</v>
      </c>
      <c r="C29" s="1538" t="s">
        <v>2297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238</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239</v>
      </c>
      <c r="B31" s="229">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240</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243</v>
      </c>
      <c r="B33" s="1374">
        <v>0.05</v>
      </c>
      <c r="C33" s="2328" t="s">
        <v>2844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244</v>
      </c>
      <c r="B34" s="232">
        <v>0.1</v>
      </c>
      <c r="C34" s="2328" t="s">
        <v>2845</v>
      </c>
      <c r="D34" s="1977" t="s">
        <v>834</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241</v>
      </c>
      <c r="B35" s="228">
        <v>150</v>
      </c>
      <c r="C35" s="2328" t="s">
        <v>2846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242</v>
      </c>
      <c r="B36" s="233">
        <v>1.4999999999999999E-2</v>
      </c>
      <c r="C36" s="2328" t="s">
        <v>2847</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245</v>
      </c>
      <c r="B37" s="235">
        <v>0.02</v>
      </c>
      <c r="C37" s="2328" t="s">
        <v>2848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246</v>
      </c>
      <c r="B38" s="232">
        <v>0.02</v>
      </c>
      <c r="C38" s="2328" t="s">
        <v>2848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2411</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2412</v>
      </c>
      <c r="B40" s="2444">
        <f ca="1">存贷款利率!E2</f>
        <v>4.7500000000000001E-2</v>
      </c>
      <c r="C40" s="2328" t="s">
        <v>2298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247</v>
      </c>
      <c r="B41" s="237">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248</v>
      </c>
      <c r="B42" s="239">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249</v>
      </c>
      <c r="B43" s="240">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250</v>
      </c>
      <c r="B44" s="241">
        <v>7.0000000000000007E-2</v>
      </c>
      <c r="C44" s="2328" t="s">
        <v>2849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251</v>
      </c>
      <c r="B45" s="239">
        <v>0.03</v>
      </c>
      <c r="C45" s="2330" t="s">
        <v>2850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252</v>
      </c>
      <c r="B46" s="239">
        <v>0.02</v>
      </c>
      <c r="C46" s="2330" t="s">
        <v>2851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253</v>
      </c>
      <c r="B47" s="243">
        <v>0</v>
      </c>
      <c r="C47" s="3025" t="s">
        <v>2852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254</v>
      </c>
      <c r="B48" s="245">
        <v>0.03</v>
      </c>
      <c r="C48" s="3026" t="s">
        <v>2853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255</v>
      </c>
      <c r="B49" s="239">
        <v>5.0000000000000001E-4</v>
      </c>
      <c r="C49" s="3026" t="s">
        <v>2854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256</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257</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258</v>
      </c>
      <c r="B52" s="249">
        <f>SUMIF(A54:A63,B53,B54:B63)</f>
        <v>2</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259</v>
      </c>
      <c r="B53" s="250" t="s">
        <v>1289</v>
      </c>
      <c r="C53" s="3027" t="s">
        <v>2855</v>
      </c>
      <c r="D53" s="3028" t="s">
        <v>2856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2857</v>
      </c>
      <c r="B54" s="185"/>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2858</v>
      </c>
      <c r="B55" s="185"/>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2859</v>
      </c>
      <c r="B56" s="185">
        <v>2</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2860</v>
      </c>
      <c r="B57" s="185"/>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2861</v>
      </c>
      <c r="B58" s="185"/>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2862</v>
      </c>
      <c r="B59" s="185"/>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2863</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2864</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2865</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2866</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M14" sqref="M14"/>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9" t="s">
        <v>1625</v>
      </c>
      <c r="B1" s="3310"/>
      <c r="C1" s="3310"/>
      <c r="D1" s="3310"/>
      <c r="E1" s="3310"/>
      <c r="F1" s="3310"/>
      <c r="G1" s="3310"/>
      <c r="H1" s="1986"/>
      <c r="I1" s="1987"/>
      <c r="J1" s="1988"/>
      <c r="K1" s="1986"/>
      <c r="L1" s="1987"/>
      <c r="M1" s="1988"/>
      <c r="N1" s="1986"/>
      <c r="O1" s="1987"/>
      <c r="P1" s="1988"/>
      <c r="Q1" s="1989"/>
      <c r="R1" s="1990"/>
    </row>
    <row r="2" spans="1:18" ht="14.25" thickBot="1">
      <c r="A2" s="1216"/>
      <c r="B2" s="1217"/>
      <c r="C2" s="1218" t="s">
        <v>1626</v>
      </c>
      <c r="D2" s="1219"/>
      <c r="E2" s="1220"/>
      <c r="F2" s="1221"/>
      <c r="G2" s="1218" t="s">
        <v>1627</v>
      </c>
      <c r="H2" s="1992"/>
      <c r="I2" s="1992"/>
      <c r="J2" s="1992"/>
      <c r="K2" s="1992"/>
      <c r="L2" s="1992"/>
      <c r="M2" s="1992"/>
      <c r="N2" s="1992"/>
      <c r="O2" s="1992"/>
      <c r="P2" s="1992"/>
      <c r="Q2" s="1992"/>
      <c r="R2" s="1992"/>
    </row>
    <row r="3" spans="1:18" ht="67.5">
      <c r="A3" s="1222" t="s">
        <v>1628</v>
      </c>
      <c r="B3" s="1223" t="s">
        <v>1615</v>
      </c>
      <c r="C3" s="3184" t="s">
        <v>3027</v>
      </c>
      <c r="D3" s="1993"/>
      <c r="E3" s="1224" t="s">
        <v>1628</v>
      </c>
      <c r="F3" s="1225" t="s">
        <v>1616</v>
      </c>
      <c r="G3" s="3034"/>
      <c r="H3" s="1992"/>
      <c r="I3" s="1992"/>
      <c r="J3" s="1992"/>
      <c r="K3" s="1992"/>
      <c r="L3" s="1992"/>
      <c r="M3" s="1992"/>
      <c r="N3" s="1992"/>
      <c r="O3" s="1992"/>
      <c r="P3" s="1992"/>
      <c r="Q3" s="1992"/>
      <c r="R3" s="1992"/>
    </row>
    <row r="4" spans="1:18" ht="54">
      <c r="A4" s="1224"/>
      <c r="B4" s="1226" t="s">
        <v>1629</v>
      </c>
      <c r="C4" s="3185" t="s">
        <v>3028</v>
      </c>
      <c r="D4" s="1993"/>
      <c r="E4" s="1227"/>
      <c r="F4" s="1228" t="s">
        <v>1630</v>
      </c>
      <c r="G4" s="3033"/>
      <c r="H4" s="1992"/>
      <c r="I4" s="1992"/>
      <c r="J4" s="1992"/>
      <c r="K4" s="1992"/>
      <c r="L4" s="1992"/>
      <c r="M4" s="1992"/>
      <c r="N4" s="1992"/>
      <c r="O4" s="1992"/>
      <c r="P4" s="1992"/>
      <c r="Q4" s="1992"/>
      <c r="R4" s="1992"/>
    </row>
    <row r="5" spans="1:18" ht="14.25">
      <c r="A5" s="1224"/>
      <c r="B5" s="1226" t="s">
        <v>1631</v>
      </c>
      <c r="C5" s="3032" t="s">
        <v>3026</v>
      </c>
      <c r="D5" s="1993"/>
      <c r="E5" s="1227"/>
      <c r="F5" s="1226" t="s">
        <v>2501</v>
      </c>
      <c r="G5" s="3033"/>
      <c r="H5" s="1992"/>
      <c r="I5" s="1992"/>
      <c r="J5" s="1992"/>
      <c r="K5" s="1992"/>
      <c r="L5" s="1992"/>
      <c r="M5" s="1992"/>
      <c r="N5" s="1992"/>
      <c r="O5" s="1992"/>
      <c r="P5" s="1992"/>
      <c r="Q5" s="1992"/>
      <c r="R5" s="1992"/>
    </row>
    <row r="6" spans="1:18" ht="54">
      <c r="A6" s="1224"/>
      <c r="B6" s="1226" t="s">
        <v>1617</v>
      </c>
      <c r="C6" s="3186" t="s">
        <v>3029</v>
      </c>
      <c r="D6" s="1993"/>
      <c r="E6" s="1227"/>
      <c r="F6" s="1226" t="s">
        <v>2502</v>
      </c>
      <c r="G6" s="3033"/>
      <c r="H6" s="1992"/>
      <c r="I6" s="1992"/>
      <c r="J6" s="1992"/>
      <c r="K6" s="1992"/>
      <c r="L6" s="1992"/>
      <c r="M6" s="1992"/>
      <c r="N6" s="1992"/>
      <c r="O6" s="1992"/>
      <c r="P6" s="1992"/>
      <c r="Q6" s="1992"/>
      <c r="R6" s="1992"/>
    </row>
    <row r="7" spans="1:18" ht="27.75" thickBot="1">
      <c r="A7" s="1224"/>
      <c r="B7" s="1226" t="s">
        <v>2501</v>
      </c>
      <c r="C7" s="3186" t="s">
        <v>3030</v>
      </c>
      <c r="D7" s="1994"/>
      <c r="E7" s="1229"/>
      <c r="F7" s="1230" t="s">
        <v>1632</v>
      </c>
      <c r="G7" s="3035"/>
      <c r="H7" s="1992"/>
      <c r="I7" s="1992"/>
      <c r="J7" s="1992"/>
      <c r="K7" s="1992"/>
      <c r="L7" s="1992"/>
      <c r="M7" s="1992"/>
      <c r="N7" s="1992"/>
      <c r="O7" s="1992"/>
      <c r="P7" s="1992"/>
      <c r="Q7" s="1992"/>
      <c r="R7" s="1992"/>
    </row>
    <row r="8" spans="1:18" ht="27">
      <c r="A8" s="1224"/>
      <c r="B8" s="1226" t="s">
        <v>2502</v>
      </c>
      <c r="C8" s="3186" t="s">
        <v>3031</v>
      </c>
      <c r="D8" s="1994"/>
      <c r="E8" s="1994"/>
      <c r="F8" s="1539"/>
      <c r="G8" s="1539"/>
      <c r="H8" s="1992"/>
      <c r="I8" s="1992"/>
      <c r="J8" s="1992"/>
      <c r="K8" s="1992"/>
      <c r="L8" s="1992"/>
      <c r="M8" s="1992"/>
      <c r="N8" s="1992"/>
      <c r="O8" s="1992"/>
      <c r="P8" s="1992"/>
      <c r="Q8" s="1992"/>
      <c r="R8" s="1992"/>
    </row>
    <row r="9" spans="1:18" ht="40.5">
      <c r="A9" s="1224"/>
      <c r="B9" s="1226" t="s">
        <v>1618</v>
      </c>
      <c r="C9" s="3185" t="s">
        <v>3033</v>
      </c>
      <c r="D9" s="1993"/>
      <c r="E9" s="1994"/>
      <c r="F9" s="1539"/>
      <c r="G9" s="1539"/>
      <c r="H9" s="1992"/>
      <c r="I9" s="1992"/>
      <c r="J9" s="1992"/>
      <c r="K9" s="1992"/>
      <c r="L9" s="1992"/>
      <c r="M9" s="1992"/>
      <c r="N9" s="1992"/>
      <c r="O9" s="1992"/>
      <c r="P9" s="1992"/>
      <c r="Q9" s="1992"/>
      <c r="R9" s="1992"/>
    </row>
    <row r="10" spans="1:18" s="2000" customFormat="1" ht="14.25" thickBot="1">
      <c r="A10" s="1231"/>
      <c r="B10" s="1232" t="s">
        <v>1633</v>
      </c>
      <c r="C10" s="3187" t="s">
        <v>3032</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1634</v>
      </c>
      <c r="B13" s="2541"/>
      <c r="C13" s="2541"/>
      <c r="D13" s="1219"/>
      <c r="E13" s="2541"/>
      <c r="F13" s="2541"/>
      <c r="G13" s="2541"/>
    </row>
    <row r="14" spans="1:18" ht="14.25" thickBot="1">
      <c r="A14" s="1233"/>
      <c r="B14" s="1234"/>
      <c r="C14" s="1235" t="s">
        <v>1626</v>
      </c>
      <c r="D14" s="1993"/>
      <c r="E14" s="1236"/>
      <c r="F14" s="1236"/>
      <c r="G14" s="1218" t="s">
        <v>1627</v>
      </c>
    </row>
    <row r="15" spans="1:18" ht="67.5">
      <c r="A15" s="2551" t="s">
        <v>1619</v>
      </c>
      <c r="B15" s="1237" t="s">
        <v>1615</v>
      </c>
      <c r="C15" s="1238" t="str">
        <f>C3</f>
        <v>估价对象位于南大港产业园，周边居住用地比例一般、居住小区规模和社区发展完善程度一般，综合评价居住社区成熟度一般</v>
      </c>
      <c r="D15" s="1993"/>
      <c r="E15" s="2548" t="s">
        <v>1620</v>
      </c>
      <c r="F15" s="1237" t="s">
        <v>1635</v>
      </c>
      <c r="G15" s="1239">
        <f>G3</f>
        <v>0</v>
      </c>
    </row>
    <row r="16" spans="1:18" ht="54">
      <c r="A16" s="2552"/>
      <c r="B16" s="1240" t="s">
        <v>1629</v>
      </c>
      <c r="C16" s="1241" t="str">
        <f>C4</f>
        <v>估价对象位于南大港产业园，周边商业氛围成熟度一般，人流量大一般，商业繁华度一般</v>
      </c>
      <c r="D16" s="1993"/>
      <c r="E16" s="2549"/>
      <c r="F16" s="1242" t="s">
        <v>1630</v>
      </c>
      <c r="G16" s="1004">
        <f>G4</f>
        <v>0</v>
      </c>
    </row>
    <row r="17" spans="1:7" ht="14.25">
      <c r="A17" s="2552"/>
      <c r="B17" s="1240" t="s">
        <v>1631</v>
      </c>
      <c r="C17" s="1241" t="str">
        <f>C5</f>
        <v>——</v>
      </c>
      <c r="D17" s="1994"/>
      <c r="E17" s="2549"/>
      <c r="F17" s="1242" t="s">
        <v>1636</v>
      </c>
      <c r="G17" s="2749"/>
    </row>
    <row r="18" spans="1:7" ht="54">
      <c r="A18" s="2552"/>
      <c r="B18" s="1242" t="s">
        <v>1617</v>
      </c>
      <c r="C18" s="1004" t="str">
        <f>C6</f>
        <v>估价对象周边道路状况一般、公共交通通达情况一般、停车便捷程度较好，综合评价交通便捷度一般</v>
      </c>
      <c r="D18" s="1994"/>
      <c r="E18" s="2549"/>
      <c r="F18" s="1242" t="s">
        <v>1632</v>
      </c>
      <c r="G18" s="1004">
        <f>G7</f>
        <v>0</v>
      </c>
    </row>
    <row r="19" spans="1:7">
      <c r="A19" s="2552"/>
      <c r="B19" s="1242" t="s">
        <v>1621</v>
      </c>
      <c r="C19" s="3183" t="s">
        <v>2989</v>
      </c>
      <c r="D19" s="1993"/>
      <c r="E19" s="2549"/>
      <c r="F19" s="1226" t="s">
        <v>2501</v>
      </c>
      <c r="G19" s="1004">
        <f>G5</f>
        <v>0</v>
      </c>
    </row>
    <row r="20" spans="1:7" ht="40.5">
      <c r="A20" s="2552"/>
      <c r="B20" s="1242" t="s">
        <v>1622</v>
      </c>
      <c r="C20" s="1241" t="str">
        <f>C9</f>
        <v>区域自然环境：好；人文环境：一般；综合评价环境状况好</v>
      </c>
      <c r="D20" s="1994"/>
      <c r="E20" s="2549"/>
      <c r="F20" s="1226" t="s">
        <v>2502</v>
      </c>
      <c r="G20" s="1004">
        <f>G6</f>
        <v>0</v>
      </c>
    </row>
    <row r="21" spans="1:7" ht="27">
      <c r="A21" s="2552"/>
      <c r="B21" s="1226" t="s">
        <v>2501</v>
      </c>
      <c r="C21" s="1004" t="str">
        <f>C7</f>
        <v>估价对象所在区域公共配套设施齐备情况一般</v>
      </c>
      <c r="D21" s="1993"/>
      <c r="E21" s="2549"/>
      <c r="F21" s="1242" t="s">
        <v>1623</v>
      </c>
      <c r="G21" s="3036"/>
    </row>
    <row r="22" spans="1:7" ht="27">
      <c r="A22" s="2552"/>
      <c r="B22" s="1226" t="s">
        <v>2502</v>
      </c>
      <c r="C22" s="1004" t="str">
        <f>C8</f>
        <v>估价对象所在区域基础设施水平一般</v>
      </c>
      <c r="D22" s="1993"/>
      <c r="E22" s="2549"/>
      <c r="F22" s="1242" t="s">
        <v>1633</v>
      </c>
      <c r="G22" s="2749"/>
    </row>
    <row r="23" spans="1:7" ht="15" thickBot="1">
      <c r="A23" s="2552"/>
      <c r="B23" s="1242" t="s">
        <v>1623</v>
      </c>
      <c r="C23" s="3036" t="s">
        <v>2987</v>
      </c>
      <c r="E23" s="2550"/>
      <c r="F23" s="1243" t="s">
        <v>1637</v>
      </c>
      <c r="G23" s="3037"/>
    </row>
    <row r="24" spans="1:7" ht="14.25" thickBot="1">
      <c r="A24" s="2553"/>
      <c r="B24" s="1243" t="s">
        <v>1624</v>
      </c>
      <c r="C24" s="1244" t="str">
        <f>C10</f>
        <v>城市支路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6" sqref="I16"/>
    </sheetView>
  </sheetViews>
  <sheetFormatPr defaultColWidth="14.625" defaultRowHeight="13.5"/>
  <cols>
    <col min="1" max="1" width="24.375" customWidth="1"/>
  </cols>
  <sheetData>
    <row r="1" spans="1:9" ht="16.5">
      <c r="A1" s="2996" t="s">
        <v>2799</v>
      </c>
      <c r="B1" s="2996">
        <f>SUM(B14:B23)</f>
        <v>55458.58</v>
      </c>
      <c r="C1" s="2997"/>
      <c r="D1" s="2997"/>
      <c r="E1" s="2997"/>
      <c r="F1" s="2997"/>
    </row>
    <row r="2" spans="1:9" ht="16.5">
      <c r="A2" s="2996" t="s">
        <v>2800</v>
      </c>
      <c r="B2" s="2996">
        <f>SUM(C14:C23)</f>
        <v>27729.29</v>
      </c>
      <c r="C2" s="2997"/>
      <c r="D2" s="2997"/>
      <c r="E2" s="2997"/>
      <c r="F2" s="2997"/>
    </row>
    <row r="3" spans="1:9" ht="16.5">
      <c r="A3" s="2996" t="s">
        <v>2801</v>
      </c>
      <c r="B3" s="2998">
        <f>项目基本情况!D3</f>
        <v>43724</v>
      </c>
      <c r="C3" s="2997"/>
      <c r="D3" s="2997"/>
      <c r="E3" s="2997"/>
      <c r="F3" s="2997"/>
    </row>
    <row r="4" spans="1:9" ht="33">
      <c r="A4" s="2996" t="s">
        <v>2802</v>
      </c>
      <c r="B4" s="2996" t="s">
        <v>2803</v>
      </c>
      <c r="C4" s="2996" t="s">
        <v>2804</v>
      </c>
      <c r="D4" s="2996" t="s">
        <v>2805</v>
      </c>
      <c r="E4" s="2997"/>
      <c r="F4" s="2997"/>
    </row>
    <row r="5" spans="1:9" ht="16.5">
      <c r="A5" s="2996" t="s">
        <v>2806</v>
      </c>
      <c r="B5" s="2996">
        <f ca="1">SUM(D14:D23)</f>
        <v>47689</v>
      </c>
      <c r="C5" s="2996">
        <f ca="1">ROUND(B5*10000/$B$1,0)</f>
        <v>8599</v>
      </c>
      <c r="D5" s="2996">
        <f ca="1">ROUND(B5*10000/$B$2,0)</f>
        <v>17198</v>
      </c>
      <c r="E5" s="2997"/>
      <c r="F5" s="2997"/>
    </row>
    <row r="6" spans="1:9" ht="16.5">
      <c r="A6" s="2996" t="s">
        <v>2807</v>
      </c>
      <c r="B6" s="2996">
        <f ca="1">SUM(G14:G23)</f>
        <v>47689</v>
      </c>
      <c r="C6" s="2996">
        <f t="shared" ref="C6:C8" ca="1" si="0">ROUND(B6*10000/$B$1,0)</f>
        <v>8599</v>
      </c>
      <c r="D6" s="2996">
        <f t="shared" ref="D6:D8" ca="1" si="1">ROUND(B6*10000/$B$2,0)</f>
        <v>17198</v>
      </c>
      <c r="E6" s="2997"/>
      <c r="F6" s="2997"/>
    </row>
    <row r="7" spans="1:9" ht="16.5">
      <c r="A7" s="2996" t="s">
        <v>2808</v>
      </c>
      <c r="B7" s="2996">
        <f>SUM(H14:H23)</f>
        <v>0</v>
      </c>
      <c r="C7" s="2996">
        <f t="shared" si="0"/>
        <v>0</v>
      </c>
      <c r="D7" s="2996">
        <f t="shared" si="1"/>
        <v>0</v>
      </c>
      <c r="E7" s="2997"/>
      <c r="F7" s="2997"/>
    </row>
    <row r="8" spans="1:9" ht="16.5">
      <c r="A8" s="2996" t="s">
        <v>2809</v>
      </c>
      <c r="B8" s="2996">
        <f ca="1">SUM(I14:I23)</f>
        <v>44420</v>
      </c>
      <c r="C8" s="2996">
        <f t="shared" ca="1" si="0"/>
        <v>8010</v>
      </c>
      <c r="D8" s="2996">
        <f t="shared" ca="1" si="1"/>
        <v>16019</v>
      </c>
      <c r="E8" s="2997"/>
      <c r="F8" s="2997"/>
    </row>
    <row r="9" spans="1:9" ht="16.5">
      <c r="A9" s="2996" t="s">
        <v>2810</v>
      </c>
      <c r="B9" s="2999"/>
      <c r="C9" s="2997"/>
      <c r="D9" s="2997"/>
      <c r="E9" s="2997"/>
      <c r="F9" s="2997"/>
    </row>
    <row r="10" spans="1:9" ht="16.5">
      <c r="A10" s="2996" t="s">
        <v>2811</v>
      </c>
      <c r="B10" s="2999"/>
      <c r="C10" s="2997"/>
      <c r="D10" s="2997"/>
      <c r="E10" s="2997"/>
      <c r="F10" s="2997"/>
    </row>
    <row r="11" spans="1:9" ht="16.5">
      <c r="A11" s="2996" t="s">
        <v>2828</v>
      </c>
      <c r="B11" s="2999"/>
      <c r="C11" s="2997"/>
      <c r="D11" s="2997"/>
      <c r="E11" s="2997"/>
      <c r="F11" s="2997"/>
    </row>
    <row r="12" spans="1:9" ht="16.5">
      <c r="A12" s="2997"/>
      <c r="B12" s="2997"/>
      <c r="C12" s="2997"/>
      <c r="D12" s="2997"/>
      <c r="E12" s="2997"/>
      <c r="F12" s="2997"/>
    </row>
    <row r="13" spans="1:9" ht="33">
      <c r="A13" s="3002" t="s">
        <v>2827</v>
      </c>
      <c r="B13" s="3000" t="s">
        <v>2799</v>
      </c>
      <c r="C13" s="3000" t="s">
        <v>2800</v>
      </c>
      <c r="D13" s="3000" t="s">
        <v>2812</v>
      </c>
      <c r="E13" s="2996" t="s">
        <v>2826</v>
      </c>
      <c r="F13" s="2996" t="s">
        <v>2805</v>
      </c>
      <c r="G13" s="3000" t="s">
        <v>2813</v>
      </c>
      <c r="H13" s="3000" t="s">
        <v>2814</v>
      </c>
      <c r="I13" s="3000" t="s">
        <v>2815</v>
      </c>
    </row>
    <row r="14" spans="1:9" ht="16.5">
      <c r="A14" s="3003" t="s">
        <v>2825</v>
      </c>
      <c r="B14" s="3000">
        <f>结果表!L38</f>
        <v>55458.58</v>
      </c>
      <c r="C14" s="3000">
        <f>结果表!K38</f>
        <v>27729.29</v>
      </c>
      <c r="D14" s="3000">
        <f ca="1">结果表!C42</f>
        <v>2369</v>
      </c>
      <c r="E14" s="3000">
        <f ca="1">ROUND(D14*10000/B14,0)</f>
        <v>427</v>
      </c>
      <c r="F14" s="3000">
        <f ca="1">ROUND(D14*10000/C14,0)</f>
        <v>854</v>
      </c>
      <c r="G14" s="3000">
        <f ca="1">结果表!C44</f>
        <v>2369</v>
      </c>
      <c r="H14" s="3000" t="str">
        <f>结果表!C45</f>
        <v>——</v>
      </c>
      <c r="I14" s="3000">
        <f ca="1">结果表!C46</f>
        <v>2242</v>
      </c>
    </row>
    <row r="15" spans="1:9" ht="16.5">
      <c r="A15" s="3003" t="s">
        <v>2816</v>
      </c>
      <c r="B15" s="3004"/>
      <c r="C15" s="3004"/>
      <c r="D15" s="3004">
        <f ca="1">最终结果!H17-最终结果!H4</f>
        <v>45320</v>
      </c>
      <c r="E15" s="3000" t="e">
        <f t="shared" ref="E15:E23" ca="1" si="2">ROUND(D15*10000/B15,0)</f>
        <v>#DIV/0!</v>
      </c>
      <c r="F15" s="3000" t="e">
        <f t="shared" ref="F15:F23" ca="1" si="3">ROUND(D15*10000/C15,0)</f>
        <v>#DIV/0!</v>
      </c>
      <c r="G15" s="3001">
        <f ca="1">D15</f>
        <v>45320</v>
      </c>
      <c r="H15" s="3001"/>
      <c r="I15" s="3004">
        <f ca="1">最终结果!J17-最终结果!J4</f>
        <v>42178</v>
      </c>
    </row>
    <row r="16" spans="1:9" ht="16.5">
      <c r="A16" s="3003" t="s">
        <v>2817</v>
      </c>
      <c r="B16" s="3004"/>
      <c r="C16" s="3004"/>
      <c r="D16" s="3004"/>
      <c r="E16" s="3000" t="e">
        <f t="shared" si="2"/>
        <v>#DIV/0!</v>
      </c>
      <c r="F16" s="3000" t="e">
        <f t="shared" si="3"/>
        <v>#DIV/0!</v>
      </c>
      <c r="G16" s="3001"/>
      <c r="H16" s="3001"/>
      <c r="I16" s="3004"/>
    </row>
    <row r="17" spans="1:9" ht="16.5">
      <c r="A17" s="3003" t="s">
        <v>2818</v>
      </c>
      <c r="B17" s="3004"/>
      <c r="C17" s="3004"/>
      <c r="D17" s="3004"/>
      <c r="E17" s="3000" t="e">
        <f t="shared" si="2"/>
        <v>#DIV/0!</v>
      </c>
      <c r="F17" s="3000" t="e">
        <f t="shared" si="3"/>
        <v>#DIV/0!</v>
      </c>
      <c r="G17" s="3001"/>
      <c r="H17" s="3001"/>
      <c r="I17" s="3004"/>
    </row>
    <row r="18" spans="1:9" ht="16.5">
      <c r="A18" s="3003" t="s">
        <v>2819</v>
      </c>
      <c r="B18" s="3004"/>
      <c r="C18" s="3004"/>
      <c r="D18" s="3004"/>
      <c r="E18" s="3000" t="e">
        <f t="shared" si="2"/>
        <v>#DIV/0!</v>
      </c>
      <c r="F18" s="3000" t="e">
        <f t="shared" si="3"/>
        <v>#DIV/0!</v>
      </c>
      <c r="G18" s="3004"/>
      <c r="H18" s="3004"/>
      <c r="I18" s="3004"/>
    </row>
    <row r="19" spans="1:9" ht="16.5">
      <c r="A19" s="3003" t="s">
        <v>2820</v>
      </c>
      <c r="B19" s="3004"/>
      <c r="C19" s="3004"/>
      <c r="D19" s="3004"/>
      <c r="E19" s="3000" t="e">
        <f t="shared" si="2"/>
        <v>#DIV/0!</v>
      </c>
      <c r="F19" s="3000" t="e">
        <f t="shared" si="3"/>
        <v>#DIV/0!</v>
      </c>
      <c r="G19" s="3004"/>
      <c r="H19" s="3004"/>
      <c r="I19" s="3004"/>
    </row>
    <row r="20" spans="1:9" ht="16.5">
      <c r="A20" s="3003" t="s">
        <v>2821</v>
      </c>
      <c r="B20" s="3004"/>
      <c r="C20" s="3004"/>
      <c r="D20" s="3004"/>
      <c r="E20" s="3000" t="e">
        <f t="shared" si="2"/>
        <v>#DIV/0!</v>
      </c>
      <c r="F20" s="3000" t="e">
        <f t="shared" si="3"/>
        <v>#DIV/0!</v>
      </c>
      <c r="G20" s="3004"/>
      <c r="H20" s="3004"/>
      <c r="I20" s="3004"/>
    </row>
    <row r="21" spans="1:9" ht="16.5">
      <c r="A21" s="3003" t="s">
        <v>2822</v>
      </c>
      <c r="B21" s="3004"/>
      <c r="C21" s="3004"/>
      <c r="D21" s="3004"/>
      <c r="E21" s="3000" t="e">
        <f t="shared" si="2"/>
        <v>#DIV/0!</v>
      </c>
      <c r="F21" s="3000" t="e">
        <f t="shared" si="3"/>
        <v>#DIV/0!</v>
      </c>
      <c r="G21" s="3004"/>
      <c r="H21" s="3004"/>
      <c r="I21" s="3004"/>
    </row>
    <row r="22" spans="1:9" ht="16.5">
      <c r="A22" s="3003" t="s">
        <v>2823</v>
      </c>
      <c r="B22" s="3004"/>
      <c r="C22" s="3004"/>
      <c r="D22" s="3004"/>
      <c r="E22" s="3000" t="e">
        <f t="shared" si="2"/>
        <v>#DIV/0!</v>
      </c>
      <c r="F22" s="3000" t="e">
        <f t="shared" si="3"/>
        <v>#DIV/0!</v>
      </c>
      <c r="G22" s="3004"/>
      <c r="H22" s="3004"/>
      <c r="I22" s="3004"/>
    </row>
    <row r="23" spans="1:9" ht="16.5">
      <c r="A23" s="3003" t="s">
        <v>2824</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61" zoomScaleNormal="100" zoomScaleSheetLayoutView="100" zoomScalePageLayoutView="80" workbookViewId="0">
      <selection activeCell="C103" sqref="C103:C11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2012</v>
      </c>
      <c r="B1" s="1761"/>
      <c r="C1" s="1789" t="s">
        <v>2013</v>
      </c>
      <c r="D1" s="1790" t="s">
        <v>3006</v>
      </c>
      <c r="E1" s="1789" t="s">
        <v>2014</v>
      </c>
      <c r="F1" s="1791" t="s">
        <v>3007</v>
      </c>
      <c r="G1" s="310"/>
      <c r="H1" s="310"/>
      <c r="I1" s="310"/>
      <c r="J1" s="2013"/>
      <c r="K1" s="2013"/>
      <c r="L1" s="2013"/>
      <c r="M1" s="2013"/>
      <c r="N1" s="2013"/>
      <c r="O1" s="2013"/>
      <c r="P1" s="2013"/>
      <c r="Q1" s="2013"/>
      <c r="R1" s="2013"/>
      <c r="S1" s="2013"/>
      <c r="T1" s="2013"/>
      <c r="U1" s="2013"/>
      <c r="V1" s="2013"/>
    </row>
    <row r="2" spans="1:22" ht="21.75" customHeight="1" thickBot="1">
      <c r="A2" s="3347" t="str">
        <f>项目基本情况!K2</f>
        <v>沧州市黄骅市南大港产业园区出让国有建设用地使用权</v>
      </c>
      <c r="B2" s="3348"/>
      <c r="C2" s="3349"/>
      <c r="D2" s="3349"/>
      <c r="E2" s="3349"/>
      <c r="F2" s="3349"/>
      <c r="G2" s="3348"/>
      <c r="H2" s="3348"/>
      <c r="I2" s="3350"/>
      <c r="J2" s="2014"/>
      <c r="K2" s="2013"/>
      <c r="L2" s="2013"/>
      <c r="M2" s="2013"/>
      <c r="N2" s="2013"/>
      <c r="O2" s="2013"/>
      <c r="P2" s="2013"/>
      <c r="Q2" s="2013"/>
      <c r="R2" s="2013"/>
      <c r="S2" s="2013"/>
      <c r="T2" s="2013"/>
      <c r="U2" s="2013"/>
      <c r="V2" s="2013"/>
    </row>
    <row r="3" spans="1:22" ht="14.25">
      <c r="A3" s="3340" t="s">
        <v>263</v>
      </c>
      <c r="B3" s="3341"/>
      <c r="C3" s="3341"/>
      <c r="D3" s="3341"/>
      <c r="E3" s="3341"/>
      <c r="F3" s="3341"/>
      <c r="G3" s="3341"/>
      <c r="H3" s="3341"/>
      <c r="I3" s="3341"/>
      <c r="J3" s="2014"/>
      <c r="K3" s="2013"/>
      <c r="L3" s="2013"/>
      <c r="M3" s="2013"/>
      <c r="N3" s="2013"/>
      <c r="O3" s="2013"/>
      <c r="P3" s="2013"/>
      <c r="Q3" s="2013"/>
      <c r="R3" s="2013"/>
      <c r="S3" s="2013"/>
      <c r="T3" s="2013"/>
      <c r="U3" s="2013"/>
      <c r="V3" s="2013"/>
    </row>
    <row r="4" spans="1:22" ht="14.25">
      <c r="A4" s="257" t="s">
        <v>264</v>
      </c>
      <c r="B4" s="258" t="s">
        <v>265</v>
      </c>
      <c r="C4" s="259" t="s">
        <v>3008</v>
      </c>
      <c r="D4" s="259" t="s">
        <v>3009</v>
      </c>
      <c r="E4" s="3312" t="s">
        <v>266</v>
      </c>
      <c r="F4" s="3313"/>
      <c r="G4" s="3313"/>
      <c r="H4" s="3313"/>
      <c r="I4" s="3342"/>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11" t="s">
        <v>267</v>
      </c>
      <c r="B5" s="3337">
        <v>25</v>
      </c>
      <c r="C5" s="3335"/>
      <c r="D5" s="3339"/>
      <c r="E5" s="260" t="s">
        <v>268</v>
      </c>
      <c r="F5" s="261"/>
      <c r="G5" s="261"/>
      <c r="H5" s="261"/>
      <c r="I5" s="262"/>
      <c r="J5" s="2014"/>
      <c r="K5" s="2013"/>
      <c r="L5" s="2013"/>
      <c r="M5" s="2013"/>
      <c r="N5" s="2013"/>
      <c r="O5" s="2013"/>
      <c r="P5" s="2013"/>
      <c r="Q5" s="2013"/>
      <c r="R5" s="2013"/>
      <c r="S5" s="2013"/>
      <c r="T5" s="2013"/>
      <c r="U5" s="2013"/>
      <c r="V5" s="2013"/>
    </row>
    <row r="6" spans="1:22" ht="14.25">
      <c r="A6" s="3311"/>
      <c r="B6" s="3337"/>
      <c r="C6" s="3338"/>
      <c r="D6" s="3339"/>
      <c r="E6" s="260" t="s">
        <v>269</v>
      </c>
      <c r="F6" s="261"/>
      <c r="G6" s="261"/>
      <c r="H6" s="261"/>
      <c r="I6" s="262"/>
      <c r="J6" s="2014"/>
      <c r="K6" s="2013"/>
      <c r="L6" s="2013"/>
      <c r="M6" s="2013"/>
      <c r="N6" s="2013"/>
      <c r="O6" s="2013"/>
      <c r="P6" s="2013"/>
      <c r="Q6" s="2013"/>
      <c r="R6" s="2013"/>
      <c r="S6" s="2013"/>
      <c r="T6" s="2013"/>
      <c r="U6" s="2013"/>
      <c r="V6" s="2013"/>
    </row>
    <row r="7" spans="1:22" ht="14.25">
      <c r="A7" s="3311"/>
      <c r="B7" s="3337"/>
      <c r="C7" s="3336"/>
      <c r="D7" s="3339"/>
      <c r="E7" s="260" t="s">
        <v>270</v>
      </c>
      <c r="F7" s="261"/>
      <c r="G7" s="261"/>
      <c r="H7" s="261"/>
      <c r="I7" s="262"/>
      <c r="J7" s="2014"/>
      <c r="K7" s="2013"/>
      <c r="L7" s="2013"/>
      <c r="M7" s="2013"/>
      <c r="N7" s="2013"/>
      <c r="O7" s="2013"/>
      <c r="P7" s="2013"/>
      <c r="Q7" s="2013"/>
      <c r="R7" s="2013"/>
      <c r="S7" s="2013"/>
      <c r="T7" s="2013"/>
      <c r="U7" s="2013"/>
      <c r="V7" s="2013"/>
    </row>
    <row r="8" spans="1:22" ht="14.25">
      <c r="A8" s="3311" t="s">
        <v>271</v>
      </c>
      <c r="B8" s="3337">
        <v>15</v>
      </c>
      <c r="C8" s="3335"/>
      <c r="D8" s="3339"/>
      <c r="E8" s="260" t="s">
        <v>272</v>
      </c>
      <c r="F8" s="261"/>
      <c r="G8" s="261"/>
      <c r="H8" s="261"/>
      <c r="I8" s="262"/>
      <c r="J8" s="2014"/>
      <c r="K8" s="2013"/>
      <c r="L8" s="2013"/>
      <c r="M8" s="2013"/>
      <c r="N8" s="2013"/>
      <c r="O8" s="2013"/>
      <c r="P8" s="2013"/>
      <c r="Q8" s="2013"/>
      <c r="R8" s="2013"/>
      <c r="S8" s="2013"/>
      <c r="T8" s="2013"/>
      <c r="U8" s="2013"/>
      <c r="V8" s="2013"/>
    </row>
    <row r="9" spans="1:22" ht="14.25">
      <c r="A9" s="3311"/>
      <c r="B9" s="3337"/>
      <c r="C9" s="3336"/>
      <c r="D9" s="3339"/>
      <c r="E9" s="260" t="s">
        <v>273</v>
      </c>
      <c r="F9" s="261"/>
      <c r="G9" s="261"/>
      <c r="H9" s="261"/>
      <c r="I9" s="262"/>
      <c r="J9" s="2014"/>
      <c r="K9" s="2013"/>
      <c r="L9" s="2013"/>
      <c r="M9" s="2013"/>
      <c r="N9" s="2013"/>
      <c r="O9" s="2013"/>
      <c r="P9" s="2013"/>
      <c r="Q9" s="2013"/>
      <c r="R9" s="2013"/>
      <c r="S9" s="2013"/>
      <c r="T9" s="2013"/>
      <c r="U9" s="2013"/>
      <c r="V9" s="2013"/>
    </row>
    <row r="10" spans="1:22" ht="14.25">
      <c r="A10" s="3311" t="s">
        <v>274</v>
      </c>
      <c r="B10" s="3337">
        <v>15</v>
      </c>
      <c r="C10" s="3335"/>
      <c r="D10" s="3339"/>
      <c r="E10" s="260" t="s">
        <v>275</v>
      </c>
      <c r="F10" s="261"/>
      <c r="G10" s="261"/>
      <c r="H10" s="261"/>
      <c r="I10" s="262"/>
      <c r="J10" s="2014"/>
      <c r="K10" s="2013"/>
      <c r="L10" s="2013"/>
      <c r="M10" s="2013"/>
      <c r="N10" s="2013"/>
      <c r="O10" s="2013"/>
      <c r="P10" s="2013"/>
      <c r="Q10" s="2013"/>
      <c r="R10" s="2013"/>
      <c r="S10" s="2013"/>
      <c r="T10" s="2013"/>
      <c r="U10" s="2013"/>
      <c r="V10" s="2013"/>
    </row>
    <row r="11" spans="1:22" ht="14.25">
      <c r="A11" s="3311"/>
      <c r="B11" s="3337"/>
      <c r="C11" s="3336"/>
      <c r="D11" s="3339"/>
      <c r="E11" s="260" t="s">
        <v>276</v>
      </c>
      <c r="F11" s="261"/>
      <c r="G11" s="261"/>
      <c r="H11" s="261"/>
      <c r="I11" s="262"/>
      <c r="J11" s="2014"/>
      <c r="K11" s="2013"/>
      <c r="L11" s="2013"/>
      <c r="M11" s="2013"/>
      <c r="N11" s="2013"/>
      <c r="O11" s="2013"/>
      <c r="P11" s="2013"/>
      <c r="Q11" s="2013"/>
      <c r="R11" s="2013"/>
      <c r="S11" s="2013"/>
      <c r="T11" s="2013"/>
      <c r="U11" s="2013"/>
      <c r="V11" s="2013"/>
    </row>
    <row r="12" spans="1:22" ht="14.25">
      <c r="A12" s="3311" t="s">
        <v>277</v>
      </c>
      <c r="B12" s="3337">
        <v>15</v>
      </c>
      <c r="C12" s="3335"/>
      <c r="D12" s="3339"/>
      <c r="E12" s="260" t="s">
        <v>278</v>
      </c>
      <c r="F12" s="261"/>
      <c r="G12" s="261"/>
      <c r="H12" s="261"/>
      <c r="I12" s="262"/>
      <c r="J12" s="2014"/>
      <c r="K12" s="2013"/>
      <c r="L12" s="2013"/>
      <c r="M12" s="2013"/>
      <c r="N12" s="2013"/>
      <c r="O12" s="2013"/>
      <c r="P12" s="2013"/>
      <c r="Q12" s="2013"/>
      <c r="R12" s="2013"/>
      <c r="S12" s="2013"/>
      <c r="T12" s="2013"/>
      <c r="U12" s="2013"/>
      <c r="V12" s="2013"/>
    </row>
    <row r="13" spans="1:22" ht="14.25">
      <c r="A13" s="3311"/>
      <c r="B13" s="3337"/>
      <c r="C13" s="3336"/>
      <c r="D13" s="3339"/>
      <c r="E13" s="260" t="s">
        <v>279</v>
      </c>
      <c r="F13" s="261"/>
      <c r="G13" s="261"/>
      <c r="H13" s="261"/>
      <c r="I13" s="262"/>
      <c r="J13" s="2014"/>
      <c r="K13" s="2013"/>
      <c r="L13" s="2013"/>
      <c r="M13" s="2013"/>
      <c r="N13" s="2013"/>
      <c r="O13" s="2013"/>
      <c r="P13" s="2013"/>
      <c r="Q13" s="2013"/>
      <c r="R13" s="2013"/>
      <c r="S13" s="2013"/>
      <c r="T13" s="2013"/>
      <c r="U13" s="2013"/>
      <c r="V13" s="2013"/>
    </row>
    <row r="14" spans="1:22" ht="14.25">
      <c r="A14" s="3311" t="s">
        <v>280</v>
      </c>
      <c r="B14" s="3337">
        <v>30</v>
      </c>
      <c r="C14" s="3335">
        <v>5</v>
      </c>
      <c r="D14" s="3339">
        <v>5</v>
      </c>
      <c r="E14" s="260" t="s">
        <v>281</v>
      </c>
      <c r="F14" s="261"/>
      <c r="G14" s="261"/>
      <c r="H14" s="261"/>
      <c r="I14" s="262"/>
      <c r="J14" s="2014"/>
      <c r="K14" s="2013"/>
      <c r="L14" s="2013"/>
      <c r="M14" s="2013"/>
      <c r="N14" s="2013"/>
      <c r="O14" s="2013"/>
      <c r="P14" s="2013"/>
      <c r="Q14" s="2013"/>
      <c r="R14" s="2013"/>
      <c r="S14" s="2013"/>
      <c r="T14" s="2013"/>
      <c r="U14" s="2013"/>
      <c r="V14" s="2013"/>
    </row>
    <row r="15" spans="1:22" ht="14.25">
      <c r="A15" s="3311"/>
      <c r="B15" s="3337"/>
      <c r="C15" s="3338"/>
      <c r="D15" s="3339"/>
      <c r="E15" s="260" t="s">
        <v>282</v>
      </c>
      <c r="F15" s="261"/>
      <c r="G15" s="261"/>
      <c r="H15" s="261"/>
      <c r="I15" s="262"/>
      <c r="J15" s="2014"/>
      <c r="K15" s="2013"/>
      <c r="L15" s="2013"/>
      <c r="M15" s="2013"/>
      <c r="N15" s="2013"/>
      <c r="O15" s="2013"/>
      <c r="P15" s="2013"/>
      <c r="Q15" s="2013"/>
      <c r="R15" s="2013"/>
      <c r="S15" s="2013"/>
      <c r="T15" s="2013"/>
      <c r="U15" s="2013"/>
      <c r="V15" s="2013"/>
    </row>
    <row r="16" spans="1:22" ht="14.25">
      <c r="A16" s="3311"/>
      <c r="B16" s="3337"/>
      <c r="C16" s="3336"/>
      <c r="D16" s="3339"/>
      <c r="E16" s="260" t="s">
        <v>283</v>
      </c>
      <c r="F16" s="261"/>
      <c r="G16" s="261"/>
      <c r="H16" s="261"/>
      <c r="I16" s="262"/>
      <c r="J16" s="2014"/>
      <c r="K16" s="2013"/>
      <c r="L16" s="2013"/>
      <c r="M16" s="2013"/>
      <c r="N16" s="2013"/>
      <c r="O16" s="2013"/>
      <c r="P16" s="2013"/>
      <c r="Q16" s="2013"/>
      <c r="R16" s="2013"/>
      <c r="S16" s="2013"/>
      <c r="T16" s="2013"/>
      <c r="U16" s="2013"/>
      <c r="V16" s="2013"/>
    </row>
    <row r="17" spans="1:26" ht="15">
      <c r="A17" s="263" t="s">
        <v>284</v>
      </c>
      <c r="B17" s="143"/>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285</v>
      </c>
      <c r="B18" s="104"/>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286</v>
      </c>
      <c r="B19" s="268" t="s">
        <v>287</v>
      </c>
      <c r="C19" s="269">
        <f ca="1">SUMIF(INDIRECT("'"&amp;C4&amp;"'"&amp;"!A:A"),结果表!B19,INDIRECT("'"&amp;C4&amp;"'"&amp;"!B:B"))</f>
        <v>3206</v>
      </c>
      <c r="D19" s="270">
        <f ca="1">SUMIF(INDIRECT("'"&amp;D4&amp;"'"&amp;"!A:A"),结果表!B19,INDIRECT("'"&amp;D4&amp;"'"&amp;"!B:B"))</f>
        <v>3195</v>
      </c>
      <c r="E19" s="267" t="s">
        <v>288</v>
      </c>
      <c r="F19" s="268" t="s">
        <v>287</v>
      </c>
      <c r="G19" s="271">
        <f ca="1">ROUND(C19*$C$18+D19*$D$18,0)</f>
        <v>3201</v>
      </c>
      <c r="H19" s="272" t="s">
        <v>289</v>
      </c>
      <c r="I19" s="310"/>
      <c r="J19" s="2013"/>
      <c r="K19" s="3195"/>
      <c r="L19" s="2013"/>
      <c r="M19" s="2013"/>
      <c r="N19" s="2013"/>
      <c r="O19" s="2013"/>
      <c r="P19" s="2013"/>
      <c r="Q19" s="2013"/>
      <c r="R19" s="2013"/>
      <c r="S19" s="2013"/>
      <c r="T19" s="2013"/>
      <c r="U19" s="2013"/>
      <c r="V19" s="2013"/>
    </row>
    <row r="20" spans="1:26" ht="15">
      <c r="A20" s="273"/>
      <c r="B20" s="274" t="s">
        <v>290</v>
      </c>
      <c r="C20" s="275">
        <f ca="1">SUMIF(INDIRECT("'"&amp;C4&amp;"'"&amp;"!A:A"),结果表!B20,INDIRECT("'"&amp;C4&amp;"'"&amp;"!B:B"))</f>
        <v>578</v>
      </c>
      <c r="D20" s="276">
        <f ca="1">SUMIF(INDIRECT("'"&amp;D4&amp;"'"&amp;"!A:A"),结果表!B20,INDIRECT("'"&amp;D4&amp;"'"&amp;"!B:B"))</f>
        <v>576</v>
      </c>
      <c r="E20" s="273"/>
      <c r="F20" s="274" t="s">
        <v>290</v>
      </c>
      <c r="G20" s="277">
        <f ca="1">ROUND(C20*$C$18+D20*$D$18,0)</f>
        <v>577</v>
      </c>
      <c r="H20" s="278" t="s">
        <v>291</v>
      </c>
      <c r="I20" s="310"/>
      <c r="J20" s="2013"/>
      <c r="K20" s="2013"/>
      <c r="L20" s="2013"/>
      <c r="M20" s="2013"/>
      <c r="N20" s="2013"/>
      <c r="O20" s="2013"/>
      <c r="P20" s="2013"/>
      <c r="Q20" s="2013"/>
      <c r="R20" s="2013"/>
      <c r="S20" s="2013"/>
      <c r="T20" s="2013"/>
      <c r="U20" s="2013"/>
      <c r="V20" s="2013"/>
    </row>
    <row r="21" spans="1:26" ht="15" customHeight="1">
      <c r="A21" s="273"/>
      <c r="B21" s="279" t="s">
        <v>292</v>
      </c>
      <c r="C21" s="280">
        <f ca="1">SUMIF(INDIRECT("'"&amp;C4&amp;"'"&amp;"!A:A"),结果表!B21,INDIRECT("'"&amp;C4&amp;"'"&amp;"!B:B"))</f>
        <v>1156</v>
      </c>
      <c r="D21" s="150">
        <f ca="1">SUMIF(INDIRECT("'"&amp;D4&amp;"'"&amp;"!A:A"),结果表!B21,INDIRECT("'"&amp;D4&amp;"'"&amp;"!B:B"))</f>
        <v>1152</v>
      </c>
      <c r="E21" s="273"/>
      <c r="F21" s="279" t="s">
        <v>292</v>
      </c>
      <c r="G21" s="281">
        <f ca="1">ROUND(C21*$C$18+D21*$D$18,0)</f>
        <v>1154</v>
      </c>
      <c r="H21" s="1246" t="s">
        <v>291</v>
      </c>
      <c r="I21" s="310"/>
      <c r="J21" s="2013"/>
      <c r="K21" s="2013"/>
      <c r="L21" s="2013"/>
      <c r="M21" s="2013"/>
      <c r="N21" s="2013"/>
      <c r="O21" s="2013"/>
      <c r="P21" s="2013"/>
      <c r="Q21" s="2013"/>
      <c r="R21" s="2013"/>
      <c r="S21" s="2013"/>
      <c r="T21" s="2013"/>
      <c r="U21" s="2013"/>
      <c r="V21" s="2013"/>
    </row>
    <row r="22" spans="1:26" ht="15.75" thickBot="1">
      <c r="A22" s="125" t="s">
        <v>293</v>
      </c>
      <c r="B22" s="1247"/>
      <c r="C22" s="1248"/>
      <c r="D22" s="282">
        <f ca="1">IF(C19&lt;D19,D19/C19-1,C19/D19-1)</f>
        <v>3.4428794992176215E-3</v>
      </c>
      <c r="E22" s="283"/>
      <c r="F22" s="284"/>
      <c r="G22" s="285">
        <f ca="1">ROUND(G19/('数据-汇总表'!D3/666.67),0)</f>
        <v>77</v>
      </c>
      <c r="H22" s="286" t="s">
        <v>294</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17" t="s">
        <v>295</v>
      </c>
      <c r="B24" s="268" t="s">
        <v>287</v>
      </c>
      <c r="C24" s="287">
        <f>IF(B30=0,0,D30)</f>
        <v>832</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18"/>
      <c r="B25" s="1316" t="s">
        <v>3547</v>
      </c>
      <c r="C25" s="289">
        <f>IF(B30=0,0,C30)</f>
        <v>0</v>
      </c>
      <c r="D25" s="290"/>
      <c r="E25" s="310"/>
      <c r="F25" s="310"/>
      <c r="G25" s="310"/>
      <c r="H25" s="310"/>
      <c r="I25" s="310"/>
      <c r="J25" s="2013"/>
      <c r="K25" s="1250" t="str">
        <f ca="1">项目基本情况!B16&amp;"国有建设用地使用权价格："&amp;O38&amp;"万元"</f>
        <v>出让国有建设用地使用权价格：2369万元</v>
      </c>
      <c r="L25" s="1251"/>
      <c r="M25" s="1251"/>
      <c r="N25" s="1251"/>
      <c r="O25" s="1252"/>
      <c r="P25" s="2013"/>
      <c r="Q25" s="2013"/>
      <c r="R25" s="2013"/>
      <c r="S25" s="2013"/>
      <c r="T25" s="2013"/>
      <c r="U25" s="2013"/>
      <c r="V25" s="2013"/>
    </row>
    <row r="26" spans="1:26" s="1249" customFormat="1" ht="18">
      <c r="A26" s="292" t="s">
        <v>296</v>
      </c>
      <c r="B26" s="293" t="s">
        <v>297</v>
      </c>
      <c r="C26" s="293" t="s">
        <v>298</v>
      </c>
      <c r="D26" s="294" t="s">
        <v>299</v>
      </c>
      <c r="E26" s="310"/>
      <c r="F26" s="310"/>
      <c r="G26" s="310"/>
      <c r="H26" s="310"/>
      <c r="I26" s="310"/>
      <c r="J26" s="2013"/>
      <c r="K26" s="1253" t="str">
        <f ca="1">"大写金额：人民币"&amp;NUMBERSTRING(INT(O38*10000),2)&amp;"元整"</f>
        <v>大写金额：人民币贰仟叁佰陆拾玖万元整</v>
      </c>
      <c r="L26" s="1247"/>
      <c r="M26" s="1247"/>
      <c r="N26" s="1247"/>
      <c r="O26" s="1246"/>
      <c r="P26" s="2013"/>
      <c r="Q26" s="2013"/>
      <c r="R26" s="2013"/>
      <c r="S26" s="2013"/>
      <c r="T26" s="2013"/>
      <c r="U26" s="2013"/>
      <c r="V26" s="2013"/>
      <c r="W26" s="291"/>
      <c r="X26" s="291"/>
      <c r="Y26" s="291"/>
      <c r="Z26" s="291"/>
    </row>
    <row r="27" spans="1:26" ht="18">
      <c r="A27" s="3217" t="s">
        <v>3548</v>
      </c>
      <c r="B27" s="293">
        <f>'数据-基础表'!A3</f>
        <v>27729.29</v>
      </c>
      <c r="C27" s="293">
        <v>300</v>
      </c>
      <c r="D27" s="294">
        <f>ROUND(B27*C27/10000,0)</f>
        <v>832</v>
      </c>
      <c r="E27" s="310"/>
      <c r="F27" s="310"/>
      <c r="G27" s="310"/>
      <c r="H27" s="310"/>
      <c r="I27" s="310"/>
      <c r="J27" s="2013"/>
      <c r="K27" s="1253" t="str">
        <f ca="1">"单位面积地价："&amp;M38&amp;"元/平方米"</f>
        <v>单位面积地价：854元/平方米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楼面地价：427元/平方米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抵押价格：2369万元</v>
      </c>
      <c r="L29" s="1247"/>
      <c r="M29" s="1247"/>
      <c r="N29" s="1247"/>
      <c r="O29" s="1246"/>
      <c r="P29" s="2013"/>
      <c r="V29" s="2013"/>
    </row>
    <row r="30" spans="1:26" ht="18.75" thickBot="1">
      <c r="A30" s="3079" t="s">
        <v>300</v>
      </c>
      <c r="B30" s="308">
        <f>B27</f>
        <v>27729.29</v>
      </c>
      <c r="C30" s="308"/>
      <c r="D30" s="309">
        <f>D27</f>
        <v>832</v>
      </c>
      <c r="E30" s="3080" t="s">
        <v>2908</v>
      </c>
      <c r="F30" s="310"/>
      <c r="G30" s="310"/>
      <c r="H30" s="310"/>
      <c r="I30" s="310"/>
      <c r="J30" s="2013"/>
      <c r="K30" s="1253" t="str">
        <f ca="1">IF(K29="——","——","大写金额：人民币"&amp;NUMBERSTRING(INT(O39*10000),2)&amp;"元整")</f>
        <v>大写金额：人民币贰仟叁佰陆拾玖万元整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301</v>
      </c>
      <c r="B32" s="1377" t="s">
        <v>1647</v>
      </c>
      <c r="C32" s="1378">
        <f ca="1">G19-C24</f>
        <v>2369</v>
      </c>
      <c r="D32" s="1379" t="s">
        <v>1648</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304</v>
      </c>
      <c r="B33" s="1380" t="s">
        <v>1649</v>
      </c>
      <c r="C33" s="263">
        <f ca="1">ROUND(C32*10000/'数据-汇总表'!E3,0)</f>
        <v>427</v>
      </c>
      <c r="D33" s="1381" t="s">
        <v>1650</v>
      </c>
      <c r="E33" s="3317" t="s">
        <v>302</v>
      </c>
      <c r="F33" s="295" t="s">
        <v>303</v>
      </c>
      <c r="G33" s="296"/>
      <c r="H33" s="979"/>
      <c r="I33" s="1254"/>
      <c r="J33" s="2013"/>
      <c r="K33" s="1253" t="str">
        <f ca="1">IF(项目基本情况!E9="——","——","抵押净值："&amp;C46&amp;"万元")</f>
        <v>抵押净值：2242万元</v>
      </c>
      <c r="L33" s="1247"/>
      <c r="M33" s="1247"/>
      <c r="N33" s="1247"/>
      <c r="O33" s="1246"/>
      <c r="P33" s="2013"/>
      <c r="V33" s="2013"/>
    </row>
    <row r="34" spans="1:26" s="1249" customFormat="1" ht="18.75" thickBot="1">
      <c r="A34" s="299"/>
      <c r="B34" s="1382" t="s">
        <v>1651</v>
      </c>
      <c r="C34" s="263">
        <f ca="1">ROUND(C32*10000/'数据-汇总表'!D3,0)</f>
        <v>854</v>
      </c>
      <c r="D34" s="1383" t="s">
        <v>1650</v>
      </c>
      <c r="E34" s="3358"/>
      <c r="F34" s="126" t="s">
        <v>305</v>
      </c>
      <c r="G34" s="298"/>
      <c r="H34" s="104"/>
      <c r="I34" s="310"/>
      <c r="J34" s="2013"/>
      <c r="K34" s="1256" t="str">
        <f ca="1">IF(K33="——","——","大写金额：人民币"&amp;NUMBERSTRING(INT(O41*10000),2)&amp;"元整")</f>
        <v>大写金额：人民币贰仟贰佰肆拾贰万元整</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57</v>
      </c>
      <c r="D35" s="1386" t="s">
        <v>1652</v>
      </c>
      <c r="E35" s="3359"/>
      <c r="F35" s="300" t="s">
        <v>306</v>
      </c>
      <c r="G35" s="981"/>
      <c r="H35" s="980" t="s">
        <v>307</v>
      </c>
      <c r="I35" s="310"/>
      <c r="J35" s="2013"/>
      <c r="K35" s="3332" t="s">
        <v>314</v>
      </c>
      <c r="L35" s="3332" t="s">
        <v>315</v>
      </c>
      <c r="M35" s="1259" t="s">
        <v>316</v>
      </c>
      <c r="N35" s="3332" t="s">
        <v>317</v>
      </c>
      <c r="O35" s="3332" t="s">
        <v>318</v>
      </c>
      <c r="P35" s="2013"/>
      <c r="V35" s="2013"/>
    </row>
    <row r="36" spans="1:26" ht="16.5" customHeight="1">
      <c r="A36" s="302" t="s">
        <v>308</v>
      </c>
      <c r="B36" s="303" t="s">
        <v>297</v>
      </c>
      <c r="C36" s="304" t="s">
        <v>309</v>
      </c>
      <c r="D36" s="304" t="s">
        <v>310</v>
      </c>
      <c r="E36" s="305" t="s">
        <v>311</v>
      </c>
      <c r="F36" s="310"/>
      <c r="G36" s="310"/>
      <c r="H36" s="310"/>
      <c r="I36" s="310"/>
      <c r="J36" s="2015"/>
      <c r="K36" s="3333"/>
      <c r="L36" s="3333"/>
      <c r="M36" s="1261" t="s">
        <v>319</v>
      </c>
      <c r="N36" s="3333"/>
      <c r="O36" s="3333"/>
      <c r="P36" s="2013"/>
      <c r="V36" s="2013"/>
    </row>
    <row r="37" spans="1:26" ht="16.5" customHeight="1" thickBot="1">
      <c r="A37" s="1255" t="s">
        <v>312</v>
      </c>
      <c r="B37" s="306"/>
      <c r="C37" s="293"/>
      <c r="D37" s="293"/>
      <c r="E37" s="294"/>
      <c r="F37" s="310"/>
      <c r="G37" s="310"/>
      <c r="H37" s="310"/>
      <c r="I37" s="310"/>
      <c r="J37" s="2015"/>
      <c r="K37" s="3334"/>
      <c r="L37" s="3334"/>
      <c r="M37" s="1262"/>
      <c r="N37" s="3334"/>
      <c r="O37" s="3334"/>
      <c r="P37" s="2013"/>
      <c r="V37" s="2013"/>
    </row>
    <row r="38" spans="1:26" ht="16.5" customHeight="1" thickBot="1">
      <c r="A38" s="1255" t="s">
        <v>313</v>
      </c>
      <c r="B38" s="306"/>
      <c r="C38" s="293"/>
      <c r="D38" s="293"/>
      <c r="E38" s="294"/>
      <c r="F38" s="310"/>
      <c r="G38" s="310"/>
      <c r="H38" s="310"/>
      <c r="I38" s="310"/>
      <c r="J38" s="2015"/>
      <c r="K38" s="1263">
        <f>'数据-汇总表'!D3</f>
        <v>27729.29</v>
      </c>
      <c r="L38" s="1264">
        <f>'数据-汇总表'!E3</f>
        <v>55458.58</v>
      </c>
      <c r="M38" s="1264">
        <f ca="1">C34</f>
        <v>854</v>
      </c>
      <c r="N38" s="1264">
        <f ca="1">C33</f>
        <v>427</v>
      </c>
      <c r="O38" s="1265">
        <f ca="1">C32</f>
        <v>2369</v>
      </c>
      <c r="P38" s="2013"/>
      <c r="V38" s="2013"/>
    </row>
    <row r="39" spans="1:26" ht="16.5" customHeight="1" thickBot="1">
      <c r="A39" s="1260"/>
      <c r="B39" s="307"/>
      <c r="C39" s="308"/>
      <c r="D39" s="308"/>
      <c r="E39" s="309"/>
      <c r="F39" s="310"/>
      <c r="G39" s="310"/>
      <c r="H39" s="310"/>
      <c r="I39" s="310"/>
      <c r="J39" s="2015"/>
      <c r="K39" s="3377" t="str">
        <f>MID(A44,3,LEN(A44)-2)</f>
        <v>抵押价格</v>
      </c>
      <c r="L39" s="3378"/>
      <c r="M39" s="3378"/>
      <c r="N39" s="3379"/>
      <c r="O39" s="1388">
        <f ca="1">C44</f>
        <v>2369</v>
      </c>
      <c r="P39" s="2013"/>
      <c r="V39" s="2013"/>
    </row>
    <row r="40" spans="1:26" ht="19.5" thickBot="1">
      <c r="A40" s="103" t="s">
        <v>836</v>
      </c>
      <c r="B40" s="310"/>
      <c r="C40" s="310"/>
      <c r="D40" s="310"/>
      <c r="E40" s="310"/>
      <c r="F40" s="310"/>
      <c r="G40" s="310"/>
      <c r="H40" s="310"/>
      <c r="I40" s="310"/>
      <c r="J40" s="2015"/>
      <c r="K40" s="3377" t="str">
        <f t="shared" ref="K40:K41" si="0">MID(A45,3,LEN(A45)-2)</f>
        <v/>
      </c>
      <c r="L40" s="3378"/>
      <c r="M40" s="3378"/>
      <c r="N40" s="3379"/>
      <c r="O40" s="1388" t="str">
        <f>C45</f>
        <v>——</v>
      </c>
      <c r="P40" s="2013"/>
      <c r="V40" s="2013"/>
    </row>
    <row r="41" spans="1:26" ht="16.5" thickBot="1">
      <c r="A41" s="311" t="s">
        <v>320</v>
      </c>
      <c r="B41" s="312"/>
      <c r="C41" s="313" t="s">
        <v>321</v>
      </c>
      <c r="D41" s="314" t="s">
        <v>322</v>
      </c>
      <c r="E41" s="314" t="s">
        <v>323</v>
      </c>
      <c r="F41" s="315" t="s">
        <v>324</v>
      </c>
      <c r="G41" s="310"/>
      <c r="H41" s="310"/>
      <c r="I41" s="310"/>
      <c r="J41" s="2015"/>
      <c r="K41" s="3377" t="str">
        <f t="shared" si="0"/>
        <v>抵押净值</v>
      </c>
      <c r="L41" s="3378"/>
      <c r="M41" s="3378"/>
      <c r="N41" s="3379"/>
      <c r="O41" s="1388">
        <f ca="1">C46</f>
        <v>2242</v>
      </c>
      <c r="P41" s="2013"/>
      <c r="V41" s="2013"/>
    </row>
    <row r="42" spans="1:26" ht="29.25">
      <c r="A42" s="3319" t="s">
        <v>2024</v>
      </c>
      <c r="B42" s="3320"/>
      <c r="C42" s="263">
        <f ca="1">C32</f>
        <v>2369</v>
      </c>
      <c r="D42" s="316">
        <f ca="1">C33</f>
        <v>427</v>
      </c>
      <c r="E42" s="316">
        <f ca="1">C34</f>
        <v>854</v>
      </c>
      <c r="F42" s="317">
        <f ca="1">C35</f>
        <v>57</v>
      </c>
      <c r="G42" s="310"/>
      <c r="H42" s="310"/>
      <c r="I42" s="318"/>
      <c r="J42" s="2015"/>
      <c r="K42" s="1266" t="s">
        <v>325</v>
      </c>
      <c r="L42" s="2032" t="s">
        <v>326</v>
      </c>
      <c r="M42" s="1267" t="s">
        <v>327</v>
      </c>
      <c r="N42" s="2033" t="s">
        <v>328</v>
      </c>
      <c r="O42" s="2034" t="s">
        <v>329</v>
      </c>
      <c r="P42" s="2013"/>
      <c r="V42" s="2013"/>
    </row>
    <row r="43" spans="1:26" ht="30">
      <c r="A43" s="3330" t="s">
        <v>2685</v>
      </c>
      <c r="B43" s="3331"/>
      <c r="C43" s="263">
        <f>IF(H33="正常操作",G33+G34+G35,G34+G35)</f>
        <v>0</v>
      </c>
      <c r="D43" s="316" t="s">
        <v>42</v>
      </c>
      <c r="E43" s="316" t="s">
        <v>43</v>
      </c>
      <c r="F43" s="317" t="s">
        <v>43</v>
      </c>
      <c r="G43" s="2821" t="s">
        <v>915</v>
      </c>
      <c r="H43" s="310"/>
      <c r="I43" s="318"/>
      <c r="J43" s="2015"/>
      <c r="K43" s="1268" t="str">
        <f>C4</f>
        <v>比较法-住宅、综合</v>
      </c>
      <c r="L43" s="1269">
        <f ca="1">IF(L42="估价结果/万元",C19,C20)</f>
        <v>3206</v>
      </c>
      <c r="M43" s="1270">
        <f>C18</f>
        <v>0.5</v>
      </c>
      <c r="N43" s="1271">
        <f ca="1">IF(N42="测算结果/万元",G19,G20)</f>
        <v>3201</v>
      </c>
      <c r="O43" s="1272">
        <f ca="1">IF(O42="最终结果/万元",C32,C33)</f>
        <v>2369</v>
      </c>
      <c r="P43" s="2013"/>
      <c r="V43" s="2013"/>
    </row>
    <row r="44" spans="1:26" ht="30.75" thickBot="1">
      <c r="A44" s="3319" t="str">
        <f>IF(OR(项目基本情况!E8="抵押价格",项目基本情况!E8="已注销及未注销"),"3.抵押价格","——")</f>
        <v>3.抵押价格</v>
      </c>
      <c r="B44" s="3320"/>
      <c r="C44" s="263">
        <f ca="1">IF(A44="——","——",C42-C43)</f>
        <v>2369</v>
      </c>
      <c r="D44" s="316">
        <f ca="1">ROUND(C44*10000/'数据-汇总表'!E3,0)</f>
        <v>427</v>
      </c>
      <c r="E44" s="316">
        <f ca="1">ROUND(C44*10000/'数据-汇总表'!D3,0)</f>
        <v>854</v>
      </c>
      <c r="F44" s="317">
        <f ca="1">ROUND(C44/('数据-汇总表'!D3/666.67),0)</f>
        <v>57</v>
      </c>
      <c r="G44" s="310"/>
      <c r="H44" s="310"/>
      <c r="I44" s="318"/>
      <c r="J44" s="2015"/>
      <c r="K44" s="1273" t="str">
        <f>D4</f>
        <v>剩余法-待开发</v>
      </c>
      <c r="L44" s="1274">
        <f ca="1">IF(L42="估价结果/万元",D19,D20)</f>
        <v>3195</v>
      </c>
      <c r="M44" s="1275">
        <f>D18</f>
        <v>0.5</v>
      </c>
      <c r="N44" s="1276"/>
      <c r="O44" s="1277"/>
      <c r="P44" s="2013"/>
      <c r="V44" s="2013"/>
    </row>
    <row r="45" spans="1:26" ht="15">
      <c r="A45" s="3325" t="str">
        <f>IF(项目基本情况!E8="已注销及未注销","4.抵押担保权已注销时的抵押价格",IF(项目基本情况!E8="已注销","3.抵押担保权已注销时的抵押价格","——"))</f>
        <v>——</v>
      </c>
      <c r="B45" s="3326"/>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21" t="str">
        <f>IF(项目基本情况!E9="抵押净值",IF(A45="——","4.抵押净值","5.抵押净值"),"——")</f>
        <v>4.抵押净值</v>
      </c>
      <c r="B46" s="3322"/>
      <c r="C46" s="319">
        <f ca="1">IF(A46="——","——",O79)</f>
        <v>2242</v>
      </c>
      <c r="D46" s="316">
        <f ca="1">ROUND(C46*10000/'数据-汇总表'!E3,0)</f>
        <v>404</v>
      </c>
      <c r="E46" s="316">
        <f ca="1">ROUND(C46*10000/'数据-汇总表'!D3,0)</f>
        <v>809</v>
      </c>
      <c r="F46" s="317">
        <f ca="1">ROUND(C46/('数据-汇总表'!D3/666.67),0)</f>
        <v>54</v>
      </c>
      <c r="G46" s="310"/>
      <c r="H46" s="310"/>
      <c r="I46" s="318"/>
      <c r="J46" s="2015"/>
      <c r="K46" s="2013"/>
      <c r="L46" s="2013"/>
      <c r="M46" s="2013"/>
      <c r="N46" s="2013"/>
      <c r="O46" s="2013"/>
      <c r="P46" s="2013"/>
      <c r="Q46" s="2013"/>
      <c r="R46" s="2013"/>
      <c r="S46" s="2013"/>
      <c r="T46" s="2013"/>
      <c r="U46" s="2013"/>
      <c r="V46" s="2013"/>
    </row>
    <row r="47" spans="1:26" ht="15.75">
      <c r="A47" s="320" t="s">
        <v>330</v>
      </c>
      <c r="B47" s="1278"/>
      <c r="C47" s="321" t="s">
        <v>331</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332</v>
      </c>
      <c r="G53" s="336"/>
      <c r="H53" s="336"/>
      <c r="I53" s="337" t="s">
        <v>333</v>
      </c>
      <c r="J53" s="2016"/>
      <c r="K53" s="2013"/>
      <c r="L53" s="2013"/>
      <c r="M53" s="2013"/>
      <c r="N53" s="2013"/>
      <c r="O53" s="2013"/>
      <c r="P53" s="2013"/>
      <c r="Q53" s="2013"/>
      <c r="R53" s="2013"/>
      <c r="S53" s="2013"/>
      <c r="T53" s="2013"/>
      <c r="U53" s="2013"/>
      <c r="V53" s="2013"/>
    </row>
    <row r="54" spans="1:22" ht="12.75">
      <c r="A54" s="256"/>
      <c r="B54" s="338" t="s">
        <v>334</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335</v>
      </c>
      <c r="J56" s="2016"/>
      <c r="K56" s="2013"/>
      <c r="L56" s="2013"/>
      <c r="M56" s="2013"/>
      <c r="N56" s="2013"/>
      <c r="O56" s="2013"/>
      <c r="P56" s="2013"/>
      <c r="Q56" s="2013"/>
      <c r="R56" s="2013"/>
      <c r="S56" s="2013"/>
      <c r="T56" s="2013"/>
      <c r="U56" s="2013"/>
      <c r="V56" s="2013"/>
    </row>
    <row r="57" spans="1:22" ht="12.75">
      <c r="A57" s="256"/>
      <c r="B57" s="338" t="s">
        <v>336</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335</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337</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66" t="s">
        <v>338</v>
      </c>
      <c r="B63" s="3367"/>
      <c r="C63" s="3368"/>
      <c r="D63" s="340">
        <f ca="1">ROUND(C42*F63,0)</f>
        <v>2369</v>
      </c>
      <c r="E63" s="301" t="s">
        <v>339</v>
      </c>
      <c r="F63" s="341">
        <v>1</v>
      </c>
      <c r="G63" s="342" t="s">
        <v>340</v>
      </c>
      <c r="H63" s="310"/>
      <c r="I63" s="310"/>
      <c r="J63" s="2013"/>
      <c r="K63" s="2013"/>
      <c r="L63" s="2013"/>
      <c r="M63" s="2013"/>
      <c r="N63" s="2013"/>
      <c r="O63" s="2013"/>
      <c r="P63" s="310"/>
      <c r="Q63" s="2013"/>
      <c r="R63" s="2013"/>
      <c r="S63" s="2013"/>
      <c r="T63" s="2013"/>
      <c r="U63" s="2013"/>
      <c r="V63" s="2013"/>
    </row>
    <row r="64" spans="1:22" ht="14.25" customHeight="1">
      <c r="A64" s="3327" t="s">
        <v>342</v>
      </c>
      <c r="B64" s="3328"/>
      <c r="C64" s="3328"/>
      <c r="D64" s="3328"/>
      <c r="E64" s="3328"/>
      <c r="F64" s="3328"/>
      <c r="G64" s="3329"/>
      <c r="H64" s="1283"/>
      <c r="I64" s="947"/>
      <c r="J64" s="1975"/>
      <c r="K64" s="1547" t="s">
        <v>341</v>
      </c>
      <c r="L64" s="10"/>
      <c r="M64" s="10"/>
      <c r="N64" s="10"/>
      <c r="O64" s="10"/>
      <c r="P64" s="310"/>
      <c r="Q64" s="2013"/>
      <c r="R64" s="2013"/>
      <c r="S64" s="2013"/>
      <c r="T64" s="2013"/>
      <c r="U64" s="2013"/>
      <c r="V64" s="2013"/>
    </row>
    <row r="65" spans="1:22" ht="12" customHeight="1">
      <c r="A65" s="343" t="s">
        <v>344</v>
      </c>
      <c r="B65" s="344"/>
      <c r="C65" s="345"/>
      <c r="D65" s="346" t="s">
        <v>345</v>
      </c>
      <c r="E65" s="52" t="s">
        <v>346</v>
      </c>
      <c r="F65" s="347" t="s">
        <v>347</v>
      </c>
      <c r="G65" s="348" t="s">
        <v>348</v>
      </c>
      <c r="H65" s="1283"/>
      <c r="I65" s="947"/>
      <c r="J65" s="1975"/>
      <c r="K65" s="1284"/>
      <c r="L65" s="1285"/>
      <c r="M65" s="1285"/>
      <c r="N65" s="1317" t="s">
        <v>343</v>
      </c>
      <c r="O65" s="1318"/>
      <c r="P65" s="1319"/>
      <c r="Q65" s="2013"/>
      <c r="R65" s="2013"/>
      <c r="S65" s="2013"/>
      <c r="T65" s="2013"/>
      <c r="U65" s="2013"/>
      <c r="V65" s="2013"/>
    </row>
    <row r="66" spans="1:22" ht="25.5">
      <c r="A66" s="3323" t="s">
        <v>350</v>
      </c>
      <c r="B66" s="3324"/>
      <c r="C66" s="3324"/>
      <c r="D66" s="260">
        <f ca="1">IF(H66="情况1",0,IF(H66="情况2",D70,IF(H66="情况3",D71,IF(H66="情况4",D72))))</f>
        <v>126</v>
      </c>
      <c r="E66" s="992" t="str">
        <f>IF(H66="情况4","(销售额-原购置价)×税（费）率","销售额×税（费）率")</f>
        <v>销售额×税（费）率</v>
      </c>
      <c r="F66" s="349">
        <f>IF(H66="情况1","免征",'数据-取费表'!B41)</f>
        <v>5.6000000000000001E-2</v>
      </c>
      <c r="G66" s="350" t="s">
        <v>351</v>
      </c>
      <c r="H66" s="190" t="s">
        <v>352</v>
      </c>
      <c r="I66" s="1283"/>
      <c r="J66" s="2019"/>
      <c r="K66" s="1286">
        <v>1</v>
      </c>
      <c r="L66" s="3381" t="s">
        <v>349</v>
      </c>
      <c r="M66" s="3382"/>
      <c r="N66" s="2422"/>
      <c r="O66" s="2423"/>
      <c r="P66" s="2424"/>
      <c r="Q66" s="2013"/>
      <c r="R66" s="2013"/>
      <c r="S66" s="2013"/>
      <c r="T66" s="2013"/>
      <c r="U66" s="2013"/>
      <c r="V66" s="2013"/>
    </row>
    <row r="67" spans="1:22" ht="25.5" customHeight="1">
      <c r="A67" s="351" t="s">
        <v>354</v>
      </c>
      <c r="B67" s="3314" t="s">
        <v>355</v>
      </c>
      <c r="C67" s="3314"/>
      <c r="D67" s="352">
        <v>0</v>
      </c>
      <c r="E67" s="40" t="s">
        <v>356</v>
      </c>
      <c r="F67" s="61" t="s">
        <v>20</v>
      </c>
      <c r="G67" s="3369"/>
      <c r="H67" s="310"/>
      <c r="I67" s="1287"/>
      <c r="J67" s="2020"/>
      <c r="K67" s="1961">
        <v>2</v>
      </c>
      <c r="L67" s="3380" t="s">
        <v>353</v>
      </c>
      <c r="M67" s="3380"/>
      <c r="N67" s="1320">
        <f>'数据-取费表'!B2</f>
        <v>43724</v>
      </c>
      <c r="O67" s="1320"/>
      <c r="P67" s="1320"/>
      <c r="Q67" s="2013"/>
      <c r="R67" s="2013"/>
      <c r="S67" s="2013"/>
      <c r="T67" s="2013"/>
      <c r="U67" s="2013"/>
      <c r="V67" s="2013"/>
    </row>
    <row r="68" spans="1:22" ht="25.5" customHeight="1">
      <c r="A68" s="353"/>
      <c r="B68" s="3314" t="s">
        <v>358</v>
      </c>
      <c r="C68" s="3314"/>
      <c r="D68" s="354"/>
      <c r="E68" s="76"/>
      <c r="F68" s="355"/>
      <c r="G68" s="3370"/>
      <c r="H68" s="310"/>
      <c r="I68" s="1287"/>
      <c r="J68" s="2020"/>
      <c r="K68" s="1961">
        <v>3</v>
      </c>
      <c r="L68" s="3380" t="s">
        <v>357</v>
      </c>
      <c r="M68" s="3380"/>
      <c r="N68" s="1288">
        <f ca="1">C42</f>
        <v>2369</v>
      </c>
      <c r="O68" s="1288"/>
      <c r="P68" s="1288"/>
      <c r="Q68" s="2013"/>
      <c r="R68" s="2013"/>
      <c r="S68" s="2013"/>
      <c r="T68" s="2013"/>
      <c r="U68" s="2013"/>
      <c r="V68" s="2013"/>
    </row>
    <row r="69" spans="1:22" ht="12" customHeight="1">
      <c r="A69" s="356"/>
      <c r="B69" s="3314" t="s">
        <v>359</v>
      </c>
      <c r="C69" s="3314"/>
      <c r="D69" s="357"/>
      <c r="E69" s="72"/>
      <c r="F69" s="355"/>
      <c r="G69" s="3371"/>
      <c r="H69" s="310"/>
      <c r="I69" s="1287"/>
      <c r="J69" s="2020"/>
      <c r="K69" s="1289">
        <v>4</v>
      </c>
      <c r="L69" s="3385" t="s">
        <v>2838</v>
      </c>
      <c r="M69" s="3386"/>
      <c r="N69" s="1290">
        <f ca="1">C44</f>
        <v>2369</v>
      </c>
      <c r="O69" s="1290"/>
      <c r="P69" s="1290"/>
      <c r="Q69" s="2013"/>
      <c r="R69" s="2013"/>
      <c r="S69" s="2013"/>
      <c r="T69" s="2013"/>
      <c r="U69" s="2013"/>
      <c r="V69" s="2013"/>
    </row>
    <row r="70" spans="1:22" ht="24" customHeight="1">
      <c r="A70" s="358" t="s">
        <v>360</v>
      </c>
      <c r="B70" s="3314" t="s">
        <v>361</v>
      </c>
      <c r="C70" s="3314"/>
      <c r="D70" s="357">
        <f ca="1">ROUND(D63*'数据-取费表'!B41/(1+'数据-取费表'!C42),0)</f>
        <v>126</v>
      </c>
      <c r="E70" s="16" t="s">
        <v>362</v>
      </c>
      <c r="F70" s="359">
        <f>'数据-取费表'!B41</f>
        <v>5.6000000000000001E-2</v>
      </c>
      <c r="G70" s="360"/>
      <c r="H70" s="310"/>
      <c r="I70" s="1287"/>
      <c r="J70" s="2020"/>
      <c r="K70" s="3013"/>
      <c r="L70" s="3014"/>
      <c r="M70" s="3014"/>
      <c r="N70" s="3015" t="s">
        <v>2842</v>
      </c>
      <c r="O70" s="3014"/>
      <c r="P70" s="3016"/>
      <c r="Q70" s="2013"/>
      <c r="R70" s="2013"/>
      <c r="S70" s="2013"/>
      <c r="T70" s="2013"/>
      <c r="U70" s="2013"/>
      <c r="V70" s="2013"/>
    </row>
    <row r="71" spans="1:22" ht="12" customHeight="1">
      <c r="A71" s="358" t="s">
        <v>368</v>
      </c>
      <c r="B71" s="3315" t="s">
        <v>369</v>
      </c>
      <c r="C71" s="3316"/>
      <c r="D71" s="357">
        <f ca="1">ROUND(D63*'数据-取费表'!B41/(1+'数据-取费表'!C42),0)</f>
        <v>126</v>
      </c>
      <c r="E71" s="16" t="s">
        <v>362</v>
      </c>
      <c r="F71" s="359">
        <f>'数据-取费表'!B41</f>
        <v>5.6000000000000001E-2</v>
      </c>
      <c r="G71" s="360"/>
      <c r="H71" s="310"/>
      <c r="I71" s="1287"/>
      <c r="J71" s="2020"/>
      <c r="K71" s="3012" t="s">
        <v>363</v>
      </c>
      <c r="L71" s="3387" t="s">
        <v>364</v>
      </c>
      <c r="M71" s="3387"/>
      <c r="N71" s="3012" t="s">
        <v>365</v>
      </c>
      <c r="O71" s="3012" t="s">
        <v>366</v>
      </c>
      <c r="P71" s="3012" t="s">
        <v>367</v>
      </c>
      <c r="Q71" s="2013"/>
      <c r="R71" s="2013"/>
      <c r="S71" s="2013"/>
      <c r="T71" s="2013"/>
      <c r="U71" s="2013"/>
      <c r="V71" s="2013"/>
    </row>
    <row r="72" spans="1:22" ht="12" customHeight="1">
      <c r="A72" s="358" t="s">
        <v>371</v>
      </c>
      <c r="B72" s="3315" t="s">
        <v>372</v>
      </c>
      <c r="C72" s="3316"/>
      <c r="D72" s="357">
        <f ca="1">C86</f>
        <v>14</v>
      </c>
      <c r="E72" s="72" t="s">
        <v>373</v>
      </c>
      <c r="F72" s="359">
        <f>'数据-取费表'!B41</f>
        <v>5.6000000000000001E-2</v>
      </c>
      <c r="G72" s="360"/>
      <c r="H72" s="1293"/>
      <c r="I72" s="1287"/>
      <c r="J72" s="2020"/>
      <c r="K72" s="1961">
        <v>1</v>
      </c>
      <c r="L72" s="3362" t="s">
        <v>370</v>
      </c>
      <c r="M72" s="3362"/>
      <c r="N72" s="1291">
        <f ca="1">D66</f>
        <v>126</v>
      </c>
      <c r="O72" s="1844" t="str">
        <f>E66</f>
        <v>销售额×税（费）率</v>
      </c>
      <c r="P72" s="1292">
        <f>F66</f>
        <v>5.6000000000000001E-2</v>
      </c>
      <c r="Q72" s="2013"/>
      <c r="R72" s="2013"/>
      <c r="S72" s="2013"/>
      <c r="T72" s="2013"/>
      <c r="U72" s="2013"/>
      <c r="V72" s="2013"/>
    </row>
    <row r="73" spans="1:22" ht="24" customHeight="1">
      <c r="A73" s="3356" t="s">
        <v>375</v>
      </c>
      <c r="B73" s="3324"/>
      <c r="C73" s="3324"/>
      <c r="D73" s="361">
        <f ca="1">IF(H73="个人住宅",0,ROUND(D63*I73,0))</f>
        <v>1</v>
      </c>
      <c r="E73" s="16" t="s">
        <v>376</v>
      </c>
      <c r="F73" s="359">
        <f>IF(H73="正常",I73,"免征")</f>
        <v>5.0000000000000001E-4</v>
      </c>
      <c r="G73" s="360"/>
      <c r="H73" s="190" t="s">
        <v>2995</v>
      </c>
      <c r="I73" s="359">
        <f>'数据-取费表'!B49</f>
        <v>5.0000000000000001E-4</v>
      </c>
      <c r="J73" s="2020"/>
      <c r="K73" s="1961">
        <v>2</v>
      </c>
      <c r="L73" s="3362" t="s">
        <v>374</v>
      </c>
      <c r="M73" s="3362"/>
      <c r="N73" s="1291">
        <f t="shared" ref="N73:P74" ca="1" si="1">D73</f>
        <v>1</v>
      </c>
      <c r="O73" s="1844" t="str">
        <f t="shared" si="1"/>
        <v>销售额×税（费）率</v>
      </c>
      <c r="P73" s="1292">
        <f t="shared" si="1"/>
        <v>5.0000000000000001E-4</v>
      </c>
      <c r="Q73" s="2013"/>
      <c r="R73" s="2013"/>
      <c r="S73" s="2013"/>
      <c r="T73" s="2013"/>
      <c r="U73" s="2013"/>
      <c r="V73" s="2013"/>
    </row>
    <row r="74" spans="1:22" ht="24.75">
      <c r="A74" s="3356" t="s">
        <v>379</v>
      </c>
      <c r="B74" s="3324"/>
      <c r="C74" s="3324"/>
      <c r="D74" s="361">
        <f ca="1">IF(H74="个人住宅",D75,D76)</f>
        <v>0</v>
      </c>
      <c r="E74" s="16" t="s">
        <v>380</v>
      </c>
      <c r="F74" s="359" t="str">
        <f>IF(H74="正常",F76,"免征")</f>
        <v>——</v>
      </c>
      <c r="G74" s="982" t="s">
        <v>381</v>
      </c>
      <c r="H74" s="362" t="s">
        <v>377</v>
      </c>
      <c r="I74" s="41"/>
      <c r="J74" s="2020"/>
      <c r="K74" s="1961">
        <v>3</v>
      </c>
      <c r="L74" s="3362" t="s">
        <v>378</v>
      </c>
      <c r="M74" s="3362"/>
      <c r="N74" s="1291">
        <f t="shared" ca="1" si="1"/>
        <v>0</v>
      </c>
      <c r="O74" s="1844" t="str">
        <f t="shared" si="1"/>
        <v>增值额×税（费）率</v>
      </c>
      <c r="P74" s="1294" t="str">
        <f t="shared" si="1"/>
        <v>——</v>
      </c>
      <c r="Q74" s="2013"/>
      <c r="R74" s="2013"/>
      <c r="S74" s="2013"/>
      <c r="T74" s="2013"/>
      <c r="U74" s="2013"/>
      <c r="V74" s="2013"/>
    </row>
    <row r="75" spans="1:22" ht="12.75">
      <c r="A75" s="358" t="s">
        <v>382</v>
      </c>
      <c r="B75" s="3312" t="s">
        <v>383</v>
      </c>
      <c r="C75" s="3342"/>
      <c r="D75" s="363">
        <v>0</v>
      </c>
      <c r="E75" s="40" t="s">
        <v>384</v>
      </c>
      <c r="F75" s="364"/>
      <c r="G75" s="360"/>
      <c r="H75" s="41"/>
      <c r="I75" s="41"/>
      <c r="J75" s="2020"/>
      <c r="K75" s="3005" t="str">
        <f>IF(H77="非个人房产","",4)</f>
        <v/>
      </c>
      <c r="L75" s="3362" t="str">
        <f>IF(H77="非个人房产","——","个人所得税")</f>
        <v>——</v>
      </c>
      <c r="M75" s="3362"/>
      <c r="N75" s="1295" t="str">
        <f>D77</f>
        <v>——</v>
      </c>
      <c r="O75" s="1857" t="str">
        <f>E77</f>
        <v>——</v>
      </c>
      <c r="P75" s="1296" t="str">
        <f>F77</f>
        <v>——</v>
      </c>
      <c r="Q75" s="2013"/>
      <c r="R75" s="2013"/>
      <c r="S75" s="2013"/>
      <c r="T75" s="2013"/>
      <c r="U75" s="2013"/>
      <c r="V75" s="2013"/>
    </row>
    <row r="76" spans="1:22" ht="24.75">
      <c r="A76" s="358" t="s">
        <v>360</v>
      </c>
      <c r="B76" s="3312" t="s">
        <v>386</v>
      </c>
      <c r="C76" s="3313"/>
      <c r="D76" s="361">
        <f ca="1">IF(H76="转让取得",C99,C115)</f>
        <v>0</v>
      </c>
      <c r="E76" s="16" t="s">
        <v>387</v>
      </c>
      <c r="F76" s="52" t="s">
        <v>20</v>
      </c>
      <c r="G76" s="360"/>
      <c r="H76" s="362" t="s">
        <v>388</v>
      </c>
      <c r="I76" s="41"/>
      <c r="J76" s="2020"/>
      <c r="K76" s="3005" t="str">
        <f>IF(项目基本情况!K6="上海银行",IF(K75="",4,K75+1),"")</f>
        <v/>
      </c>
      <c r="L76" s="3373" t="str">
        <f>IF(项目基本情况!K6="上海银行","其他处置费用","")</f>
        <v/>
      </c>
      <c r="M76" s="3374"/>
      <c r="N76" s="1291" t="str">
        <f>IF(项目基本情况!K6="上海银行",N89,"")</f>
        <v/>
      </c>
      <c r="O76" s="3375" t="str">
        <f>IF(项目基本情况!K6="上海银行","包含处置中涉及的律师、诉讼、拍卖、评估等费用","")</f>
        <v/>
      </c>
      <c r="P76" s="3376"/>
      <c r="Q76" s="2013"/>
      <c r="R76" s="2013"/>
      <c r="S76" s="2013"/>
      <c r="T76" s="2013"/>
      <c r="U76" s="2013"/>
      <c r="V76" s="2013"/>
    </row>
    <row r="77" spans="1:22" ht="24.75" thickBot="1">
      <c r="A77" s="3364" t="s">
        <v>390</v>
      </c>
      <c r="B77" s="3365"/>
      <c r="C77" s="3365"/>
      <c r="D77" s="365" t="str">
        <f>IF(H77="非个人房产","——",IF(H77="个人住宅",0,ROUND(D63*I77,0)))</f>
        <v>——</v>
      </c>
      <c r="E77" s="366" t="str">
        <f>IF(H77="非个人房产","——","销售额×税（费）率")</f>
        <v>——</v>
      </c>
      <c r="F77" s="367" t="str">
        <f>IF(H77="非个人房产","——",IF(H77="个人住宅","免征",I77))</f>
        <v>——</v>
      </c>
      <c r="G77" s="983" t="s">
        <v>381</v>
      </c>
      <c r="H77" s="362" t="s">
        <v>3011</v>
      </c>
      <c r="I77" s="368">
        <v>0.01</v>
      </c>
      <c r="J77" s="2020"/>
      <c r="K77" s="3363">
        <f>IF(AND(K75="",K76=""),4,IF(项目基本情况!K6="上海银行",K76+1,K75+1))</f>
        <v>4</v>
      </c>
      <c r="L77" s="3362" t="s">
        <v>2839</v>
      </c>
      <c r="M77" s="3011" t="s">
        <v>385</v>
      </c>
      <c r="N77" s="1297"/>
      <c r="O77" s="1298">
        <f ca="1">SUMIF(N72:N76,"&lt;9e307")</f>
        <v>127</v>
      </c>
      <c r="P77" s="1299"/>
      <c r="Q77" s="3009">
        <f ca="1">O77/N69</f>
        <v>5.3609117771211481E-2</v>
      </c>
      <c r="R77" s="2013"/>
      <c r="S77" s="2013"/>
      <c r="T77" s="2013"/>
      <c r="U77" s="2013"/>
      <c r="V77" s="2013"/>
    </row>
    <row r="78" spans="1:22" ht="12" customHeight="1">
      <c r="A78" s="1300"/>
      <c r="B78" s="310"/>
      <c r="C78" s="310"/>
      <c r="D78" s="310"/>
      <c r="E78" s="41"/>
      <c r="F78" s="41"/>
      <c r="G78" s="41"/>
      <c r="H78" s="1002"/>
      <c r="I78" s="310"/>
      <c r="J78" s="2020"/>
      <c r="K78" s="3363"/>
      <c r="L78" s="3362"/>
      <c r="M78" s="3011" t="s">
        <v>389</v>
      </c>
      <c r="N78" s="1297"/>
      <c r="O78" s="1298" t="str">
        <f ca="1">NUMBERSTRING(INT(O77*10000),2)&amp;"元整"</f>
        <v>壹佰贰拾柒万元整</v>
      </c>
      <c r="P78" s="1299"/>
      <c r="Q78" s="2013"/>
      <c r="R78" s="2013"/>
      <c r="S78" s="2013"/>
      <c r="T78" s="2013"/>
      <c r="U78" s="2013"/>
      <c r="V78" s="2013"/>
    </row>
    <row r="79" spans="1:22" ht="13.5" thickBot="1">
      <c r="A79" s="3357" t="s">
        <v>391</v>
      </c>
      <c r="B79" s="3357"/>
      <c r="C79" s="3357"/>
      <c r="D79" s="3357"/>
      <c r="E79" s="3357"/>
      <c r="F79" s="41"/>
      <c r="G79" s="41"/>
      <c r="H79" s="1002"/>
      <c r="I79" s="310"/>
      <c r="J79" s="2020"/>
      <c r="K79" s="3383">
        <f>K77+1</f>
        <v>5</v>
      </c>
      <c r="L79" s="3362" t="s">
        <v>2840</v>
      </c>
      <c r="M79" s="3011" t="s">
        <v>385</v>
      </c>
      <c r="N79" s="1297"/>
      <c r="O79" s="1298">
        <f ca="1">N69-O77</f>
        <v>2242</v>
      </c>
      <c r="P79" s="1299"/>
      <c r="Q79" s="2013"/>
      <c r="R79" s="2013"/>
      <c r="S79" s="2013"/>
      <c r="T79" s="2013"/>
      <c r="U79" s="2013"/>
      <c r="V79" s="2013"/>
    </row>
    <row r="80" spans="1:22" ht="25.5">
      <c r="A80" s="3352" t="s">
        <v>392</v>
      </c>
      <c r="B80" s="3353"/>
      <c r="C80" s="993"/>
      <c r="D80" s="993" t="s">
        <v>393</v>
      </c>
      <c r="E80" s="369" t="s">
        <v>394</v>
      </c>
      <c r="F80" s="41"/>
      <c r="G80" s="41"/>
      <c r="H80" s="1002"/>
      <c r="I80" s="310"/>
      <c r="J80" s="2013"/>
      <c r="K80" s="3384"/>
      <c r="L80" s="3362"/>
      <c r="M80" s="3011" t="s">
        <v>389</v>
      </c>
      <c r="N80" s="1297"/>
      <c r="O80" s="1298" t="str">
        <f ca="1">NUMBERSTRING(INT(O79*10000),2)&amp;"元整"</f>
        <v>贰仟贰佰肆拾贰万元整</v>
      </c>
      <c r="P80" s="1299"/>
      <c r="Q80" s="2013"/>
      <c r="R80" s="2013"/>
      <c r="S80" s="2013"/>
      <c r="T80" s="2013"/>
      <c r="U80" s="2013"/>
      <c r="V80" s="2013"/>
    </row>
    <row r="81" spans="1:26" ht="13.5" thickBot="1">
      <c r="A81" s="380" t="s">
        <v>1782</v>
      </c>
      <c r="B81" s="370" t="s">
        <v>395</v>
      </c>
      <c r="C81" s="371">
        <f ca="1">ROUND((C82+C83)/(1+'数据-取费表'!C42),0)</f>
        <v>2256</v>
      </c>
      <c r="D81" s="372"/>
      <c r="E81" s="373"/>
      <c r="F81" s="41"/>
      <c r="G81" s="41"/>
      <c r="H81" s="1002"/>
      <c r="I81" s="310"/>
      <c r="J81" s="2013"/>
      <c r="K81" s="3005">
        <f>K79+1</f>
        <v>6</v>
      </c>
      <c r="L81" s="3360" t="s">
        <v>2841</v>
      </c>
      <c r="M81" s="3361"/>
      <c r="N81" s="1301"/>
      <c r="O81" s="1302">
        <f ca="1">ROUND(O79*10000/'数据-汇总表'!E3,0)</f>
        <v>404</v>
      </c>
      <c r="P81" s="1303"/>
      <c r="Q81" s="2013"/>
      <c r="R81" s="2013"/>
      <c r="S81" s="2013"/>
      <c r="T81" s="2013"/>
      <c r="U81" s="2013"/>
      <c r="V81" s="2013"/>
    </row>
    <row r="82" spans="1:26" ht="13.5" thickTop="1">
      <c r="A82" s="374" t="s">
        <v>1783</v>
      </c>
      <c r="B82" s="375" t="s">
        <v>396</v>
      </c>
      <c r="C82" s="376">
        <f ca="1">D63</f>
        <v>2369</v>
      </c>
      <c r="D82" s="377" t="s">
        <v>18</v>
      </c>
      <c r="E82" s="378"/>
      <c r="F82" s="41"/>
      <c r="G82" s="41"/>
      <c r="H82" s="1002"/>
      <c r="I82" s="310"/>
      <c r="J82" s="2013"/>
      <c r="K82" s="2013"/>
      <c r="L82" s="2013"/>
      <c r="M82" s="2013"/>
      <c r="N82" s="2013"/>
      <c r="O82" s="2013"/>
      <c r="P82" s="2013"/>
      <c r="Q82" s="2013"/>
      <c r="R82" s="2013"/>
      <c r="S82" s="2013"/>
      <c r="T82" s="2013"/>
      <c r="U82" s="2013"/>
      <c r="V82" s="2013"/>
    </row>
    <row r="83" spans="1:26" ht="12.75">
      <c r="A83" s="374" t="s">
        <v>1784</v>
      </c>
      <c r="B83" s="375" t="s">
        <v>397</v>
      </c>
      <c r="C83" s="379">
        <v>0</v>
      </c>
      <c r="D83" s="377"/>
      <c r="E83" s="378"/>
      <c r="F83" s="41"/>
      <c r="G83" s="41"/>
      <c r="H83" s="1002"/>
      <c r="I83" s="310"/>
      <c r="J83" s="2013"/>
      <c r="K83" s="3372" t="s">
        <v>2829</v>
      </c>
      <c r="L83" s="3017" t="s">
        <v>2830</v>
      </c>
      <c r="M83" s="3007">
        <f ca="1">IF(N69&gt;10000,N69*0.5%,IF(AND(N69&gt;1000,N69&lt;=10000),N69*1%,IF(AND(N69&gt;100,N69&lt;=1000),N69*3%,IF(AND(N69&gt;10,N69&lt;=100),N69*5%,N69*8%))))</f>
        <v>23.69</v>
      </c>
      <c r="N83" s="52">
        <f ca="1">ROUND(M83,1)</f>
        <v>23.7</v>
      </c>
      <c r="O83" s="3010"/>
      <c r="P83" s="2013"/>
      <c r="Q83" s="2013"/>
      <c r="R83" s="2013"/>
      <c r="S83" s="2013"/>
      <c r="T83" s="2013"/>
      <c r="U83" s="2013"/>
      <c r="V83" s="2013"/>
    </row>
    <row r="84" spans="1:26" ht="12.75">
      <c r="A84" s="380" t="s">
        <v>1785</v>
      </c>
      <c r="B84" s="381" t="s">
        <v>398</v>
      </c>
      <c r="C84" s="382">
        <v>2000</v>
      </c>
      <c r="D84" s="383" t="s">
        <v>18</v>
      </c>
      <c r="E84" s="3050" t="s">
        <v>2883</v>
      </c>
      <c r="F84" s="41"/>
      <c r="G84" s="41"/>
      <c r="H84" s="1002"/>
      <c r="I84" s="310"/>
      <c r="J84" s="2013"/>
      <c r="K84" s="3372"/>
      <c r="L84" s="3017" t="s">
        <v>2831</v>
      </c>
      <c r="M84" s="3007">
        <f ca="1">IF(N69&gt;2000,N69*0.5%,IF(AND(N69&gt;1000,N69&lt;=2000),N69*0.6%,IF(AND(N69&gt;500,N69&lt;=1000),N69*0.7%,IF(AND(N69&gt;200,N69&lt;=500),N69*0.8%,IF(AND(N69&gt;100,N69&lt;=200),N69*0.9%,IF(AND(N69&gt;50,N69&lt;=100),N69*1%,IF(AND(N69&gt;20,N69&lt;=50),N69*1.5%,IF(AND(N69&gt;10,N69&lt;=20),N69*2%,IF(AND(N69&gt;1,N69&lt;=10),N69*2.5%)))))))))</f>
        <v>11.845000000000001</v>
      </c>
      <c r="N84" s="52">
        <f t="shared" ref="N84:N85" ca="1" si="2">ROUND(M84,1)</f>
        <v>11.8</v>
      </c>
      <c r="O84" s="2013" t="s">
        <v>2832</v>
      </c>
      <c r="P84" s="2013"/>
      <c r="Q84" s="2013"/>
      <c r="R84" s="2013"/>
      <c r="S84" s="2013"/>
      <c r="T84" s="2013"/>
      <c r="U84" s="2013"/>
      <c r="V84" s="2013"/>
    </row>
    <row r="85" spans="1:26" ht="12.75">
      <c r="A85" s="380" t="s">
        <v>1786</v>
      </c>
      <c r="B85" s="381" t="s">
        <v>399</v>
      </c>
      <c r="C85" s="384">
        <f ca="1">C81-C84</f>
        <v>256</v>
      </c>
      <c r="D85" s="377" t="s">
        <v>18</v>
      </c>
      <c r="E85" s="378"/>
      <c r="F85" s="41"/>
      <c r="G85" s="41"/>
      <c r="H85" s="1002"/>
      <c r="I85" s="310"/>
      <c r="J85" s="2013"/>
      <c r="K85" s="3372"/>
      <c r="L85" s="3017" t="s">
        <v>2833</v>
      </c>
      <c r="M85" s="3007">
        <f ca="1">IF(N69&gt;1000,N69*0.1%,IF(AND(N69&gt;500,N69&lt;=1000),N69*0.5%,IF(AND(N69&gt;50,N69&lt;=500),N69*1%,IF(AND(N69&gt;1,N69&lt;=50),N69*1.5%))))</f>
        <v>2.3690000000000002</v>
      </c>
      <c r="N85" s="52">
        <f t="shared" ca="1" si="2"/>
        <v>2.4</v>
      </c>
      <c r="O85" s="2013" t="s">
        <v>2832</v>
      </c>
      <c r="P85" s="2013"/>
      <c r="Q85" s="2013"/>
      <c r="R85" s="2013"/>
      <c r="S85" s="2013"/>
      <c r="T85" s="2013"/>
      <c r="U85" s="2013"/>
      <c r="V85" s="2013"/>
    </row>
    <row r="86" spans="1:26" ht="13.5" thickBot="1">
      <c r="A86" s="385" t="s">
        <v>1787</v>
      </c>
      <c r="B86" s="386" t="s">
        <v>400</v>
      </c>
      <c r="C86" s="387">
        <f ca="1">IF(C85&lt;=0,0,ROUND(C85*D86,0))</f>
        <v>14</v>
      </c>
      <c r="D86" s="388">
        <f>'数据-取费表'!B41</f>
        <v>5.6000000000000001E-2</v>
      </c>
      <c r="E86" s="389"/>
      <c r="F86" s="41"/>
      <c r="G86" s="41"/>
      <c r="H86" s="1002"/>
      <c r="I86" s="310"/>
      <c r="J86" s="2013"/>
      <c r="K86" s="3372"/>
      <c r="L86" s="3017" t="s">
        <v>2834</v>
      </c>
      <c r="M86" s="3007">
        <f ca="1">N69*0.5%</f>
        <v>11.845000000000001</v>
      </c>
      <c r="N86" s="52">
        <f ca="1">IF(M86&gt;0.5,0.5,ROUND(M86,0))</f>
        <v>0.5</v>
      </c>
      <c r="O86" s="2013" t="s">
        <v>2835</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372"/>
      <c r="L87" s="3017" t="s">
        <v>2836</v>
      </c>
      <c r="M87" s="3007">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10"/>
      <c r="P87" s="310"/>
      <c r="Q87" s="2013"/>
      <c r="R87" s="2013"/>
      <c r="S87" s="2013"/>
      <c r="T87" s="2013"/>
      <c r="U87" s="2013"/>
      <c r="V87" s="2013"/>
      <c r="W87" s="291"/>
      <c r="X87" s="291"/>
      <c r="Y87" s="291"/>
      <c r="Z87" s="291"/>
    </row>
    <row r="88" spans="1:26" s="1309" customFormat="1" ht="15" thickBot="1">
      <c r="A88" s="3354" t="s">
        <v>401</v>
      </c>
      <c r="B88" s="3355"/>
      <c r="C88" s="3355"/>
      <c r="D88" s="3355"/>
      <c r="E88" s="3355"/>
      <c r="F88" s="3355"/>
      <c r="G88" s="3355"/>
      <c r="H88" s="3355"/>
      <c r="I88" s="1310"/>
      <c r="J88" s="2021"/>
      <c r="K88" s="3372"/>
      <c r="L88" s="3017" t="s">
        <v>2837</v>
      </c>
      <c r="M88" s="3007">
        <f ca="1">IF(N69&gt;10000,N69*0.5%,IF(AND(N69&gt;5000,N69&lt;=10000),N69*1%,IF(AND(N69&gt;1000,N69&lt;=5000),N69*2%,IF(AND(N69&gt;200,N69&lt;=1000),N69*3%,N69*5%))))</f>
        <v>47.38</v>
      </c>
      <c r="N88" s="52">
        <f ca="1">ROUND(M88,1)</f>
        <v>47.4</v>
      </c>
      <c r="O88" s="3010"/>
      <c r="P88" s="10"/>
      <c r="Q88" s="2018"/>
      <c r="R88" s="2018"/>
      <c r="S88" s="2018"/>
      <c r="T88" s="2018"/>
      <c r="U88" s="2018"/>
      <c r="V88" s="2018"/>
      <c r="W88" s="2022"/>
      <c r="X88" s="2022"/>
      <c r="Y88" s="2022"/>
      <c r="Z88" s="2022"/>
    </row>
    <row r="89" spans="1:26" s="1309" customFormat="1" ht="14.25">
      <c r="A89" s="3352" t="s">
        <v>392</v>
      </c>
      <c r="B89" s="3353"/>
      <c r="C89" s="993"/>
      <c r="D89" s="993" t="s">
        <v>393</v>
      </c>
      <c r="E89" s="390" t="s">
        <v>402</v>
      </c>
      <c r="F89" s="391"/>
      <c r="G89" s="391"/>
      <c r="H89" s="392"/>
      <c r="I89" s="1311"/>
      <c r="J89" s="2023"/>
      <c r="K89" s="3372"/>
      <c r="L89" s="3017" t="s">
        <v>26</v>
      </c>
      <c r="M89" s="3008"/>
      <c r="N89" s="52">
        <f ca="1">ROUND(SUM(N83:N88),0)</f>
        <v>88</v>
      </c>
      <c r="O89" s="3018">
        <f ca="1">N89/N69</f>
        <v>3.7146475306036306E-2</v>
      </c>
      <c r="P89" s="2018"/>
      <c r="Q89" s="2018"/>
      <c r="R89" s="2018"/>
      <c r="S89" s="2018"/>
      <c r="T89" s="2018"/>
      <c r="U89" s="2018"/>
      <c r="V89" s="2018"/>
      <c r="W89" s="2022"/>
      <c r="X89" s="2022"/>
      <c r="Y89" s="2022"/>
      <c r="Z89" s="2022"/>
    </row>
    <row r="90" spans="1:26" s="1309" customFormat="1" ht="14.25">
      <c r="A90" s="380" t="s">
        <v>1782</v>
      </c>
      <c r="B90" s="381" t="s">
        <v>403</v>
      </c>
      <c r="C90" s="384">
        <f ca="1">ROUND(D63/(1+'数据-取费表'!C42),0)</f>
        <v>2256</v>
      </c>
      <c r="D90" s="377" t="s">
        <v>18</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1788</v>
      </c>
      <c r="B91" s="347" t="s">
        <v>404</v>
      </c>
      <c r="C91" s="384">
        <f ca="1">C92+C96</f>
        <v>2575</v>
      </c>
      <c r="D91" s="377" t="s">
        <v>18</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1789</v>
      </c>
      <c r="B92" s="375" t="s">
        <v>405</v>
      </c>
      <c r="C92" s="377">
        <f>ROUND(IF(G95="2016年5月1日后购买",C93/(1+'数据-取费表'!C30)+C94+C95,C93+C94+C95),0)</f>
        <v>2561</v>
      </c>
      <c r="D92" s="377" t="s">
        <v>18</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1790</v>
      </c>
      <c r="B93" s="375" t="s">
        <v>406</v>
      </c>
      <c r="C93" s="395">
        <v>2000</v>
      </c>
      <c r="D93" s="377" t="s">
        <v>18</v>
      </c>
      <c r="E93" s="396" t="s">
        <v>407</v>
      </c>
      <c r="F93" s="397" t="s">
        <v>408</v>
      </c>
      <c r="G93" s="396" t="s">
        <v>409</v>
      </c>
      <c r="H93" s="398">
        <v>5</v>
      </c>
      <c r="I93" s="10"/>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1791</v>
      </c>
      <c r="B94" s="399" t="s">
        <v>410</v>
      </c>
      <c r="C94" s="377">
        <f>IF(F93="购房发票",ROUND(C93*H93*5%,0),0)</f>
        <v>500</v>
      </c>
      <c r="D94" s="400">
        <v>0.05</v>
      </c>
      <c r="E94" s="3315" t="s">
        <v>411</v>
      </c>
      <c r="F94" s="3314"/>
      <c r="G94" s="3314"/>
      <c r="H94" s="3351"/>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1792</v>
      </c>
      <c r="B95" s="375" t="s">
        <v>412</v>
      </c>
      <c r="C95" s="377">
        <f>ROUND(IF(G95="个人买卖住房",0,IF(G95="2016年5月1日前购买",C93*D95,C93*D95/(1+'数据-取费表'!C42))),0)</f>
        <v>61</v>
      </c>
      <c r="D95" s="401">
        <f>'数据-取费表'!B48+'数据-取费表'!B49</f>
        <v>3.0499999999999999E-2</v>
      </c>
      <c r="E95" s="25" t="s">
        <v>413</v>
      </c>
      <c r="F95" s="402"/>
      <c r="G95" s="403" t="s">
        <v>2386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1793</v>
      </c>
      <c r="B96" s="375" t="s">
        <v>414</v>
      </c>
      <c r="C96" s="404">
        <f ca="1">ROUND(D63*D96/(1+'数据-取费表'!C42),0)</f>
        <v>14</v>
      </c>
      <c r="D96" s="405">
        <f>'数据-取费表'!B43</f>
        <v>6.000000000000001E-3</v>
      </c>
      <c r="E96" s="3343" t="s">
        <v>2385</v>
      </c>
      <c r="F96" s="3344"/>
      <c r="G96" s="3344"/>
      <c r="H96" s="334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1794</v>
      </c>
      <c r="B97" s="381" t="s">
        <v>415</v>
      </c>
      <c r="C97" s="384">
        <f ca="1">C90-C91</f>
        <v>-319</v>
      </c>
      <c r="D97" s="377" t="s">
        <v>18</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1795</v>
      </c>
      <c r="B98" s="381" t="s">
        <v>416</v>
      </c>
      <c r="C98" s="406">
        <f ca="1">IF(C97&lt;=0,0,C97/C91)</f>
        <v>0</v>
      </c>
      <c r="D98" s="377" t="s">
        <v>18</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1796</v>
      </c>
      <c r="B99" s="386" t="s">
        <v>417</v>
      </c>
      <c r="C99" s="407">
        <f ca="1">ROUND(IF(C97&lt;=0,0,IF(C98&gt;=200%,C97*60%-C91*35%,IF(C98&gt;=100%,C97*50%-C91*15%,IF(C98&gt;=50%,C97*40%-C91*5%,IF(C98&lt;50%,C97*30%,0))))),0)</f>
        <v>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0"/>
      <c r="D100" s="10"/>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54" t="s">
        <v>418</v>
      </c>
      <c r="B101" s="3355"/>
      <c r="C101" s="3355"/>
      <c r="D101" s="3355"/>
      <c r="E101" s="3355"/>
      <c r="F101" s="3355"/>
      <c r="G101" s="3355"/>
      <c r="H101" s="3355"/>
      <c r="I101" s="10"/>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52" t="s">
        <v>392</v>
      </c>
      <c r="B102" s="3353"/>
      <c r="C102" s="993"/>
      <c r="D102" s="993" t="s">
        <v>393</v>
      </c>
      <c r="E102" s="390" t="s">
        <v>402</v>
      </c>
      <c r="F102" s="391"/>
      <c r="G102" s="391"/>
      <c r="H102" s="412"/>
      <c r="I102" s="10"/>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1782</v>
      </c>
      <c r="B103" s="381" t="s">
        <v>403</v>
      </c>
      <c r="C103" s="384">
        <f ca="1">ROUND(D63/(1+'数据-取费表'!C42),0)</f>
        <v>2256</v>
      </c>
      <c r="D103" s="377" t="s">
        <v>18</v>
      </c>
      <c r="E103" s="990"/>
      <c r="F103" s="989"/>
      <c r="G103" s="989"/>
      <c r="H103" s="413"/>
      <c r="I103" s="10"/>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1788</v>
      </c>
      <c r="B104" s="347" t="s">
        <v>404</v>
      </c>
      <c r="C104" s="384">
        <f ca="1">IF(H106="仅含出让金",C105+C108+C109+C110+C111+C112,C105+C109+C110+C111+C112)</f>
        <v>3153</v>
      </c>
      <c r="D104" s="414"/>
      <c r="E104" s="990"/>
      <c r="F104" s="989"/>
      <c r="G104" s="989"/>
      <c r="H104" s="413"/>
      <c r="I104" s="10"/>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1789</v>
      </c>
      <c r="B105" s="375" t="s">
        <v>419</v>
      </c>
      <c r="C105" s="404">
        <f>C106+C107</f>
        <v>887</v>
      </c>
      <c r="D105" s="405"/>
      <c r="E105" s="984"/>
      <c r="F105" s="985"/>
      <c r="G105" s="985"/>
      <c r="H105" s="986"/>
      <c r="I105" s="10"/>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1790</v>
      </c>
      <c r="B106" s="375" t="s">
        <v>420</v>
      </c>
      <c r="C106" s="415">
        <v>861</v>
      </c>
      <c r="D106" s="405"/>
      <c r="E106" s="416" t="s">
        <v>421</v>
      </c>
      <c r="F106" s="985"/>
      <c r="G106" s="417" t="s">
        <v>422</v>
      </c>
      <c r="H106" s="418" t="s">
        <v>3549</v>
      </c>
      <c r="I106" s="10"/>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1791</v>
      </c>
      <c r="B107" s="375" t="s">
        <v>412</v>
      </c>
      <c r="C107" s="404">
        <f>ROUND(C106*D107,0)</f>
        <v>26</v>
      </c>
      <c r="D107" s="405">
        <f>'数据-取费表'!B48+'数据-取费表'!B49</f>
        <v>3.0499999999999999E-2</v>
      </c>
      <c r="E107" s="416" t="s">
        <v>423</v>
      </c>
      <c r="F107" s="985"/>
      <c r="G107" s="985"/>
      <c r="H107" s="986"/>
      <c r="I107" s="10"/>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1793</v>
      </c>
      <c r="B108" s="375" t="s">
        <v>424</v>
      </c>
      <c r="C108" s="415">
        <f>ROUND(600*'数据-基础表'!A3/10000,0)</f>
        <v>1664</v>
      </c>
      <c r="D108" s="405"/>
      <c r="E108" s="416" t="str">
        <f>IF(H106="-","土地取得成本中已包含该笔费用"," ")</f>
        <v xml:space="preserve"> </v>
      </c>
      <c r="F108" s="985"/>
      <c r="G108" s="985"/>
      <c r="H108" s="986"/>
      <c r="I108" s="10"/>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1797</v>
      </c>
      <c r="B109" s="375" t="s">
        <v>425</v>
      </c>
      <c r="C109" s="404">
        <f>IF(H109="——",IF(F1="现房",'剩余法-现房'!C18,'剩余法-待开发'!C18),I109)</f>
        <v>0</v>
      </c>
      <c r="D109" s="405"/>
      <c r="E109" s="3346" t="s">
        <v>426</v>
      </c>
      <c r="F109" s="3344"/>
      <c r="G109" s="3344"/>
      <c r="H109" s="1926" t="s">
        <v>2236</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1798</v>
      </c>
      <c r="B110" s="375" t="s">
        <v>427</v>
      </c>
      <c r="C110" s="404">
        <f>ROUND((C105+C108+C109)*D110,0)</f>
        <v>255</v>
      </c>
      <c r="D110" s="405">
        <v>0.1</v>
      </c>
      <c r="E110" s="3346" t="s">
        <v>428</v>
      </c>
      <c r="F110" s="3344"/>
      <c r="G110" s="3344"/>
      <c r="H110" s="3345"/>
      <c r="I110" s="10"/>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1799</v>
      </c>
      <c r="B111" s="375" t="s">
        <v>414</v>
      </c>
      <c r="C111" s="404">
        <f ca="1">ROUND(D63*D111/(1+'数据-取费表'!C42),0)</f>
        <v>14</v>
      </c>
      <c r="D111" s="405">
        <f>'数据-取费表'!B43</f>
        <v>6.000000000000001E-3</v>
      </c>
      <c r="E111" s="3343" t="s">
        <v>2385</v>
      </c>
      <c r="F111" s="3344"/>
      <c r="G111" s="3344"/>
      <c r="H111" s="3345"/>
      <c r="I111" s="10"/>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1800</v>
      </c>
      <c r="B112" s="375" t="s">
        <v>429</v>
      </c>
      <c r="C112" s="404">
        <f>ROUND(C108*D112,0)</f>
        <v>333</v>
      </c>
      <c r="D112" s="405">
        <v>0.2</v>
      </c>
      <c r="E112" s="3346" t="s">
        <v>2409</v>
      </c>
      <c r="F112" s="3344"/>
      <c r="G112" s="3344"/>
      <c r="H112" s="3345"/>
      <c r="I112" s="10"/>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1794</v>
      </c>
      <c r="B113" s="381" t="s">
        <v>415</v>
      </c>
      <c r="C113" s="384">
        <f ca="1">ROUND(C103-C104,0)</f>
        <v>-897</v>
      </c>
      <c r="D113" s="377" t="s">
        <v>18</v>
      </c>
      <c r="E113" s="990"/>
      <c r="F113" s="989"/>
      <c r="G113" s="989"/>
      <c r="H113" s="413"/>
      <c r="I113" s="10"/>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1795</v>
      </c>
      <c r="B114" s="381" t="s">
        <v>416</v>
      </c>
      <c r="C114" s="406">
        <f ca="1">IF(C113&lt;=0,0,C113/C104)</f>
        <v>0</v>
      </c>
      <c r="D114" s="377"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0"/>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1796</v>
      </c>
      <c r="B115" s="386" t="s">
        <v>417</v>
      </c>
      <c r="C115" s="407">
        <f ca="1">ROUND(IF(C113&lt;=0,0,IF(C114&gt;=200%,C113*60%-C104*35%,IF(C114&gt;=100%,C113*50%-C104*15%,IF(C114&gt;=50%,C113*40%-C104*5%,IF(C114&lt;50%,C113*30%,0))))),0)</f>
        <v>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0"/>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430</v>
      </c>
      <c r="B1" s="2764"/>
      <c r="C1" s="2089"/>
      <c r="D1" s="2089"/>
      <c r="E1" s="2089"/>
      <c r="F1" s="2089"/>
      <c r="G1" s="2089"/>
      <c r="H1" s="2089"/>
      <c r="I1" s="2089"/>
      <c r="J1" s="2089"/>
      <c r="K1" s="421">
        <f>MATCH(B1,'数据-取费表'!A6:A16,0)+5</f>
        <v>6</v>
      </c>
    </row>
    <row r="2" spans="1:41" s="2026" customFormat="1" ht="18" customHeight="1">
      <c r="A2" s="422" t="s">
        <v>431</v>
      </c>
      <c r="B2" s="423">
        <f ca="1">C32</f>
        <v>0</v>
      </c>
      <c r="C2" s="2089"/>
      <c r="D2" s="2089"/>
      <c r="E2" s="2089"/>
      <c r="F2" s="2089"/>
      <c r="G2" s="2089"/>
      <c r="H2" s="2089"/>
      <c r="I2" s="2089"/>
      <c r="J2" s="2089"/>
      <c r="K2" s="2089"/>
    </row>
    <row r="3" spans="1:41" s="2026" customFormat="1" ht="18" customHeight="1">
      <c r="A3" s="1375" t="s">
        <v>1643</v>
      </c>
      <c r="B3" s="424">
        <f ca="1">ROUND(B2*10000/IF(B1="",'数据-汇总表'!E3,INDIRECT("'数据-取费表'!K"&amp;$K$1)),0)</f>
        <v>0</v>
      </c>
      <c r="C3" s="2089"/>
      <c r="D3" s="2089"/>
      <c r="E3" s="2089"/>
      <c r="F3" s="2089"/>
      <c r="G3" s="2089"/>
      <c r="H3" s="2089"/>
      <c r="I3" s="2089"/>
      <c r="J3" s="2089"/>
      <c r="K3" s="2089"/>
    </row>
    <row r="4" spans="1:41" s="2026" customFormat="1" ht="18" customHeight="1">
      <c r="A4" s="425" t="s">
        <v>432</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433</v>
      </c>
      <c r="D5" s="2089"/>
      <c r="E5" s="2089"/>
      <c r="F5" s="2089"/>
      <c r="G5" s="2089"/>
      <c r="H5" s="2089"/>
      <c r="I5" s="2089"/>
      <c r="J5" s="2089"/>
      <c r="K5" s="2089"/>
    </row>
    <row r="6" spans="1:41" s="2096" customFormat="1" ht="16.5" customHeight="1">
      <c r="A6" s="431" t="s">
        <v>2607</v>
      </c>
      <c r="B6" s="432"/>
      <c r="C6" s="1608">
        <f>SUM(C10:K10)</f>
        <v>0</v>
      </c>
      <c r="D6" s="2094"/>
      <c r="E6" s="2094"/>
      <c r="F6" s="2094"/>
      <c r="G6" s="2094"/>
      <c r="H6" s="2094"/>
      <c r="I6" s="2094"/>
      <c r="J6" s="2094"/>
      <c r="K6" s="2095"/>
    </row>
    <row r="7" spans="1:41" s="2098" customFormat="1" ht="15">
      <c r="A7" s="433" t="s">
        <v>434</v>
      </c>
      <c r="B7" s="434" t="s">
        <v>435</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1804</v>
      </c>
      <c r="B8" s="437" t="s">
        <v>436</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1805</v>
      </c>
      <c r="B9" s="437" t="s">
        <v>437</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1806</v>
      </c>
      <c r="B10" s="1609" t="s">
        <v>438</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1823</v>
      </c>
      <c r="B11" s="1606"/>
      <c r="C11" s="1606"/>
      <c r="D11" s="1606"/>
      <c r="E11" s="1606"/>
      <c r="F11" s="1606"/>
      <c r="G11" s="1606"/>
      <c r="H11" s="1606"/>
      <c r="I11" s="1606"/>
      <c r="J11" s="1606"/>
      <c r="K11" s="1607"/>
    </row>
    <row r="12" spans="1:41" s="2070" customFormat="1" ht="13.5" customHeight="1">
      <c r="A12" s="433" t="s">
        <v>434</v>
      </c>
      <c r="B12" s="443" t="s">
        <v>435</v>
      </c>
      <c r="C12" s="444" t="s">
        <v>439</v>
      </c>
      <c r="D12" s="445" t="s">
        <v>440</v>
      </c>
      <c r="E12" s="445" t="s">
        <v>441</v>
      </c>
      <c r="F12" s="445" t="s">
        <v>442</v>
      </c>
      <c r="G12" s="443"/>
      <c r="H12" s="446"/>
      <c r="I12" s="446"/>
      <c r="J12" s="446"/>
      <c r="K12" s="447"/>
    </row>
    <row r="13" spans="1:41" s="2101" customFormat="1" ht="13.5" customHeight="1">
      <c r="A13" s="1618" t="s">
        <v>1807</v>
      </c>
      <c r="B13" s="448" t="s">
        <v>443</v>
      </c>
      <c r="C13" s="449">
        <f ca="1">IF(B1="",'数据-取费表'!M16,INDIRECT("'数据-取费表'!M"&amp;$K$1)+INDIRECT("'数据-取费表'!t"&amp;$K$1))</f>
        <v>16638</v>
      </c>
      <c r="D13" s="450"/>
      <c r="E13" s="364"/>
      <c r="F13" s="451"/>
      <c r="G13" s="443"/>
      <c r="H13" s="446"/>
      <c r="I13" s="446"/>
      <c r="J13" s="446"/>
      <c r="K13" s="447"/>
    </row>
    <row r="14" spans="1:41" s="2101" customFormat="1" ht="13.5" customHeight="1">
      <c r="A14" s="1618" t="s">
        <v>1808</v>
      </c>
      <c r="B14" s="448" t="s">
        <v>444</v>
      </c>
      <c r="C14" s="52">
        <f ca="1">ROUND(C13*F14,0)</f>
        <v>832</v>
      </c>
      <c r="D14" s="450"/>
      <c r="E14" s="364"/>
      <c r="F14" s="452">
        <f>'数据-取费表'!B33</f>
        <v>0.05</v>
      </c>
      <c r="G14" s="443" t="s">
        <v>466</v>
      </c>
      <c r="H14" s="446"/>
      <c r="I14" s="446"/>
      <c r="J14" s="446"/>
      <c r="K14" s="447"/>
    </row>
    <row r="15" spans="1:41" s="2101" customFormat="1" ht="13.5" customHeight="1">
      <c r="A15" s="1618" t="s">
        <v>1809</v>
      </c>
      <c r="B15" s="448" t="s">
        <v>446</v>
      </c>
      <c r="C15" s="52">
        <f ca="1">ROUND(IF(B1="",SUMIF('数据-取费表'!C:C,"住宅",'数据-取费表'!M:M)*F15,IF(INDIRECT("'数据-取费表'!c"&amp;$K$1)="住宅",INDIRECT("'数据-取费表'!M"&amp;$K$1)*F15,0)),0)</f>
        <v>0</v>
      </c>
      <c r="D15" s="450"/>
      <c r="E15" s="364"/>
      <c r="F15" s="452">
        <f>'数据-取费表'!B34</f>
        <v>0.1</v>
      </c>
      <c r="G15" s="443" t="s">
        <v>466</v>
      </c>
      <c r="H15" s="446"/>
      <c r="I15" s="446"/>
      <c r="J15" s="446"/>
      <c r="K15" s="447"/>
    </row>
    <row r="16" spans="1:41" s="2102" customFormat="1" ht="13.5" customHeight="1">
      <c r="A16" s="1618" t="s">
        <v>1810</v>
      </c>
      <c r="B16" s="448" t="s">
        <v>448</v>
      </c>
      <c r="C16" s="52">
        <f ca="1">ROUND(D16*E16/10000,0)</f>
        <v>832</v>
      </c>
      <c r="D16" s="450">
        <f ca="1">IF(B1="",'数据-汇总表'!E3,INDIRECT("'数据-取费表'!K"&amp;$K$1)+INDIRECT("'数据-取费表'!S"&amp;$K$1))</f>
        <v>55458.58</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1811</v>
      </c>
      <c r="B17" s="448" t="s">
        <v>449</v>
      </c>
      <c r="C17" s="453">
        <f ca="1">ROUND(C13*F17,0)</f>
        <v>250</v>
      </c>
      <c r="D17" s="454"/>
      <c r="E17" s="453"/>
      <c r="F17" s="455">
        <f>'数据-取费表'!B36</f>
        <v>1.4999999999999999E-2</v>
      </c>
      <c r="G17" s="443" t="s">
        <v>466</v>
      </c>
      <c r="H17" s="456"/>
      <c r="I17" s="456"/>
      <c r="J17" s="456"/>
      <c r="K17" s="457"/>
    </row>
    <row r="18" spans="1:14" s="2104" customFormat="1" ht="13.5" customHeight="1">
      <c r="A18" s="1619" t="s">
        <v>1812</v>
      </c>
      <c r="B18" s="458" t="s">
        <v>451</v>
      </c>
      <c r="C18" s="459">
        <f ca="1">SUM(C13:C17)</f>
        <v>18552</v>
      </c>
      <c r="D18" s="460"/>
      <c r="E18" s="461"/>
      <c r="F18" s="461"/>
      <c r="G18" s="1322" t="s">
        <v>2389</v>
      </c>
      <c r="H18" s="446"/>
      <c r="I18" s="446"/>
      <c r="J18" s="446"/>
      <c r="K18" s="447"/>
    </row>
    <row r="19" spans="1:14" s="2104" customFormat="1" ht="13.5" customHeight="1">
      <c r="A19" s="1619" t="s">
        <v>1813</v>
      </c>
      <c r="B19" s="458" t="s">
        <v>457</v>
      </c>
      <c r="C19" s="459">
        <f ca="1">ROUND(C18*F19,0)</f>
        <v>371</v>
      </c>
      <c r="D19" s="461"/>
      <c r="E19" s="461"/>
      <c r="F19" s="465">
        <f>'数据-取费表'!B37</f>
        <v>0.02</v>
      </c>
      <c r="G19" s="443" t="s">
        <v>467</v>
      </c>
      <c r="H19" s="446"/>
      <c r="I19" s="446"/>
      <c r="J19" s="446"/>
      <c r="K19" s="447"/>
      <c r="L19" s="2106"/>
      <c r="M19" s="2106"/>
      <c r="N19" s="2106"/>
    </row>
    <row r="20" spans="1:14" s="2104" customFormat="1" ht="13.5" customHeight="1">
      <c r="A20" s="1619" t="s">
        <v>1814</v>
      </c>
      <c r="B20" s="458" t="s">
        <v>468</v>
      </c>
      <c r="C20" s="2982">
        <f>F20</f>
        <v>0.02</v>
      </c>
      <c r="D20" s="468" t="s">
        <v>469</v>
      </c>
      <c r="E20" s="468"/>
      <c r="F20" s="485">
        <f>'数据-取费表'!B38</f>
        <v>0.02</v>
      </c>
      <c r="G20" s="1322" t="s">
        <v>470</v>
      </c>
      <c r="H20" s="446"/>
      <c r="I20" s="446"/>
      <c r="J20" s="446"/>
      <c r="K20" s="447"/>
      <c r="L20" s="2106"/>
      <c r="M20" s="2106"/>
      <c r="N20" s="2106"/>
    </row>
    <row r="21" spans="1:14" s="2106" customFormat="1" ht="13.5" customHeight="1">
      <c r="A21" s="1619" t="s">
        <v>1817</v>
      </c>
      <c r="B21" s="460" t="s">
        <v>458</v>
      </c>
      <c r="C21" s="469">
        <f ca="1">C22</f>
        <v>899</v>
      </c>
      <c r="D21" s="466">
        <f ca="1">C23</f>
        <v>1E-3</v>
      </c>
      <c r="E21" s="468" t="s">
        <v>471</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2410</v>
      </c>
    </row>
    <row r="22" spans="1:14" s="2105" customFormat="1" ht="13.5" customHeight="1">
      <c r="A22" s="1618" t="s">
        <v>1807</v>
      </c>
      <c r="B22" s="1323" t="s">
        <v>2392</v>
      </c>
      <c r="C22" s="486">
        <f ca="1">ROUND(IF('数据-取费表'!B22&lt;=1,(C18+C19)*F21*'数据-取费表'!B20/2,(C18+C19)*(POWER((1+F21),'数据-取费表'!B20/2)-1)),0)</f>
        <v>899</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1808</v>
      </c>
      <c r="B23" s="1323" t="s">
        <v>472</v>
      </c>
      <c r="C23" s="487">
        <f ca="1">ROUND(IF('数据-取费表'!B22&lt;=1,F20*F21*'数据-取费表'!B20/2,F20*(POWER((1+F21),'数据-取费表'!B20/2)-1)),4)</f>
        <v>1E-3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1818</v>
      </c>
      <c r="B24" s="2984" t="s">
        <v>2787</v>
      </c>
      <c r="C24" s="477">
        <f ca="1">C25</f>
        <v>3785</v>
      </c>
      <c r="D24" s="488">
        <f ca="1">C26</f>
        <v>4.0000000000000001E-3</v>
      </c>
      <c r="E24" s="468" t="s">
        <v>471</v>
      </c>
      <c r="F24" s="478">
        <f ca="1">IF(B1="",'数据-取费表'!Q16,INDIRECT("'数据-取费表'!q"&amp;$K$1))</f>
        <v>0.2</v>
      </c>
      <c r="G24" s="443"/>
      <c r="H24" s="446"/>
      <c r="I24" s="446"/>
      <c r="J24" s="446"/>
      <c r="K24" s="447"/>
    </row>
    <row r="25" spans="1:14" s="2105" customFormat="1" ht="13.5" customHeight="1">
      <c r="A25" s="1618" t="s">
        <v>1807</v>
      </c>
      <c r="B25" s="1323" t="s">
        <v>2393</v>
      </c>
      <c r="C25" s="489">
        <f ca="1">ROUND((C18+C19)*F24,0)</f>
        <v>3785</v>
      </c>
      <c r="D25" s="471"/>
      <c r="E25" s="472"/>
      <c r="F25" s="479"/>
      <c r="G25" s="1321" t="s">
        <v>2390</v>
      </c>
      <c r="H25" s="456"/>
      <c r="I25" s="456"/>
      <c r="J25" s="456"/>
      <c r="K25" s="457"/>
    </row>
    <row r="26" spans="1:14" s="2105" customFormat="1" ht="13.5" customHeight="1">
      <c r="A26" s="1618" t="s">
        <v>1808</v>
      </c>
      <c r="B26" s="1323" t="s">
        <v>473</v>
      </c>
      <c r="C26" s="490">
        <f ca="1">ROUND(F20*F24,4)</f>
        <v>4.0000000000000001E-3</v>
      </c>
      <c r="D26" s="471"/>
      <c r="E26" s="480"/>
      <c r="F26" s="479"/>
      <c r="G26" s="1321" t="s">
        <v>474</v>
      </c>
      <c r="H26" s="456"/>
      <c r="I26" s="456"/>
      <c r="J26" s="456"/>
      <c r="K26" s="457"/>
    </row>
    <row r="27" spans="1:14" s="2105" customFormat="1" ht="13.5" customHeight="1">
      <c r="A27" s="1622" t="s">
        <v>1826</v>
      </c>
      <c r="B27" s="458" t="s">
        <v>475</v>
      </c>
      <c r="C27" s="2983">
        <f>ROUND(F27/(1+'数据-取费表'!C42),4)</f>
        <v>5.33E-2</v>
      </c>
      <c r="D27" s="461" t="s">
        <v>2785</v>
      </c>
      <c r="E27" s="461"/>
      <c r="F27" s="465">
        <f>'数据-取费表'!B41</f>
        <v>5.6000000000000001E-2</v>
      </c>
      <c r="G27" s="1945" t="s">
        <v>2248</v>
      </c>
      <c r="H27" s="446"/>
      <c r="I27" s="446"/>
      <c r="J27" s="446"/>
      <c r="K27" s="447"/>
    </row>
    <row r="28" spans="1:14" s="2106" customFormat="1" ht="13.5" customHeight="1">
      <c r="A28" s="1622" t="s">
        <v>1827</v>
      </c>
      <c r="B28" s="475" t="s">
        <v>476</v>
      </c>
      <c r="C28" s="469">
        <f ca="1">ROUND((C18+C19+C21+C24)/(1-C20-D21-D24-C27),0)</f>
        <v>25612</v>
      </c>
      <c r="D28" s="476"/>
      <c r="E28" s="468"/>
      <c r="F28" s="470"/>
      <c r="G28" s="1322" t="s">
        <v>2391</v>
      </c>
      <c r="H28" s="446"/>
      <c r="I28" s="446"/>
      <c r="J28" s="446"/>
      <c r="K28" s="447"/>
    </row>
    <row r="29" spans="1:14" s="2106" customFormat="1" ht="13.5" customHeight="1">
      <c r="A29" s="1622" t="s">
        <v>1828</v>
      </c>
      <c r="B29" s="475" t="s">
        <v>477</v>
      </c>
      <c r="C29" s="491">
        <f ca="1">IF(B1="",'数据-取费表'!N16,INDIRECT("'数据-取费表'!N"&amp;$K$1))</f>
        <v>0</v>
      </c>
      <c r="D29" s="492"/>
      <c r="E29" s="493"/>
      <c r="F29" s="494"/>
      <c r="G29" s="443"/>
      <c r="H29" s="446"/>
      <c r="I29" s="446"/>
      <c r="J29" s="446"/>
      <c r="K29" s="447"/>
    </row>
    <row r="30" spans="1:14" s="2106" customFormat="1" ht="13.5" customHeight="1">
      <c r="A30" s="442">
        <v>2</v>
      </c>
      <c r="B30" s="475" t="s">
        <v>478</v>
      </c>
      <c r="C30" s="496">
        <f ca="1">ROUND(C28*C29,0)</f>
        <v>0</v>
      </c>
      <c r="D30" s="492"/>
      <c r="E30" s="497"/>
      <c r="F30" s="498"/>
      <c r="G30" s="1324" t="s">
        <v>479</v>
      </c>
      <c r="H30" s="495"/>
      <c r="I30" s="495"/>
      <c r="J30" s="446"/>
      <c r="K30" s="447"/>
    </row>
    <row r="31" spans="1:14" s="2111" customFormat="1" ht="13.5" customHeight="1">
      <c r="A31" s="2446" t="s">
        <v>1824</v>
      </c>
      <c r="B31" s="1325"/>
      <c r="C31" s="499">
        <f>ROUND(C6*F31/(1+'数据-取费表'!C42),0)</f>
        <v>0</v>
      </c>
      <c r="D31" s="1326"/>
      <c r="E31" s="1326"/>
      <c r="F31" s="500">
        <f>'数据-取费表'!B41</f>
        <v>5.6000000000000001E-2</v>
      </c>
      <c r="G31" s="1327"/>
      <c r="H31" s="1327"/>
      <c r="I31" s="1327"/>
      <c r="J31" s="1328"/>
      <c r="K31" s="1329"/>
    </row>
    <row r="32" spans="1:14" s="2070" customFormat="1" ht="13.5" customHeight="1" thickBot="1">
      <c r="A32" s="481" t="s">
        <v>1825</v>
      </c>
      <c r="B32" s="482"/>
      <c r="C32" s="483">
        <f ca="1">IF('数据-取费表'!B20&lt;=1,(C6-C30-C31)/(1+F21*'数据-取费表'!B20+F24)/(1+'数据-取费表'!B48+'数据-取费表'!B49),(C6-C30-C31)/(1+(POWER((1+F21),'数据-取费表'!B20)-1)+F24)/(1+'数据-取费表'!B48+'数据-取费表'!B49))</f>
        <v>0</v>
      </c>
      <c r="D32" s="482"/>
      <c r="E32" s="482"/>
      <c r="F32" s="482"/>
      <c r="G32" s="2447" t="s">
        <v>2913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5" zoomScale="80" zoomScaleNormal="95" zoomScaleSheetLayoutView="80" workbookViewId="0">
      <selection activeCell="E68" sqref="E6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480</v>
      </c>
      <c r="B1" s="502"/>
      <c r="C1" s="503" t="s">
        <v>481</v>
      </c>
      <c r="D1" s="504" t="s">
        <v>482</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431</v>
      </c>
      <c r="B2" s="507">
        <f>F68</f>
        <v>3206</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1643</v>
      </c>
      <c r="B3" s="509">
        <f>ROUND(B2*10000/'数据-汇总表'!E3,0)</f>
        <v>578</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484</v>
      </c>
      <c r="B4" s="426">
        <f>IF(B48="单位面积地价",C50,ROUND(B2*10000/'数据-汇总表'!D3,0))</f>
        <v>1156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77</v>
      </c>
      <c r="C5" s="430" t="s">
        <v>433</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485</v>
      </c>
      <c r="B6" s="512"/>
      <c r="C6" s="3397" t="s">
        <v>486</v>
      </c>
      <c r="D6" s="3398"/>
      <c r="E6" s="3397" t="s">
        <v>487</v>
      </c>
      <c r="F6" s="3398"/>
      <c r="G6" s="3397" t="s">
        <v>488</v>
      </c>
      <c r="H6" s="3398"/>
      <c r="I6" s="3397" t="s">
        <v>489</v>
      </c>
      <c r="J6" s="3398"/>
      <c r="K6" s="513" t="s">
        <v>490</v>
      </c>
      <c r="L6" s="2118"/>
      <c r="M6" s="2117"/>
      <c r="N6" s="2117"/>
      <c r="O6" s="2119"/>
      <c r="P6" s="3399" t="s">
        <v>491</v>
      </c>
      <c r="Q6" s="3400"/>
      <c r="R6" s="3405" t="s">
        <v>487</v>
      </c>
      <c r="S6" s="3406"/>
      <c r="T6" s="3405" t="s">
        <v>488</v>
      </c>
      <c r="U6" s="3406"/>
      <c r="V6" s="3392" t="s">
        <v>489</v>
      </c>
      <c r="W6" s="3392"/>
      <c r="X6" s="1553"/>
      <c r="Y6" s="3405" t="s">
        <v>491</v>
      </c>
      <c r="Z6" s="3406"/>
      <c r="AA6" s="3394" t="s">
        <v>487</v>
      </c>
      <c r="AB6" s="3395" t="s">
        <v>488</v>
      </c>
      <c r="AC6" s="3394" t="s">
        <v>489</v>
      </c>
    </row>
    <row r="7" spans="1:30" ht="50.25" customHeight="1">
      <c r="A7" s="514"/>
      <c r="B7" s="515"/>
      <c r="C7" s="3415"/>
      <c r="D7" s="3414"/>
      <c r="E7" s="3413" t="str">
        <f>商业土地案例!B6</f>
        <v>中捷产业园区范围内,东至冠信(沧州)房地产开发有限公司用地,南至沧州渤海新区新谊旅游开发有限公司用地和国有空地,西至集贤路,北至学院路</v>
      </c>
      <c r="F7" s="3414"/>
      <c r="G7" s="3413" t="str">
        <f>商业土地案例!B17</f>
        <v>中捷产业园区范围内,东至捷港大街,南至沧州渤海新区新谊旅游开发有限公司用地,西至规划水系,北至规划水系</v>
      </c>
      <c r="H7" s="3414"/>
      <c r="I7" s="3413" t="str">
        <f>商业土地案例!B32</f>
        <v>中捷产业园区,东至捷克村,南至国有空地,西至规划曙光街,北至国有空地</v>
      </c>
      <c r="J7" s="3414"/>
      <c r="K7" s="513"/>
      <c r="L7" s="2118"/>
      <c r="M7" s="2117"/>
      <c r="N7" s="2117"/>
      <c r="O7" s="2119"/>
      <c r="P7" s="3401"/>
      <c r="Q7" s="3402"/>
      <c r="R7" s="3407"/>
      <c r="S7" s="3408"/>
      <c r="T7" s="3407"/>
      <c r="U7" s="3408"/>
      <c r="V7" s="3392"/>
      <c r="W7" s="3392"/>
      <c r="X7" s="1553"/>
      <c r="Y7" s="3407"/>
      <c r="Z7" s="3408"/>
      <c r="AA7" s="3395"/>
      <c r="AB7" s="3395"/>
      <c r="AC7" s="3395"/>
    </row>
    <row r="8" spans="1:30" ht="21" thickBot="1">
      <c r="A8" s="514"/>
      <c r="B8" s="515"/>
      <c r="C8" s="3416" t="s">
        <v>2876</v>
      </c>
      <c r="D8" s="3417"/>
      <c r="E8" s="3416" t="s">
        <v>2876</v>
      </c>
      <c r="F8" s="3417"/>
      <c r="G8" s="3411" t="s">
        <v>2876</v>
      </c>
      <c r="H8" s="3412"/>
      <c r="I8" s="3411" t="s">
        <v>2876</v>
      </c>
      <c r="J8" s="3412"/>
      <c r="K8" s="513" t="s">
        <v>492</v>
      </c>
      <c r="L8" s="2118"/>
      <c r="M8" s="2117"/>
      <c r="N8" s="2117"/>
      <c r="O8" s="2119"/>
      <c r="P8" s="3403"/>
      <c r="Q8" s="3404"/>
      <c r="R8" s="3407"/>
      <c r="S8" s="3408"/>
      <c r="T8" s="3409"/>
      <c r="U8" s="3410"/>
      <c r="V8" s="3392"/>
      <c r="W8" s="3392"/>
      <c r="X8" s="1553"/>
      <c r="Y8" s="3409"/>
      <c r="Z8" s="3410"/>
      <c r="AA8" s="3396"/>
      <c r="AB8" s="3396"/>
      <c r="AC8" s="3396"/>
    </row>
    <row r="9" spans="1:30" s="1215" customFormat="1" ht="21" thickBot="1">
      <c r="A9" s="2867"/>
      <c r="B9" s="2874" t="s">
        <v>493</v>
      </c>
      <c r="C9" s="2866">
        <f>'数据-取费表'!B2</f>
        <v>43724</v>
      </c>
      <c r="D9" s="519">
        <v>100</v>
      </c>
      <c r="E9" s="520" t="str">
        <f>商业土地案例!K6</f>
        <v>2019-07-10</v>
      </c>
      <c r="F9" s="521">
        <f>SUMIF(72:72,YEAR(E9)&amp;"-"&amp;INT((MONTH(E9)+2)/3),73:73)</f>
        <v>100</v>
      </c>
      <c r="G9" s="522" t="str">
        <f>商业土地案例!K17</f>
        <v>2019-03-20</v>
      </c>
      <c r="H9" s="519">
        <f>SUMIF(72:72,YEAR(G9)&amp;"-"&amp;INT((MONTH(G9)+2)/3),73:73)</f>
        <v>98</v>
      </c>
      <c r="I9" s="522" t="str">
        <f>商业土地案例!K32</f>
        <v>2018-06-07</v>
      </c>
      <c r="J9" s="519">
        <f>SUMIF(72:72,YEAR(I9)&amp;"-"&amp;INT((MONTH(I9)+2)/3),73:73)</f>
        <v>95</v>
      </c>
      <c r="K9" s="523"/>
      <c r="L9" s="2120"/>
      <c r="M9" s="2117"/>
      <c r="N9" s="2117"/>
      <c r="O9" s="2121"/>
      <c r="P9" s="3423" t="s">
        <v>494</v>
      </c>
      <c r="Q9" s="3425"/>
      <c r="R9" s="1554" t="s">
        <v>8</v>
      </c>
      <c r="S9" s="1555">
        <f t="shared" ref="S9:S17" si="0">F9</f>
        <v>100</v>
      </c>
      <c r="T9" s="1554" t="s">
        <v>8</v>
      </c>
      <c r="U9" s="1555">
        <f t="shared" ref="U9:U17" si="1">H9</f>
        <v>98</v>
      </c>
      <c r="V9" s="1554" t="s">
        <v>8</v>
      </c>
      <c r="W9" s="1555">
        <f t="shared" ref="W9:W17" si="2">J9</f>
        <v>95</v>
      </c>
      <c r="X9" s="1556"/>
      <c r="Y9" s="3423" t="s">
        <v>494</v>
      </c>
      <c r="Z9" s="3424"/>
      <c r="AA9" s="1557">
        <f>D9/F9</f>
        <v>1</v>
      </c>
      <c r="AB9" s="1557">
        <f>D9/H9</f>
        <v>1.0204081632653061</v>
      </c>
      <c r="AC9" s="1557">
        <f>D9/J9</f>
        <v>1.0526315789473684</v>
      </c>
    </row>
    <row r="10" spans="1:30" s="1215" customFormat="1" ht="21" thickBot="1">
      <c r="A10" s="2868"/>
      <c r="B10" s="2875" t="s">
        <v>495</v>
      </c>
      <c r="C10" s="855" t="s">
        <v>496</v>
      </c>
      <c r="D10" s="519">
        <v>100</v>
      </c>
      <c r="E10" s="855" t="s">
        <v>496</v>
      </c>
      <c r="F10" s="521">
        <f>SUMIF(75:75,E10,76:76)-SUMIF(75:75,C10,76:76)+100</f>
        <v>100</v>
      </c>
      <c r="G10" s="855" t="s">
        <v>496</v>
      </c>
      <c r="H10" s="519">
        <f>SUMIF(75:75,G10,76:76)-SUMIF(75:75,C10,76:76)+100</f>
        <v>100</v>
      </c>
      <c r="I10" s="855" t="s">
        <v>496</v>
      </c>
      <c r="J10" s="519">
        <f>SUMIF(75:75,I10,76:76)-SUMIF(75:75,C10,76:76)+100</f>
        <v>100</v>
      </c>
      <c r="K10" s="523"/>
      <c r="L10" s="2120"/>
      <c r="M10" s="2117"/>
      <c r="N10" s="2117"/>
      <c r="O10" s="2121"/>
      <c r="P10" s="3423" t="s">
        <v>497</v>
      </c>
      <c r="Q10" s="3424"/>
      <c r="R10" s="1554" t="s">
        <v>8</v>
      </c>
      <c r="S10" s="1555">
        <f t="shared" si="0"/>
        <v>100</v>
      </c>
      <c r="T10" s="1554" t="s">
        <v>8</v>
      </c>
      <c r="U10" s="1555">
        <f t="shared" si="1"/>
        <v>100</v>
      </c>
      <c r="V10" s="1554" t="s">
        <v>8</v>
      </c>
      <c r="W10" s="1555">
        <f t="shared" si="2"/>
        <v>100</v>
      </c>
      <c r="X10" s="1556"/>
      <c r="Y10" s="3423" t="s">
        <v>497</v>
      </c>
      <c r="Z10" s="3424"/>
      <c r="AA10" s="1557">
        <f t="shared" ref="AA10:AA47" si="3">D10/F10</f>
        <v>1</v>
      </c>
      <c r="AB10" s="1557">
        <f t="shared" ref="AB10:AB47" si="4">D10/H10</f>
        <v>1</v>
      </c>
      <c r="AC10" s="1557">
        <f t="shared" ref="AC10:AC47" si="5">D10/J10</f>
        <v>1</v>
      </c>
    </row>
    <row r="11" spans="1:30" s="1215" customFormat="1" ht="20.25">
      <c r="A11" s="2869"/>
      <c r="B11" s="2876" t="s">
        <v>2711</v>
      </c>
      <c r="C11" s="2863" t="s">
        <v>2943</v>
      </c>
      <c r="D11" s="253">
        <v>100</v>
      </c>
      <c r="E11" s="2863" t="s">
        <v>2943</v>
      </c>
      <c r="F11" s="253">
        <f>SUMIF(77:77,E11,78:78)-SUMIF(77:77,C11,78:78)+100</f>
        <v>100</v>
      </c>
      <c r="G11" s="2863" t="s">
        <v>2943</v>
      </c>
      <c r="H11" s="253">
        <f>SUMIF(77:77,G11,78:78)-SUMIF(77:77,C11,78:78)+100</f>
        <v>100</v>
      </c>
      <c r="I11" s="2863" t="s">
        <v>2943</v>
      </c>
      <c r="J11" s="253">
        <f>SUMIF(77:77,I11,78:78)-SUMIF(77:77,C11,78:78)+100</f>
        <v>100</v>
      </c>
      <c r="K11" s="523"/>
      <c r="L11" s="2120"/>
      <c r="M11" s="2117"/>
      <c r="N11" s="2117"/>
      <c r="O11" s="2122"/>
      <c r="P11" s="3391" t="s">
        <v>499</v>
      </c>
      <c r="Q11" s="1146" t="str">
        <f t="shared" ref="Q11:Q17" si="6">B11</f>
        <v>用途</v>
      </c>
      <c r="R11" s="1554" t="s">
        <v>8</v>
      </c>
      <c r="S11" s="1555">
        <f t="shared" si="0"/>
        <v>100</v>
      </c>
      <c r="T11" s="1554" t="s">
        <v>8</v>
      </c>
      <c r="U11" s="1555">
        <f t="shared" si="1"/>
        <v>100</v>
      </c>
      <c r="V11" s="1554" t="s">
        <v>8</v>
      </c>
      <c r="W11" s="1555">
        <f t="shared" si="2"/>
        <v>100</v>
      </c>
      <c r="X11" s="1556"/>
      <c r="Y11" s="3337" t="s">
        <v>500</v>
      </c>
      <c r="Z11" s="1145" t="str">
        <f t="shared" ref="Z11:Z17" si="7">Q11</f>
        <v>用途</v>
      </c>
      <c r="AA11" s="1557">
        <f t="shared" si="3"/>
        <v>1</v>
      </c>
      <c r="AB11" s="1557">
        <f t="shared" si="4"/>
        <v>1</v>
      </c>
      <c r="AC11" s="1557">
        <f t="shared" si="5"/>
        <v>1</v>
      </c>
    </row>
    <row r="12" spans="1:30" s="1333" customFormat="1" ht="27">
      <c r="A12" s="2870"/>
      <c r="B12" s="2875" t="s">
        <v>2712</v>
      </c>
      <c r="C12" s="909">
        <f>项目基本情况!E19</f>
        <v>38.590000000000003</v>
      </c>
      <c r="D12" s="254">
        <v>100</v>
      </c>
      <c r="E12" s="528" t="s">
        <v>3537</v>
      </c>
      <c r="F12" s="254">
        <f>ROUND(100/'数据-取费表'!G16,0)</f>
        <v>101</v>
      </c>
      <c r="G12" s="529" t="s">
        <v>3537</v>
      </c>
      <c r="H12" s="254">
        <f>ROUND(100/'数据-取费表'!G16,0)</f>
        <v>101</v>
      </c>
      <c r="I12" s="529" t="s">
        <v>3537</v>
      </c>
      <c r="J12" s="254">
        <f>ROUND(100/'数据-取费表'!G16,0)</f>
        <v>101</v>
      </c>
      <c r="K12" s="530"/>
      <c r="L12" s="2123"/>
      <c r="M12" s="2117"/>
      <c r="N12" s="2117"/>
      <c r="O12" s="2124"/>
      <c r="P12" s="3391"/>
      <c r="Q12" s="1146" t="str">
        <f t="shared" si="6"/>
        <v>土地使用年限（年）</v>
      </c>
      <c r="R12" s="1554" t="s">
        <v>8</v>
      </c>
      <c r="S12" s="1555">
        <f t="shared" si="0"/>
        <v>101</v>
      </c>
      <c r="T12" s="1554" t="s">
        <v>8</v>
      </c>
      <c r="U12" s="1555">
        <f t="shared" si="1"/>
        <v>101</v>
      </c>
      <c r="V12" s="1554" t="s">
        <v>8</v>
      </c>
      <c r="W12" s="1555">
        <f t="shared" si="2"/>
        <v>101</v>
      </c>
      <c r="X12" s="1556"/>
      <c r="Y12" s="3337"/>
      <c r="Z12" s="1145" t="str">
        <f t="shared" si="7"/>
        <v>土地使用年限（年）</v>
      </c>
      <c r="AA12" s="1557">
        <f t="shared" si="3"/>
        <v>0.99009900990099009</v>
      </c>
      <c r="AB12" s="1557">
        <f t="shared" si="4"/>
        <v>0.99009900990099009</v>
      </c>
      <c r="AC12" s="1557">
        <f t="shared" si="5"/>
        <v>0.99009900990099009</v>
      </c>
    </row>
    <row r="13" spans="1:30" ht="20.25">
      <c r="A13" s="2871"/>
      <c r="B13" s="2875" t="s">
        <v>2713</v>
      </c>
      <c r="C13" s="533">
        <f>'数据-汇总表'!I4</f>
        <v>2</v>
      </c>
      <c r="D13" s="254">
        <v>100</v>
      </c>
      <c r="E13" s="532">
        <v>1.5</v>
      </c>
      <c r="F13" s="254">
        <f>LOOKUP(E13,82:82,83:83)-LOOKUP(C13,82:82,83:83)+100</f>
        <v>99</v>
      </c>
      <c r="G13" s="533">
        <v>1.5</v>
      </c>
      <c r="H13" s="254">
        <f>LOOKUP(G13,82:82,83:83)-LOOKUP(C13,82:82,83:83)+100</f>
        <v>99</v>
      </c>
      <c r="I13" s="532">
        <v>2</v>
      </c>
      <c r="J13" s="254">
        <f>LOOKUP(I13,82:82,83:83)-LOOKUP(C13,82:82,83:83)+100</f>
        <v>100</v>
      </c>
      <c r="K13" s="534">
        <v>1</v>
      </c>
      <c r="L13" s="2125"/>
      <c r="M13" s="2117"/>
      <c r="N13" s="2117"/>
      <c r="O13" s="2126"/>
      <c r="P13" s="3391"/>
      <c r="Q13" s="1146" t="str">
        <f t="shared" si="6"/>
        <v>容积率</v>
      </c>
      <c r="R13" s="1554" t="s">
        <v>8</v>
      </c>
      <c r="S13" s="1555">
        <f t="shared" si="0"/>
        <v>99</v>
      </c>
      <c r="T13" s="1554" t="s">
        <v>8</v>
      </c>
      <c r="U13" s="1555">
        <f t="shared" si="1"/>
        <v>99</v>
      </c>
      <c r="V13" s="1554" t="s">
        <v>8</v>
      </c>
      <c r="W13" s="1555">
        <f t="shared" si="2"/>
        <v>100</v>
      </c>
      <c r="X13" s="1556"/>
      <c r="Y13" s="3337"/>
      <c r="Z13" s="1145" t="str">
        <f t="shared" si="7"/>
        <v>容积率</v>
      </c>
      <c r="AA13" s="1557">
        <f t="shared" si="3"/>
        <v>1.0101010101010102</v>
      </c>
      <c r="AB13" s="1557">
        <f t="shared" si="4"/>
        <v>1.0101010101010102</v>
      </c>
      <c r="AC13" s="1557">
        <f t="shared" si="5"/>
        <v>1</v>
      </c>
    </row>
    <row r="14" spans="1:30" s="1215" customFormat="1" ht="20.25">
      <c r="A14" s="2868"/>
      <c r="B14" s="2877" t="s">
        <v>2714</v>
      </c>
      <c r="C14" s="2864" t="s">
        <v>2979</v>
      </c>
      <c r="D14" s="537">
        <v>100</v>
      </c>
      <c r="E14" s="1370" t="s">
        <v>2979</v>
      </c>
      <c r="F14" s="254">
        <f>SUMIF(84:84,E14,85:85)-SUMIF(84:84,C14,85:85)+100</f>
        <v>100</v>
      </c>
      <c r="G14" s="529" t="s">
        <v>3010</v>
      </c>
      <c r="H14" s="254">
        <f>SUMIF(84:84,G14,85:85)-SUMIF(84:84,C14,85:85)+100</f>
        <v>100</v>
      </c>
      <c r="I14" s="528" t="s">
        <v>2979</v>
      </c>
      <c r="J14" s="254">
        <f>SUMIF(84:84,I14,85:85)-SUMIF(84:84,C14,85:85)+100</f>
        <v>100</v>
      </c>
      <c r="K14" s="530"/>
      <c r="L14" s="2120"/>
      <c r="M14" s="2117"/>
      <c r="N14" s="2117"/>
      <c r="O14" s="2122"/>
      <c r="P14" s="3391"/>
      <c r="Q14" s="1146" t="str">
        <f t="shared" si="6"/>
        <v>配建</v>
      </c>
      <c r="R14" s="1554" t="s">
        <v>8</v>
      </c>
      <c r="S14" s="1555">
        <f t="shared" si="0"/>
        <v>100</v>
      </c>
      <c r="T14" s="1554" t="s">
        <v>8</v>
      </c>
      <c r="U14" s="1555">
        <f t="shared" si="1"/>
        <v>100</v>
      </c>
      <c r="V14" s="1554" t="s">
        <v>8</v>
      </c>
      <c r="W14" s="1555">
        <f t="shared" si="2"/>
        <v>100</v>
      </c>
      <c r="X14" s="1556"/>
      <c r="Y14" s="3337"/>
      <c r="Z14" s="1145" t="str">
        <f t="shared" si="7"/>
        <v>配建</v>
      </c>
      <c r="AA14" s="1557">
        <f>D14/F14</f>
        <v>1</v>
      </c>
      <c r="AB14" s="1557">
        <f>D14/H14</f>
        <v>1</v>
      </c>
      <c r="AC14" s="1557">
        <f>D14/J14</f>
        <v>1</v>
      </c>
    </row>
    <row r="15" spans="1:30" ht="20.25">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91"/>
      <c r="Q15" s="1146">
        <f t="shared" si="6"/>
        <v>0</v>
      </c>
      <c r="R15" s="1554" t="s">
        <v>8</v>
      </c>
      <c r="S15" s="1555">
        <f t="shared" si="0"/>
        <v>100</v>
      </c>
      <c r="T15" s="1554" t="s">
        <v>8</v>
      </c>
      <c r="U15" s="1555">
        <f t="shared" si="1"/>
        <v>100</v>
      </c>
      <c r="V15" s="1554" t="s">
        <v>8</v>
      </c>
      <c r="W15" s="1555">
        <f t="shared" si="2"/>
        <v>100</v>
      </c>
      <c r="X15" s="1556"/>
      <c r="Y15" s="3337"/>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91"/>
      <c r="Q16" s="1146">
        <f t="shared" si="6"/>
        <v>0</v>
      </c>
      <c r="R16" s="1554" t="s">
        <v>8</v>
      </c>
      <c r="S16" s="1555">
        <f t="shared" si="0"/>
        <v>100</v>
      </c>
      <c r="T16" s="1554" t="s">
        <v>8</v>
      </c>
      <c r="U16" s="1555">
        <f t="shared" si="1"/>
        <v>100</v>
      </c>
      <c r="V16" s="1554" t="s">
        <v>8</v>
      </c>
      <c r="W16" s="1555">
        <f t="shared" si="2"/>
        <v>100</v>
      </c>
      <c r="X16" s="1556"/>
      <c r="Y16" s="3337"/>
      <c r="Z16" s="1145">
        <f t="shared" si="7"/>
        <v>0</v>
      </c>
      <c r="AA16" s="1557">
        <f>D16/F16</f>
        <v>1</v>
      </c>
      <c r="AB16" s="1557">
        <f>D16/H16</f>
        <v>1</v>
      </c>
      <c r="AC16" s="1557">
        <f>D16/J16</f>
        <v>1</v>
      </c>
    </row>
    <row r="17" spans="1:29" ht="114">
      <c r="A17" s="2865" t="s">
        <v>2709</v>
      </c>
      <c r="B17" s="577" t="s">
        <v>260</v>
      </c>
      <c r="C17" s="547" t="str">
        <f>估价对象房地状况!C15</f>
        <v>估价对象位于南大港产业园，周边居住用地比例一般、居住小区规模和社区发展完善程度一般，综合评价居住社区成熟度一般</v>
      </c>
      <c r="D17" s="550">
        <v>100</v>
      </c>
      <c r="E17" s="3196" t="s">
        <v>3545</v>
      </c>
      <c r="F17" s="548">
        <f>SUMIF(90:90,E18,91:91)-SUMIF(90:90,C18,91:91)+100</f>
        <v>100</v>
      </c>
      <c r="G17" s="3196" t="s">
        <v>3540</v>
      </c>
      <c r="H17" s="548">
        <f>SUMIF(90:90,G18,91:91)-SUMIF(90:90,C18,91:91)+100</f>
        <v>100</v>
      </c>
      <c r="I17" s="3196" t="s">
        <v>3540</v>
      </c>
      <c r="J17" s="548">
        <f>SUMIF(90:90,I18,91:91)-SUMIF(90:90,C18,91:91)+100</f>
        <v>100</v>
      </c>
      <c r="K17" s="534">
        <v>2</v>
      </c>
      <c r="L17" s="2127"/>
      <c r="M17" s="2117"/>
      <c r="N17" s="2117"/>
      <c r="O17" s="2126"/>
      <c r="P17" s="3426" t="s">
        <v>504</v>
      </c>
      <c r="Q17" s="1558" t="str">
        <f t="shared" si="6"/>
        <v>居住社区成熟度</v>
      </c>
      <c r="R17" s="1559" t="s">
        <v>8</v>
      </c>
      <c r="S17" s="1560">
        <f t="shared" si="0"/>
        <v>100</v>
      </c>
      <c r="T17" s="1559" t="s">
        <v>8</v>
      </c>
      <c r="U17" s="1560">
        <f t="shared" si="1"/>
        <v>100</v>
      </c>
      <c r="V17" s="1559" t="s">
        <v>8</v>
      </c>
      <c r="W17" s="1560">
        <f t="shared" si="2"/>
        <v>100</v>
      </c>
      <c r="X17" s="1553"/>
      <c r="Y17" s="3426" t="s">
        <v>504</v>
      </c>
      <c r="Z17" s="1561" t="str">
        <f t="shared" si="7"/>
        <v>居住社区成熟度</v>
      </c>
      <c r="AA17" s="1562">
        <f t="shared" si="3"/>
        <v>1</v>
      </c>
      <c r="AB17" s="1562">
        <f t="shared" si="4"/>
        <v>1</v>
      </c>
      <c r="AC17" s="1562">
        <f t="shared" si="5"/>
        <v>1</v>
      </c>
    </row>
    <row r="18" spans="1:29" ht="20.25">
      <c r="A18" s="531"/>
      <c r="B18" s="552"/>
      <c r="C18" s="553" t="s">
        <v>3015</v>
      </c>
      <c r="D18" s="556"/>
      <c r="E18" s="557" t="s">
        <v>3015</v>
      </c>
      <c r="F18" s="554"/>
      <c r="G18" s="557" t="s">
        <v>3015</v>
      </c>
      <c r="H18" s="558"/>
      <c r="I18" s="557" t="s">
        <v>3015</v>
      </c>
      <c r="J18" s="554"/>
      <c r="K18" s="530"/>
      <c r="L18" s="2127"/>
      <c r="M18" s="2117"/>
      <c r="N18" s="2117"/>
      <c r="O18" s="2126"/>
      <c r="P18" s="3427"/>
      <c r="Q18" s="1558"/>
      <c r="R18" s="1559"/>
      <c r="S18" s="1560"/>
      <c r="T18" s="1559"/>
      <c r="U18" s="1560"/>
      <c r="V18" s="1559"/>
      <c r="W18" s="1560"/>
      <c r="X18" s="1553"/>
      <c r="Y18" s="3427"/>
      <c r="Z18" s="1561"/>
      <c r="AA18" s="1562">
        <v>1</v>
      </c>
      <c r="AB18" s="1562">
        <v>1</v>
      </c>
      <c r="AC18" s="1562">
        <v>1</v>
      </c>
    </row>
    <row r="19" spans="1:29" ht="85.5">
      <c r="A19" s="531"/>
      <c r="B19" s="559" t="s">
        <v>505</v>
      </c>
      <c r="C19" s="560" t="str">
        <f>估价对象房地状况!C16</f>
        <v>估价对象位于南大港产业园，周边商业氛围成熟度一般，人流量大一般，商业繁华度一般</v>
      </c>
      <c r="D19" s="562">
        <v>100</v>
      </c>
      <c r="E19" s="563" t="s">
        <v>3541</v>
      </c>
      <c r="F19" s="558">
        <f>SUMIF(92:92,E20,93:93)-SUMIF(92:92,C20,93:93)+100</f>
        <v>100</v>
      </c>
      <c r="G19" s="563" t="s">
        <v>3541</v>
      </c>
      <c r="H19" s="564">
        <f>SUMIF(92:92,G20,93:93)-SUMIF(92:92,C20,93:93)+100</f>
        <v>100</v>
      </c>
      <c r="I19" s="563" t="s">
        <v>3541</v>
      </c>
      <c r="J19" s="564">
        <f>SUMIF(92:92,I20,93:93)-SUMIF(92:92,C20,93:93)+100</f>
        <v>100</v>
      </c>
      <c r="K19" s="534">
        <v>1</v>
      </c>
      <c r="L19" s="2127"/>
      <c r="M19" s="2117"/>
      <c r="N19" s="2117"/>
      <c r="O19" s="2126"/>
      <c r="P19" s="3427"/>
      <c r="Q19" s="1558" t="str">
        <f>B19</f>
        <v>商业繁华度</v>
      </c>
      <c r="R19" s="1559" t="s">
        <v>8</v>
      </c>
      <c r="S19" s="1560">
        <f>F19</f>
        <v>100</v>
      </c>
      <c r="T19" s="1559" t="s">
        <v>8</v>
      </c>
      <c r="U19" s="1560">
        <f>H19</f>
        <v>100</v>
      </c>
      <c r="V19" s="1559" t="s">
        <v>8</v>
      </c>
      <c r="W19" s="1560">
        <f>J19</f>
        <v>100</v>
      </c>
      <c r="X19" s="1553"/>
      <c r="Y19" s="3427"/>
      <c r="Z19" s="1561" t="str">
        <f>Q19</f>
        <v>商业繁华度</v>
      </c>
      <c r="AA19" s="1562">
        <f t="shared" si="3"/>
        <v>1</v>
      </c>
      <c r="AB19" s="1562">
        <f t="shared" si="4"/>
        <v>1</v>
      </c>
      <c r="AC19" s="1562">
        <f t="shared" si="5"/>
        <v>1</v>
      </c>
    </row>
    <row r="20" spans="1:29" ht="20.25">
      <c r="A20" s="531"/>
      <c r="B20" s="565"/>
      <c r="C20" s="566" t="s">
        <v>3015</v>
      </c>
      <c r="D20" s="562"/>
      <c r="E20" s="568" t="s">
        <v>3015</v>
      </c>
      <c r="F20" s="558"/>
      <c r="G20" s="568" t="s">
        <v>3015</v>
      </c>
      <c r="H20" s="554"/>
      <c r="I20" s="568" t="s">
        <v>3015</v>
      </c>
      <c r="J20" s="554"/>
      <c r="K20" s="530"/>
      <c r="L20" s="2127"/>
      <c r="M20" s="2117"/>
      <c r="N20" s="2117"/>
      <c r="O20" s="2126"/>
      <c r="P20" s="3427"/>
      <c r="Q20" s="1558"/>
      <c r="R20" s="1559"/>
      <c r="S20" s="1560"/>
      <c r="T20" s="1559"/>
      <c r="U20" s="1560"/>
      <c r="V20" s="1559"/>
      <c r="W20" s="1560"/>
      <c r="X20" s="1553"/>
      <c r="Y20" s="3427"/>
      <c r="Z20" s="1561"/>
      <c r="AA20" s="1562">
        <v>1</v>
      </c>
      <c r="AB20" s="1562">
        <v>1</v>
      </c>
      <c r="AC20" s="1562">
        <v>1</v>
      </c>
    </row>
    <row r="21" spans="1:29" ht="20.25">
      <c r="A21" s="531"/>
      <c r="B21" s="559" t="s">
        <v>506</v>
      </c>
      <c r="C21" s="560" t="str">
        <f>估价对象房地状况!C17</f>
        <v>——</v>
      </c>
      <c r="D21" s="570">
        <v>100</v>
      </c>
      <c r="E21" s="571" t="s">
        <v>915</v>
      </c>
      <c r="F21" s="564">
        <f>SUMIF(94:94,E22,95:95)-SUMIF(94:94,C22,95:95)+100</f>
        <v>100</v>
      </c>
      <c r="G21" s="571" t="s">
        <v>915</v>
      </c>
      <c r="H21" s="558">
        <f>SUMIF(94:94,G22,95:95)-SUMIF(94:94,C22,95:95)+100</f>
        <v>100</v>
      </c>
      <c r="I21" s="571" t="s">
        <v>915</v>
      </c>
      <c r="J21" s="558">
        <f>SUMIF(94:94,I22,95:95)-SUMIF(94:94,C22,95:95)+100</f>
        <v>100</v>
      </c>
      <c r="K21" s="534">
        <v>1</v>
      </c>
      <c r="L21" s="2127"/>
      <c r="M21" s="2117"/>
      <c r="N21" s="2117"/>
      <c r="O21" s="2126"/>
      <c r="P21" s="3427"/>
      <c r="Q21" s="1558" t="str">
        <f>B21</f>
        <v>办公集聚程度</v>
      </c>
      <c r="R21" s="1559" t="s">
        <v>8</v>
      </c>
      <c r="S21" s="1560">
        <f>F21</f>
        <v>100</v>
      </c>
      <c r="T21" s="1559" t="s">
        <v>8</v>
      </c>
      <c r="U21" s="1560">
        <f>H21</f>
        <v>100</v>
      </c>
      <c r="V21" s="1559" t="s">
        <v>8</v>
      </c>
      <c r="W21" s="1560">
        <f>J21</f>
        <v>100</v>
      </c>
      <c r="X21" s="1553"/>
      <c r="Y21" s="3427"/>
      <c r="Z21" s="1561" t="str">
        <f>Q21</f>
        <v>办公集聚程度</v>
      </c>
      <c r="AA21" s="1562">
        <f t="shared" si="3"/>
        <v>1</v>
      </c>
      <c r="AB21" s="1562">
        <f t="shared" si="4"/>
        <v>1</v>
      </c>
      <c r="AC21" s="1562">
        <f t="shared" si="5"/>
        <v>1</v>
      </c>
    </row>
    <row r="22" spans="1:29" ht="20.25">
      <c r="A22" s="531"/>
      <c r="B22" s="565"/>
      <c r="C22" s="553" t="s">
        <v>2991</v>
      </c>
      <c r="D22" s="556"/>
      <c r="E22" s="557" t="s">
        <v>2991</v>
      </c>
      <c r="F22" s="554"/>
      <c r="G22" s="557" t="s">
        <v>2991</v>
      </c>
      <c r="H22" s="554"/>
      <c r="I22" s="557" t="s">
        <v>2991</v>
      </c>
      <c r="J22" s="554"/>
      <c r="K22" s="530"/>
      <c r="L22" s="2127"/>
      <c r="M22" s="2117"/>
      <c r="N22" s="2117"/>
      <c r="O22" s="2126"/>
      <c r="P22" s="3427"/>
      <c r="Q22" s="1558"/>
      <c r="R22" s="1559"/>
      <c r="S22" s="1560"/>
      <c r="T22" s="1559"/>
      <c r="U22" s="1560"/>
      <c r="V22" s="1559"/>
      <c r="W22" s="1560"/>
      <c r="X22" s="1553"/>
      <c r="Y22" s="3427"/>
      <c r="Z22" s="1561"/>
      <c r="AA22" s="1562">
        <v>1</v>
      </c>
      <c r="AB22" s="1562">
        <v>1</v>
      </c>
      <c r="AC22" s="1562">
        <v>1</v>
      </c>
    </row>
    <row r="23" spans="1:29" ht="99.75">
      <c r="A23" s="531"/>
      <c r="B23" s="559" t="s">
        <v>507</v>
      </c>
      <c r="C23" s="572" t="str">
        <f>估价对象房地状况!C18</f>
        <v>估价对象周边道路状况一般、公共交通通达情况一般、停车便捷程度较好，综合评价交通便捷度一般</v>
      </c>
      <c r="D23" s="562">
        <v>100</v>
      </c>
      <c r="E23" s="3197" t="s">
        <v>3546</v>
      </c>
      <c r="F23" s="564">
        <f>SUMIF(96:96,E24,97:97)-SUMIF(96:96,C24,97:97)+100</f>
        <v>101</v>
      </c>
      <c r="G23" s="3197" t="s">
        <v>3546</v>
      </c>
      <c r="H23" s="558">
        <f>SUMIF(96:96,G24,97:97)-SUMIF(96:96,C24,97:97)+100</f>
        <v>101</v>
      </c>
      <c r="I23" s="3197" t="s">
        <v>3546</v>
      </c>
      <c r="J23" s="558">
        <f>SUMIF(96:96,I24,97:97)-SUMIF(96:96,C24,97:97)+100</f>
        <v>101</v>
      </c>
      <c r="K23" s="534">
        <v>1</v>
      </c>
      <c r="L23" s="2127"/>
      <c r="M23" s="2117"/>
      <c r="N23" s="2117"/>
      <c r="O23" s="2126"/>
      <c r="P23" s="3427"/>
      <c r="Q23" s="1558" t="str">
        <f>B23</f>
        <v>交通便捷度</v>
      </c>
      <c r="R23" s="1559" t="s">
        <v>8</v>
      </c>
      <c r="S23" s="1560">
        <f>F23</f>
        <v>101</v>
      </c>
      <c r="T23" s="1559" t="s">
        <v>8</v>
      </c>
      <c r="U23" s="1560">
        <f>H23</f>
        <v>101</v>
      </c>
      <c r="V23" s="1559" t="s">
        <v>8</v>
      </c>
      <c r="W23" s="1560">
        <f>J23</f>
        <v>101</v>
      </c>
      <c r="X23" s="1553"/>
      <c r="Y23" s="3427"/>
      <c r="Z23" s="1561" t="str">
        <f>Q23</f>
        <v>交通便捷度</v>
      </c>
      <c r="AA23" s="1562">
        <f t="shared" si="3"/>
        <v>0.99009900990099009</v>
      </c>
      <c r="AB23" s="1562">
        <f t="shared" si="4"/>
        <v>0.99009900990099009</v>
      </c>
      <c r="AC23" s="1562">
        <f t="shared" si="5"/>
        <v>0.99009900990099009</v>
      </c>
    </row>
    <row r="24" spans="1:29" ht="20.25">
      <c r="A24" s="531"/>
      <c r="B24" s="577"/>
      <c r="C24" s="553" t="s">
        <v>3015</v>
      </c>
      <c r="D24" s="556"/>
      <c r="E24" s="553" t="s">
        <v>2982</v>
      </c>
      <c r="F24" s="554"/>
      <c r="G24" s="553" t="s">
        <v>2982</v>
      </c>
      <c r="H24" s="554"/>
      <c r="I24" s="553" t="s">
        <v>2982</v>
      </c>
      <c r="J24" s="554"/>
      <c r="K24" s="530"/>
      <c r="L24" s="2127"/>
      <c r="M24" s="2117"/>
      <c r="N24" s="2117"/>
      <c r="O24" s="2126"/>
      <c r="P24" s="3427"/>
      <c r="Q24" s="1558"/>
      <c r="R24" s="1559"/>
      <c r="S24" s="1560"/>
      <c r="T24" s="1559"/>
      <c r="U24" s="1560"/>
      <c r="V24" s="1559"/>
      <c r="W24" s="1560"/>
      <c r="X24" s="1553"/>
      <c r="Y24" s="3427"/>
      <c r="Z24" s="1561"/>
      <c r="AA24" s="1562">
        <v>1</v>
      </c>
      <c r="AB24" s="1562">
        <v>1</v>
      </c>
      <c r="AC24" s="1562">
        <v>1</v>
      </c>
    </row>
    <row r="25" spans="1:29" ht="27">
      <c r="A25" s="514"/>
      <c r="B25" s="258" t="s">
        <v>508</v>
      </c>
      <c r="C25" s="572" t="str">
        <f>估价对象房地状况!C19</f>
        <v>较一致</v>
      </c>
      <c r="D25" s="562">
        <v>100</v>
      </c>
      <c r="E25" s="563" t="s">
        <v>2988</v>
      </c>
      <c r="F25" s="564">
        <f>SUMIF(98:98,E26,99:99)-SUMIF(98:98,C26,99:99)+100</f>
        <v>100</v>
      </c>
      <c r="G25" s="563" t="s">
        <v>2988</v>
      </c>
      <c r="H25" s="558">
        <f>SUMIF(98:98,G26,99:99)-SUMIF(98:98,C26,99:99)+100</f>
        <v>100</v>
      </c>
      <c r="I25" s="563" t="s">
        <v>2988</v>
      </c>
      <c r="J25" s="558">
        <f>SUMIF(98:98,I26,99:99)-SUMIF(98:98,C26,99:99)+100</f>
        <v>100</v>
      </c>
      <c r="K25" s="534">
        <v>1</v>
      </c>
      <c r="L25" s="2127"/>
      <c r="M25" s="2117"/>
      <c r="N25" s="2117"/>
      <c r="O25" s="2126"/>
      <c r="P25" s="3427"/>
      <c r="Q25" s="1558" t="str">
        <f t="shared" ref="Q25:Q39" si="8">B25</f>
        <v>区域土地利用方向</v>
      </c>
      <c r="R25" s="1559" t="s">
        <v>8</v>
      </c>
      <c r="S25" s="1560">
        <f>F25</f>
        <v>100</v>
      </c>
      <c r="T25" s="1559" t="s">
        <v>8</v>
      </c>
      <c r="U25" s="1560">
        <f>H25</f>
        <v>100</v>
      </c>
      <c r="V25" s="1559" t="s">
        <v>8</v>
      </c>
      <c r="W25" s="1560">
        <f>J25</f>
        <v>100</v>
      </c>
      <c r="X25" s="1553"/>
      <c r="Y25" s="3427"/>
      <c r="Z25" s="1561" t="str">
        <f>Q25</f>
        <v>区域土地利用方向</v>
      </c>
      <c r="AA25" s="1562">
        <f t="shared" si="3"/>
        <v>1</v>
      </c>
      <c r="AB25" s="1562">
        <f t="shared" si="4"/>
        <v>1</v>
      </c>
      <c r="AC25" s="1562">
        <f t="shared" si="5"/>
        <v>1</v>
      </c>
    </row>
    <row r="26" spans="1:29" ht="20.25">
      <c r="A26" s="514"/>
      <c r="B26" s="1006"/>
      <c r="C26" s="553" t="s">
        <v>2982</v>
      </c>
      <c r="D26" s="556"/>
      <c r="E26" s="557" t="s">
        <v>2982</v>
      </c>
      <c r="F26" s="554"/>
      <c r="G26" s="557" t="s">
        <v>2982</v>
      </c>
      <c r="H26" s="554"/>
      <c r="I26" s="557" t="s">
        <v>2982</v>
      </c>
      <c r="J26" s="554"/>
      <c r="K26" s="530"/>
      <c r="L26" s="2127"/>
      <c r="M26" s="2117"/>
      <c r="N26" s="2117"/>
      <c r="O26" s="2126"/>
      <c r="P26" s="3427"/>
      <c r="Q26" s="1558"/>
      <c r="R26" s="1559"/>
      <c r="S26" s="1560"/>
      <c r="T26" s="1559"/>
      <c r="U26" s="1560"/>
      <c r="V26" s="1559"/>
      <c r="W26" s="1560"/>
      <c r="X26" s="1553"/>
      <c r="Y26" s="3427"/>
      <c r="Z26" s="1561"/>
      <c r="AA26" s="1562"/>
      <c r="AB26" s="1562"/>
      <c r="AC26" s="1562"/>
    </row>
    <row r="27" spans="1:29" ht="57">
      <c r="A27" s="514"/>
      <c r="B27" s="577" t="s">
        <v>509</v>
      </c>
      <c r="C27" s="560" t="str">
        <f>估价对象房地状况!C20</f>
        <v>区域自然环境：好；人文环境：一般；综合评价环境状况好</v>
      </c>
      <c r="D27" s="562">
        <v>100</v>
      </c>
      <c r="E27" s="3197" t="s">
        <v>3542</v>
      </c>
      <c r="F27" s="558">
        <f>SUMIF(100:100,E28,101:101)-SUMIF(100:100,C28,101:101)+100</f>
        <v>100</v>
      </c>
      <c r="G27" s="3197" t="s">
        <v>3542</v>
      </c>
      <c r="H27" s="558">
        <f>SUMIF(100:100,G28,101:101)-SUMIF(100:100,C28,101:101)+100</f>
        <v>100</v>
      </c>
      <c r="I27" s="3197" t="s">
        <v>3542</v>
      </c>
      <c r="J27" s="558">
        <f>SUMIF(100:100,I28,101:101)-SUMIF(100:100,C28,101:101)+100</f>
        <v>100</v>
      </c>
      <c r="K27" s="534">
        <v>2</v>
      </c>
      <c r="L27" s="2127"/>
      <c r="M27" s="2117"/>
      <c r="N27" s="2117"/>
      <c r="O27" s="2126"/>
      <c r="P27" s="3427"/>
      <c r="Q27" s="1558" t="str">
        <f t="shared" si="8"/>
        <v>自然及人文环境状况</v>
      </c>
      <c r="R27" s="1559" t="s">
        <v>8</v>
      </c>
      <c r="S27" s="1560">
        <f>F27</f>
        <v>100</v>
      </c>
      <c r="T27" s="1559" t="s">
        <v>8</v>
      </c>
      <c r="U27" s="1560">
        <f>H27</f>
        <v>100</v>
      </c>
      <c r="V27" s="1559" t="s">
        <v>8</v>
      </c>
      <c r="W27" s="1560">
        <f>J27</f>
        <v>100</v>
      </c>
      <c r="X27" s="1553"/>
      <c r="Y27" s="3427"/>
      <c r="Z27" s="1561" t="str">
        <f>Q27</f>
        <v>自然及人文环境状况</v>
      </c>
      <c r="AA27" s="1562">
        <f t="shared" si="3"/>
        <v>1</v>
      </c>
      <c r="AB27" s="1562">
        <f t="shared" si="4"/>
        <v>1</v>
      </c>
      <c r="AC27" s="1562">
        <f t="shared" si="5"/>
        <v>1</v>
      </c>
    </row>
    <row r="28" spans="1:29" ht="20.25">
      <c r="A28" s="514"/>
      <c r="B28" s="565"/>
      <c r="C28" s="553" t="s">
        <v>3539</v>
      </c>
      <c r="D28" s="556"/>
      <c r="E28" s="575" t="s">
        <v>3539</v>
      </c>
      <c r="F28" s="554"/>
      <c r="G28" s="575" t="s">
        <v>3539</v>
      </c>
      <c r="H28" s="554"/>
      <c r="I28" s="575" t="s">
        <v>3539</v>
      </c>
      <c r="J28" s="554"/>
      <c r="K28" s="530"/>
      <c r="L28" s="2127"/>
      <c r="M28" s="2117"/>
      <c r="N28" s="2117"/>
      <c r="O28" s="2126"/>
      <c r="P28" s="3427"/>
      <c r="Q28" s="1558"/>
      <c r="R28" s="1559"/>
      <c r="S28" s="1560"/>
      <c r="T28" s="1559"/>
      <c r="U28" s="1560"/>
      <c r="V28" s="1559"/>
      <c r="W28" s="1560"/>
      <c r="X28" s="1553"/>
      <c r="Y28" s="3427"/>
      <c r="Z28" s="1561"/>
      <c r="AA28" s="1562">
        <v>1</v>
      </c>
      <c r="AB28" s="1562">
        <v>1</v>
      </c>
      <c r="AC28" s="1562">
        <v>1</v>
      </c>
    </row>
    <row r="29" spans="1:29" s="1215" customFormat="1" ht="42.75">
      <c r="A29" s="576"/>
      <c r="B29" s="2555" t="s">
        <v>2503</v>
      </c>
      <c r="C29" s="572" t="str">
        <f>估价对象房地状况!C21</f>
        <v>估价对象所在区域公共配套设施齐备情况一般</v>
      </c>
      <c r="D29" s="562">
        <v>100</v>
      </c>
      <c r="E29" s="3197" t="s">
        <v>3543</v>
      </c>
      <c r="F29" s="558">
        <f>SUMIF(102:102,E30,103:103)-SUMIF(102:102,C30,103:103)+100</f>
        <v>100</v>
      </c>
      <c r="G29" s="3197" t="s">
        <v>3543</v>
      </c>
      <c r="H29" s="558">
        <f>SUMIF(102:102,G30,103:103)-SUMIF(102:102,C30,103:103)+100</f>
        <v>100</v>
      </c>
      <c r="I29" s="3197" t="s">
        <v>3543</v>
      </c>
      <c r="J29" s="558">
        <f>SUMIF(102:102,I30,103:103)-SUMIF(102:102,C30,103:103)+100</f>
        <v>100</v>
      </c>
      <c r="K29" s="534">
        <v>1</v>
      </c>
      <c r="L29" s="2120"/>
      <c r="M29" s="2117"/>
      <c r="N29" s="2117"/>
      <c r="O29" s="2122"/>
      <c r="P29" s="3427"/>
      <c r="Q29" s="1146" t="str">
        <f t="shared" si="8"/>
        <v>公共配套设施</v>
      </c>
      <c r="R29" s="1554" t="s">
        <v>8</v>
      </c>
      <c r="S29" s="1555">
        <f>F29</f>
        <v>100</v>
      </c>
      <c r="T29" s="1554" t="s">
        <v>8</v>
      </c>
      <c r="U29" s="1555">
        <f>H29</f>
        <v>100</v>
      </c>
      <c r="V29" s="1554" t="s">
        <v>8</v>
      </c>
      <c r="W29" s="1555">
        <f>J29</f>
        <v>100</v>
      </c>
      <c r="X29" s="1556"/>
      <c r="Y29" s="3427"/>
      <c r="Z29" s="1145" t="str">
        <f>Q29</f>
        <v>公共配套设施</v>
      </c>
      <c r="AA29" s="1562">
        <f>D29/F29</f>
        <v>1</v>
      </c>
      <c r="AB29" s="1562">
        <f>D29/H29</f>
        <v>1</v>
      </c>
      <c r="AC29" s="1562">
        <f>D29/J29</f>
        <v>1</v>
      </c>
    </row>
    <row r="30" spans="1:29" s="1215" customFormat="1" ht="20.25">
      <c r="A30" s="576"/>
      <c r="B30" s="565"/>
      <c r="C30" s="578" t="s">
        <v>3015</v>
      </c>
      <c r="D30" s="556"/>
      <c r="E30" s="575" t="s">
        <v>3015</v>
      </c>
      <c r="F30" s="554"/>
      <c r="G30" s="575" t="s">
        <v>3015</v>
      </c>
      <c r="H30" s="554"/>
      <c r="I30" s="575" t="s">
        <v>3015</v>
      </c>
      <c r="J30" s="554"/>
      <c r="K30" s="530"/>
      <c r="L30" s="2120"/>
      <c r="M30" s="2117"/>
      <c r="N30" s="2117"/>
      <c r="O30" s="2122"/>
      <c r="P30" s="3427"/>
      <c r="Q30" s="1146"/>
      <c r="R30" s="1554"/>
      <c r="S30" s="1555"/>
      <c r="T30" s="1554"/>
      <c r="U30" s="1555"/>
      <c r="V30" s="1554"/>
      <c r="W30" s="1555"/>
      <c r="X30" s="1556"/>
      <c r="Y30" s="3427"/>
      <c r="Z30" s="1145"/>
      <c r="AA30" s="1562">
        <v>1</v>
      </c>
      <c r="AB30" s="1562">
        <v>1</v>
      </c>
      <c r="AC30" s="1562">
        <v>1</v>
      </c>
    </row>
    <row r="31" spans="1:29" s="1215" customFormat="1" ht="42.75">
      <c r="A31" s="576"/>
      <c r="B31" s="2555" t="s">
        <v>2504</v>
      </c>
      <c r="C31" s="572" t="str">
        <f>估价对象房地状况!C22</f>
        <v>估价对象所在区域基础设施水平一般</v>
      </c>
      <c r="D31" s="562">
        <v>100</v>
      </c>
      <c r="E31" s="563" t="s">
        <v>3544</v>
      </c>
      <c r="F31" s="558">
        <f>SUMIF(104:104,E32,105:105)-SUMIF(104:104,C32,105:105)+100</f>
        <v>100</v>
      </c>
      <c r="G31" s="563" t="s">
        <v>3544</v>
      </c>
      <c r="H31" s="558">
        <f>SUMIF(104:104,G32,105:105)-SUMIF(104:104,C32,105:105)+100</f>
        <v>100</v>
      </c>
      <c r="I31" s="563" t="s">
        <v>3544</v>
      </c>
      <c r="J31" s="558">
        <f>SUMIF(104:104,I32,105:105)-SUMIF(104:104,C32,105:105)+100</f>
        <v>100</v>
      </c>
      <c r="K31" s="534">
        <v>1</v>
      </c>
      <c r="L31" s="2120"/>
      <c r="M31" s="2117"/>
      <c r="N31" s="2117"/>
      <c r="O31" s="2122"/>
      <c r="P31" s="3427"/>
      <c r="Q31" s="2542" t="str">
        <f t="shared" ref="Q31" si="9">B31</f>
        <v>基础设施水平</v>
      </c>
      <c r="R31" s="1554" t="s">
        <v>8</v>
      </c>
      <c r="S31" s="1555">
        <f>F31</f>
        <v>100</v>
      </c>
      <c r="T31" s="1554" t="s">
        <v>8</v>
      </c>
      <c r="U31" s="1555">
        <f>H31</f>
        <v>100</v>
      </c>
      <c r="V31" s="1554" t="s">
        <v>8</v>
      </c>
      <c r="W31" s="1555">
        <f>J31</f>
        <v>100</v>
      </c>
      <c r="X31" s="1556"/>
      <c r="Y31" s="3427"/>
      <c r="Z31" s="2539" t="str">
        <f>Q31</f>
        <v>基础设施水平</v>
      </c>
      <c r="AA31" s="1562">
        <f>D31/F31</f>
        <v>1</v>
      </c>
      <c r="AB31" s="1562">
        <f>D31/H31</f>
        <v>1</v>
      </c>
      <c r="AC31" s="1562">
        <f>D31/J31</f>
        <v>1</v>
      </c>
    </row>
    <row r="32" spans="1:29" s="1215" customFormat="1" ht="20.25">
      <c r="A32" s="576"/>
      <c r="B32" s="565"/>
      <c r="C32" s="578" t="s">
        <v>2974</v>
      </c>
      <c r="D32" s="556"/>
      <c r="E32" s="2556" t="s">
        <v>2974</v>
      </c>
      <c r="F32" s="554"/>
      <c r="G32" s="2556" t="s">
        <v>2974</v>
      </c>
      <c r="H32" s="554"/>
      <c r="I32" s="2556" t="s">
        <v>2974</v>
      </c>
      <c r="J32" s="554"/>
      <c r="K32" s="530"/>
      <c r="L32" s="2120"/>
      <c r="M32" s="2117"/>
      <c r="N32" s="2117"/>
      <c r="O32" s="2122"/>
      <c r="P32" s="3427"/>
      <c r="Q32" s="2542"/>
      <c r="R32" s="1554"/>
      <c r="S32" s="1555"/>
      <c r="T32" s="1554"/>
      <c r="U32" s="1555"/>
      <c r="V32" s="1554"/>
      <c r="W32" s="1555"/>
      <c r="X32" s="1556"/>
      <c r="Y32" s="3427"/>
      <c r="Z32" s="2539"/>
      <c r="AA32" s="1562">
        <v>1</v>
      </c>
      <c r="AB32" s="1562">
        <v>1</v>
      </c>
      <c r="AC32" s="1562">
        <v>1</v>
      </c>
    </row>
    <row r="33" spans="1:29" ht="20.25">
      <c r="A33" s="531"/>
      <c r="B33" s="565" t="s">
        <v>511</v>
      </c>
      <c r="C33" s="579" t="s">
        <v>2987</v>
      </c>
      <c r="D33" s="574">
        <v>100</v>
      </c>
      <c r="E33" s="582" t="s">
        <v>2987</v>
      </c>
      <c r="F33" s="539">
        <f>SUMIF(106:106,E33,107:107)-SUMIF(106:106,C33,107:107)+100</f>
        <v>100</v>
      </c>
      <c r="G33" s="582" t="s">
        <v>2987</v>
      </c>
      <c r="H33" s="539">
        <f>SUMIF(106:106,G33,107:107)-SUMIF(106:106,C33,107:107)+100</f>
        <v>100</v>
      </c>
      <c r="I33" s="582" t="s">
        <v>2987</v>
      </c>
      <c r="J33" s="539">
        <f>SUMIF(106:106,I33,107:107)-SUMIF(106:106,C33,107:107)+100</f>
        <v>100</v>
      </c>
      <c r="K33" s="534">
        <v>1</v>
      </c>
      <c r="L33" s="2127"/>
      <c r="M33" s="2117"/>
      <c r="N33" s="2117"/>
      <c r="O33" s="2126"/>
      <c r="P33" s="342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7"/>
      <c r="Z33" s="1561" t="str">
        <f t="shared" ref="Z33:Z47" si="13">Q33</f>
        <v>临街状况</v>
      </c>
      <c r="AA33" s="1562">
        <f t="shared" si="3"/>
        <v>1</v>
      </c>
      <c r="AB33" s="1562">
        <f t="shared" si="4"/>
        <v>1</v>
      </c>
      <c r="AC33" s="1562">
        <f t="shared" si="5"/>
        <v>1</v>
      </c>
    </row>
    <row r="34" spans="1:29" ht="27">
      <c r="A34" s="531"/>
      <c r="B34" s="577" t="s">
        <v>512</v>
      </c>
      <c r="C34" s="3188"/>
      <c r="D34" s="562">
        <v>100</v>
      </c>
      <c r="E34" s="3197"/>
      <c r="F34" s="558">
        <f>SUMIF(108:108,E35,109:109)-SUMIF(108:108,C35,109:109)+100</f>
        <v>100</v>
      </c>
      <c r="G34" s="3197"/>
      <c r="H34" s="558">
        <f>SUMIF(108:108,G35,109:109)-SUMIF(108:108,C35,109:109)+100</f>
        <v>100</v>
      </c>
      <c r="I34" s="3197"/>
      <c r="J34" s="558">
        <f>SUMIF(108:108,I35,109:109)-SUMIF(108:108,C35,109:109)+100</f>
        <v>100</v>
      </c>
      <c r="K34" s="534">
        <v>1</v>
      </c>
      <c r="L34" s="2127"/>
      <c r="M34" s="2117"/>
      <c r="N34" s="2117"/>
      <c r="O34" s="2126"/>
      <c r="P34" s="3427"/>
      <c r="Q34" s="1558" t="str">
        <f t="shared" si="8"/>
        <v>毗邻道路的类型与等级</v>
      </c>
      <c r="R34" s="1559" t="s">
        <v>8</v>
      </c>
      <c r="S34" s="1560">
        <f t="shared" si="10"/>
        <v>100</v>
      </c>
      <c r="T34" s="1559" t="s">
        <v>8</v>
      </c>
      <c r="U34" s="1560">
        <f t="shared" si="11"/>
        <v>100</v>
      </c>
      <c r="V34" s="1559" t="s">
        <v>8</v>
      </c>
      <c r="W34" s="1560">
        <f t="shared" si="12"/>
        <v>100</v>
      </c>
      <c r="X34" s="1553"/>
      <c r="Y34" s="3427"/>
      <c r="Z34" s="1561" t="str">
        <f t="shared" si="13"/>
        <v>毗邻道路的类型与等级</v>
      </c>
      <c r="AA34" s="1562">
        <f t="shared" si="3"/>
        <v>1</v>
      </c>
      <c r="AB34" s="1562">
        <f t="shared" si="4"/>
        <v>1</v>
      </c>
      <c r="AC34" s="1562">
        <f t="shared" si="5"/>
        <v>1</v>
      </c>
    </row>
    <row r="35" spans="1:29" ht="20.25">
      <c r="A35" s="531"/>
      <c r="B35" s="565"/>
      <c r="C35" s="553" t="s">
        <v>3538</v>
      </c>
      <c r="D35" s="556"/>
      <c r="E35" s="575" t="s">
        <v>3538</v>
      </c>
      <c r="F35" s="554"/>
      <c r="G35" s="575" t="s">
        <v>3538</v>
      </c>
      <c r="H35" s="554"/>
      <c r="I35" s="575" t="s">
        <v>3538</v>
      </c>
      <c r="J35" s="554"/>
      <c r="K35" s="580"/>
      <c r="L35" s="2127"/>
      <c r="M35" s="2117"/>
      <c r="N35" s="2117"/>
      <c r="O35" s="2126"/>
      <c r="P35" s="3427"/>
      <c r="Q35" s="1558"/>
      <c r="R35" s="1559"/>
      <c r="S35" s="1560"/>
      <c r="T35" s="1559"/>
      <c r="U35" s="1560"/>
      <c r="V35" s="1559"/>
      <c r="W35" s="1560"/>
      <c r="X35" s="1553"/>
      <c r="Y35" s="3427"/>
      <c r="Z35" s="1561"/>
      <c r="AA35" s="1562">
        <v>1</v>
      </c>
      <c r="AB35" s="1562">
        <v>1</v>
      </c>
      <c r="AC35" s="1562">
        <v>1</v>
      </c>
    </row>
    <row r="36" spans="1:29" ht="20.25">
      <c r="A36" s="531"/>
      <c r="B36" s="581" t="s">
        <v>513</v>
      </c>
      <c r="C36" s="579" t="s">
        <v>915</v>
      </c>
      <c r="D36" s="574">
        <v>100</v>
      </c>
      <c r="E36" s="579" t="s">
        <v>915</v>
      </c>
      <c r="F36" s="539">
        <f>SUMIF(110:110,E36,111:111)-SUMIF(110:110,C36,111:111)+100</f>
        <v>100</v>
      </c>
      <c r="G36" s="579" t="s">
        <v>915</v>
      </c>
      <c r="H36" s="539">
        <f>SUMIF(110:110,G36,111:111)-SUMIF(110:110,C36,111:111)+100</f>
        <v>100</v>
      </c>
      <c r="I36" s="579" t="s">
        <v>915</v>
      </c>
      <c r="J36" s="539">
        <f>SUMIF(110:110,I36,111:111)-SUMIF(110:110,C36,111:111)+100</f>
        <v>100</v>
      </c>
      <c r="K36" s="583">
        <v>1</v>
      </c>
      <c r="L36" s="2127"/>
      <c r="M36" s="2117"/>
      <c r="N36" s="2117"/>
      <c r="O36" s="2126"/>
      <c r="P36" s="3427"/>
      <c r="Q36" s="1558" t="str">
        <f t="shared" si="8"/>
        <v>土地级别</v>
      </c>
      <c r="R36" s="1559" t="s">
        <v>8</v>
      </c>
      <c r="S36" s="1560">
        <f t="shared" si="10"/>
        <v>100</v>
      </c>
      <c r="T36" s="1559" t="s">
        <v>8</v>
      </c>
      <c r="U36" s="1560">
        <f t="shared" si="11"/>
        <v>100</v>
      </c>
      <c r="V36" s="1559" t="s">
        <v>8</v>
      </c>
      <c r="W36" s="1560">
        <f t="shared" si="12"/>
        <v>100</v>
      </c>
      <c r="X36" s="1553"/>
      <c r="Y36" s="3427"/>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41"/>
      <c r="H37" s="539">
        <f>SUMIF(112:112,G37,113:113)-SUMIF(112:112,C37,113:113)+100</f>
        <v>100</v>
      </c>
      <c r="I37" s="541"/>
      <c r="J37" s="539">
        <f>SUMIF(112:112,I37,113:113)-SUMIF(112:112,C37,113:113)+100</f>
        <v>100</v>
      </c>
      <c r="K37" s="580"/>
      <c r="L37" s="2127"/>
      <c r="M37" s="2117"/>
      <c r="N37" s="2117"/>
      <c r="O37" s="2126"/>
      <c r="P37" s="3427"/>
      <c r="Q37" s="1558">
        <f t="shared" si="8"/>
        <v>0</v>
      </c>
      <c r="R37" s="1559" t="s">
        <v>8</v>
      </c>
      <c r="S37" s="1560">
        <f t="shared" si="10"/>
        <v>100</v>
      </c>
      <c r="T37" s="1559" t="s">
        <v>8</v>
      </c>
      <c r="U37" s="1560">
        <f t="shared" si="11"/>
        <v>100</v>
      </c>
      <c r="V37" s="1559" t="s">
        <v>8</v>
      </c>
      <c r="W37" s="1560">
        <f t="shared" si="12"/>
        <v>100</v>
      </c>
      <c r="X37" s="1553"/>
      <c r="Y37" s="3427"/>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41"/>
      <c r="H38" s="539">
        <f>SUMIF(114:114,G38,115:115)-SUMIF(114:114,C38,115:115)+100</f>
        <v>100</v>
      </c>
      <c r="I38" s="541"/>
      <c r="J38" s="539">
        <f>SUMIF(114:114,I38,115:115)-SUMIF(114:114,C38,115:115)+100</f>
        <v>100</v>
      </c>
      <c r="K38" s="580"/>
      <c r="L38" s="2127"/>
      <c r="M38" s="2117"/>
      <c r="N38" s="2117"/>
      <c r="O38" s="2126"/>
      <c r="P38" s="3428" t="s">
        <v>514</v>
      </c>
      <c r="Q38" s="1558">
        <f t="shared" si="8"/>
        <v>0</v>
      </c>
      <c r="R38" s="1559" t="s">
        <v>8</v>
      </c>
      <c r="S38" s="1560">
        <f t="shared" si="10"/>
        <v>100</v>
      </c>
      <c r="T38" s="1559" t="s">
        <v>8</v>
      </c>
      <c r="U38" s="1560">
        <f t="shared" si="11"/>
        <v>100</v>
      </c>
      <c r="V38" s="1559" t="s">
        <v>8</v>
      </c>
      <c r="W38" s="1560">
        <f t="shared" si="12"/>
        <v>100</v>
      </c>
      <c r="X38" s="1553"/>
      <c r="Y38" s="3429" t="s">
        <v>514</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592"/>
      <c r="H39" s="545">
        <f>SUMIF(116:116,G39,117:117)-SUMIF(116:116,C39,117:117)+100</f>
        <v>100</v>
      </c>
      <c r="I39" s="592"/>
      <c r="J39" s="545">
        <f>SUMIF(116:116,I39,117:117)-SUMIF(116:116,C39,117:117)+100</f>
        <v>100</v>
      </c>
      <c r="K39" s="580"/>
      <c r="L39" s="2125"/>
      <c r="M39" s="2117"/>
      <c r="N39" s="2117"/>
      <c r="O39" s="2128"/>
      <c r="P39" s="3429"/>
      <c r="Q39" s="1558">
        <f t="shared" si="8"/>
        <v>0</v>
      </c>
      <c r="R39" s="1563" t="s">
        <v>8</v>
      </c>
      <c r="S39" s="1564">
        <f t="shared" si="10"/>
        <v>100</v>
      </c>
      <c r="T39" s="1563" t="s">
        <v>8</v>
      </c>
      <c r="U39" s="1564">
        <f t="shared" si="11"/>
        <v>100</v>
      </c>
      <c r="V39" s="1563" t="s">
        <v>8</v>
      </c>
      <c r="W39" s="1564">
        <f t="shared" si="12"/>
        <v>100</v>
      </c>
      <c r="X39" s="1565"/>
      <c r="Y39" s="3429"/>
      <c r="Z39" s="1566">
        <f t="shared" si="13"/>
        <v>0</v>
      </c>
      <c r="AA39" s="1562">
        <f t="shared" si="3"/>
        <v>1</v>
      </c>
      <c r="AB39" s="1562">
        <f t="shared" si="4"/>
        <v>1</v>
      </c>
      <c r="AC39" s="1562">
        <f t="shared" si="5"/>
        <v>1</v>
      </c>
    </row>
    <row r="40" spans="1:29" ht="20.25">
      <c r="A40" s="2862" t="s">
        <v>2710</v>
      </c>
      <c r="B40" s="594" t="s">
        <v>516</v>
      </c>
      <c r="C40" s="595">
        <f>'数据-基础表'!A3</f>
        <v>27729.29</v>
      </c>
      <c r="D40" s="596">
        <v>100</v>
      </c>
      <c r="E40" s="595">
        <f>商业土地案例!H6</f>
        <v>207576.3</v>
      </c>
      <c r="F40" s="596">
        <f>LOOKUP(E40,119:119,120:120)-LOOKUP(C40,119:119,120:120)+100</f>
        <v>104</v>
      </c>
      <c r="G40" s="595">
        <f>商业土地案例!H17</f>
        <v>24312.07</v>
      </c>
      <c r="H40" s="596">
        <f>LOOKUP(G40,119:119,120:120)-LOOKUP(C40,119:119,120:120)+100</f>
        <v>100</v>
      </c>
      <c r="I40" s="595">
        <f>商业土地案例!H32</f>
        <v>6707.04</v>
      </c>
      <c r="J40" s="596">
        <f>LOOKUP(I40,119:119,120:120)-LOOKUP(C40,119:119,120:120)+100</f>
        <v>100</v>
      </c>
      <c r="K40" s="580"/>
      <c r="L40" s="2127"/>
      <c r="M40" s="2117"/>
      <c r="N40" s="2117"/>
      <c r="O40" s="2126"/>
      <c r="P40" s="3429"/>
      <c r="Q40" s="1558" t="str">
        <f>B40</f>
        <v>宗地面积</v>
      </c>
      <c r="R40" s="1559" t="s">
        <v>8</v>
      </c>
      <c r="S40" s="1560">
        <f t="shared" si="10"/>
        <v>104</v>
      </c>
      <c r="T40" s="1559" t="s">
        <v>8</v>
      </c>
      <c r="U40" s="1560">
        <f t="shared" si="11"/>
        <v>100</v>
      </c>
      <c r="V40" s="1559" t="s">
        <v>8</v>
      </c>
      <c r="W40" s="1560">
        <f t="shared" si="12"/>
        <v>100</v>
      </c>
      <c r="X40" s="1553"/>
      <c r="Y40" s="3429"/>
      <c r="Z40" s="1561" t="str">
        <f t="shared" si="13"/>
        <v>宗地面积</v>
      </c>
      <c r="AA40" s="1562">
        <f t="shared" si="3"/>
        <v>0.96153846153846156</v>
      </c>
      <c r="AB40" s="1562">
        <f t="shared" si="4"/>
        <v>1</v>
      </c>
      <c r="AC40" s="1562">
        <f t="shared" si="5"/>
        <v>1</v>
      </c>
    </row>
    <row r="41" spans="1:29" ht="20.25">
      <c r="A41" s="593"/>
      <c r="B41" s="526" t="s">
        <v>517</v>
      </c>
      <c r="C41" s="598" t="s">
        <v>2980</v>
      </c>
      <c r="D41" s="539">
        <v>100</v>
      </c>
      <c r="E41" s="598" t="s">
        <v>2980</v>
      </c>
      <c r="F41" s="539">
        <f>SUMIF(121:121,E41,122:122)-SUMIF(121:121,C41,122:122)+100</f>
        <v>100</v>
      </c>
      <c r="G41" s="598" t="s">
        <v>2980</v>
      </c>
      <c r="H41" s="539">
        <f>SUMIF(121:121,G41,122:122)-SUMIF(121:121,C41,122:122)+100</f>
        <v>100</v>
      </c>
      <c r="I41" s="598" t="s">
        <v>2980</v>
      </c>
      <c r="J41" s="539">
        <f>SUMIF(121:121,I41,122:122)-SUMIF(121:121,C41,122:122)+100</f>
        <v>100</v>
      </c>
      <c r="K41" s="583">
        <v>1</v>
      </c>
      <c r="L41" s="2127"/>
      <c r="M41" s="2117"/>
      <c r="N41" s="2117"/>
      <c r="O41" s="2126"/>
      <c r="P41" s="3429"/>
      <c r="Q41" s="1558" t="str">
        <f t="shared" ref="Q41:Q47" si="14">B41</f>
        <v>宗地形状</v>
      </c>
      <c r="R41" s="1559" t="s">
        <v>8</v>
      </c>
      <c r="S41" s="1560">
        <f t="shared" si="10"/>
        <v>100</v>
      </c>
      <c r="T41" s="1559" t="s">
        <v>8</v>
      </c>
      <c r="U41" s="1560">
        <f t="shared" si="11"/>
        <v>100</v>
      </c>
      <c r="V41" s="1559" t="s">
        <v>8</v>
      </c>
      <c r="W41" s="1560">
        <f t="shared" si="12"/>
        <v>100</v>
      </c>
      <c r="X41" s="1553"/>
      <c r="Y41" s="3429"/>
      <c r="Z41" s="1561" t="str">
        <f t="shared" si="13"/>
        <v>宗地形状</v>
      </c>
      <c r="AA41" s="1562">
        <f t="shared" si="3"/>
        <v>1</v>
      </c>
      <c r="AB41" s="1562">
        <f t="shared" si="4"/>
        <v>1</v>
      </c>
      <c r="AC41" s="1562">
        <f t="shared" si="5"/>
        <v>1</v>
      </c>
    </row>
    <row r="42" spans="1:29" ht="20.25">
      <c r="A42" s="593"/>
      <c r="B42" s="526" t="s">
        <v>518</v>
      </c>
      <c r="C42" s="598" t="s">
        <v>2982</v>
      </c>
      <c r="D42" s="539">
        <v>100</v>
      </c>
      <c r="E42" s="598" t="s">
        <v>2982</v>
      </c>
      <c r="F42" s="539">
        <f>SUMIF(123:123,E42,124:124)-SUMIF(123:123,C42,124:124)+100</f>
        <v>100</v>
      </c>
      <c r="G42" s="598" t="s">
        <v>2982</v>
      </c>
      <c r="H42" s="539">
        <f>SUMIF(123:123,G42,124:124)-SUMIF(123:123,C42,124:124)+100</f>
        <v>100</v>
      </c>
      <c r="I42" s="598" t="s">
        <v>2982</v>
      </c>
      <c r="J42" s="539">
        <f>SUMIF(123:123,I42,124:124)-SUMIF(123:123,C42,124:124)+100</f>
        <v>100</v>
      </c>
      <c r="K42" s="583"/>
      <c r="L42" s="2127"/>
      <c r="M42" s="2117"/>
      <c r="N42" s="2117"/>
      <c r="O42" s="2126"/>
      <c r="P42" s="3429"/>
      <c r="Q42" s="1558" t="str">
        <f t="shared" si="14"/>
        <v>临街宽度及深度</v>
      </c>
      <c r="R42" s="1559" t="s">
        <v>8</v>
      </c>
      <c r="S42" s="1560">
        <f t="shared" si="10"/>
        <v>100</v>
      </c>
      <c r="T42" s="1559" t="s">
        <v>8</v>
      </c>
      <c r="U42" s="1560">
        <f t="shared" si="11"/>
        <v>100</v>
      </c>
      <c r="V42" s="1559" t="s">
        <v>8</v>
      </c>
      <c r="W42" s="1560">
        <f t="shared" si="12"/>
        <v>100</v>
      </c>
      <c r="X42" s="1553"/>
      <c r="Y42" s="3429"/>
      <c r="Z42" s="1561" t="str">
        <f t="shared" si="13"/>
        <v>临街宽度及深度</v>
      </c>
      <c r="AA42" s="1562">
        <f t="shared" si="3"/>
        <v>1</v>
      </c>
      <c r="AB42" s="1562">
        <f t="shared" si="4"/>
        <v>1</v>
      </c>
      <c r="AC42" s="1562">
        <f t="shared" si="5"/>
        <v>1</v>
      </c>
    </row>
    <row r="43" spans="1:29" s="1215" customFormat="1" ht="20.25">
      <c r="A43" s="599"/>
      <c r="B43" s="1880" t="s">
        <v>2381</v>
      </c>
      <c r="C43" s="600" t="s">
        <v>2973</v>
      </c>
      <c r="D43" s="254">
        <v>100</v>
      </c>
      <c r="E43" s="600" t="s">
        <v>2973</v>
      </c>
      <c r="F43" s="539">
        <f>SUMIF(125:125,E43,126:126)-SUMIF(125:125,C43,126:126)+100</f>
        <v>100</v>
      </c>
      <c r="G43" s="600" t="s">
        <v>2973</v>
      </c>
      <c r="H43" s="539">
        <f>SUMIF(125:125,G43,126:126)-SUMIF(125:125,C43,126:126)+100</f>
        <v>100</v>
      </c>
      <c r="I43" s="600" t="s">
        <v>2973</v>
      </c>
      <c r="J43" s="539">
        <f>SUMIF(125:125,I43,126:126)-SUMIF(125:125,C43,126:126)+100</f>
        <v>100</v>
      </c>
      <c r="K43" s="583">
        <v>1</v>
      </c>
      <c r="L43" s="2120"/>
      <c r="M43" s="2117"/>
      <c r="N43" s="2117"/>
      <c r="O43" s="2122"/>
      <c r="P43" s="3429"/>
      <c r="Q43" s="1558" t="str">
        <f t="shared" si="14"/>
        <v>宗地开发程度</v>
      </c>
      <c r="R43" s="1554" t="s">
        <v>8</v>
      </c>
      <c r="S43" s="1555">
        <f t="shared" si="10"/>
        <v>100</v>
      </c>
      <c r="T43" s="1554" t="s">
        <v>8</v>
      </c>
      <c r="U43" s="1555">
        <f t="shared" si="11"/>
        <v>100</v>
      </c>
      <c r="V43" s="1554" t="s">
        <v>8</v>
      </c>
      <c r="W43" s="1555">
        <f t="shared" si="12"/>
        <v>100</v>
      </c>
      <c r="X43" s="1556"/>
      <c r="Y43" s="3429"/>
      <c r="Z43" s="1145" t="str">
        <f t="shared" si="13"/>
        <v>宗地开发程度</v>
      </c>
      <c r="AA43" s="1557">
        <f t="shared" si="3"/>
        <v>1</v>
      </c>
      <c r="AB43" s="1557">
        <f t="shared" si="4"/>
        <v>1</v>
      </c>
      <c r="AC43" s="1557">
        <f t="shared" si="5"/>
        <v>1</v>
      </c>
    </row>
    <row r="44" spans="1:29" ht="20.25">
      <c r="A44" s="593"/>
      <c r="B44" s="526" t="s">
        <v>519</v>
      </c>
      <c r="C44" s="598" t="s">
        <v>2982</v>
      </c>
      <c r="D44" s="539">
        <v>100</v>
      </c>
      <c r="E44" s="598" t="s">
        <v>2982</v>
      </c>
      <c r="F44" s="539">
        <f>SUMIF(127:127,E44,128:128)-SUMIF(127:127,C44,128:128)+100</f>
        <v>100</v>
      </c>
      <c r="G44" s="598" t="s">
        <v>2982</v>
      </c>
      <c r="H44" s="539">
        <f>SUMIF(127:127,G44,128:128)-SUMIF(127:127,C44,128:128)+100</f>
        <v>100</v>
      </c>
      <c r="I44" s="598" t="s">
        <v>2982</v>
      </c>
      <c r="J44" s="539">
        <f>SUMIF(127:127,I44,128:128)-SUMIF(127:127,C44,128:128)+100</f>
        <v>100</v>
      </c>
      <c r="K44" s="583">
        <v>1</v>
      </c>
      <c r="L44" s="2127"/>
      <c r="M44" s="2117"/>
      <c r="N44" s="2117"/>
      <c r="O44" s="2126"/>
      <c r="P44" s="3429" t="s">
        <v>514</v>
      </c>
      <c r="Q44" s="1558" t="str">
        <f t="shared" si="14"/>
        <v>工程地质条件</v>
      </c>
      <c r="R44" s="1559" t="s">
        <v>8</v>
      </c>
      <c r="S44" s="1560">
        <f t="shared" si="10"/>
        <v>100</v>
      </c>
      <c r="T44" s="1559" t="s">
        <v>8</v>
      </c>
      <c r="U44" s="1560">
        <f t="shared" si="11"/>
        <v>100</v>
      </c>
      <c r="V44" s="1559" t="s">
        <v>8</v>
      </c>
      <c r="W44" s="1560">
        <f t="shared" si="12"/>
        <v>100</v>
      </c>
      <c r="X44" s="1553"/>
      <c r="Y44" s="3429" t="s">
        <v>514</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29"/>
      <c r="Q45" s="1558">
        <f t="shared" si="14"/>
        <v>0</v>
      </c>
      <c r="R45" s="1559" t="s">
        <v>8</v>
      </c>
      <c r="S45" s="1560">
        <f t="shared" si="10"/>
        <v>100</v>
      </c>
      <c r="T45" s="1559" t="s">
        <v>8</v>
      </c>
      <c r="U45" s="1560">
        <f t="shared" si="11"/>
        <v>100</v>
      </c>
      <c r="V45" s="1559" t="s">
        <v>8</v>
      </c>
      <c r="W45" s="1560">
        <f t="shared" si="12"/>
        <v>100</v>
      </c>
      <c r="X45" s="1553"/>
      <c r="Y45" s="3429"/>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29"/>
      <c r="Q46" s="1558">
        <f t="shared" si="14"/>
        <v>0</v>
      </c>
      <c r="R46" s="1559" t="s">
        <v>8</v>
      </c>
      <c r="S46" s="1560">
        <f t="shared" si="10"/>
        <v>100</v>
      </c>
      <c r="T46" s="1559" t="s">
        <v>8</v>
      </c>
      <c r="U46" s="1560">
        <f t="shared" si="11"/>
        <v>100</v>
      </c>
      <c r="V46" s="1559" t="s">
        <v>8</v>
      </c>
      <c r="W46" s="1560">
        <f t="shared" si="12"/>
        <v>100</v>
      </c>
      <c r="X46" s="1553"/>
      <c r="Y46" s="3429"/>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29"/>
      <c r="Q47" s="1558">
        <f t="shared" si="14"/>
        <v>0</v>
      </c>
      <c r="R47" s="1563" t="s">
        <v>8</v>
      </c>
      <c r="S47" s="1564">
        <f t="shared" si="10"/>
        <v>100</v>
      </c>
      <c r="T47" s="1563" t="s">
        <v>8</v>
      </c>
      <c r="U47" s="1564">
        <f t="shared" si="11"/>
        <v>100</v>
      </c>
      <c r="V47" s="1563" t="s">
        <v>8</v>
      </c>
      <c r="W47" s="1564">
        <f t="shared" si="12"/>
        <v>100</v>
      </c>
      <c r="X47" s="1565"/>
      <c r="Y47" s="3429"/>
      <c r="Z47" s="1566">
        <f t="shared" si="13"/>
        <v>0</v>
      </c>
      <c r="AA47" s="1562">
        <f t="shared" si="3"/>
        <v>1</v>
      </c>
      <c r="AB47" s="1562">
        <f t="shared" si="4"/>
        <v>1</v>
      </c>
      <c r="AC47" s="1562">
        <f t="shared" si="5"/>
        <v>1</v>
      </c>
    </row>
    <row r="48" spans="1:29" ht="20.25">
      <c r="A48" s="606" t="s">
        <v>520</v>
      </c>
      <c r="B48" s="607" t="s">
        <v>3547</v>
      </c>
      <c r="C48" s="608" t="s">
        <v>1</v>
      </c>
      <c r="D48" s="609"/>
      <c r="E48" s="3216">
        <f>ROUND(商业土地案例!R6,0)</f>
        <v>1197</v>
      </c>
      <c r="F48" s="611"/>
      <c r="G48" s="3216">
        <f>ROUND(商业土地案例!R17,0)</f>
        <v>1193</v>
      </c>
      <c r="H48" s="613"/>
      <c r="I48" s="3216">
        <f>ROUND(商业土地案例!R32,0)</f>
        <v>1088</v>
      </c>
      <c r="J48" s="613"/>
      <c r="K48" s="1335"/>
      <c r="L48" s="2129"/>
      <c r="M48" s="2117"/>
      <c r="N48" s="2117"/>
      <c r="O48" s="2130"/>
      <c r="P48" s="3391" t="str">
        <f>A48</f>
        <v>成交单价</v>
      </c>
      <c r="Q48" s="3391"/>
      <c r="R48" s="3392">
        <f>E48</f>
        <v>1197</v>
      </c>
      <c r="S48" s="3392"/>
      <c r="T48" s="3392">
        <f>G48</f>
        <v>1193</v>
      </c>
      <c r="U48" s="3392"/>
      <c r="V48" s="3392">
        <f>I48</f>
        <v>1088</v>
      </c>
      <c r="W48" s="3392"/>
      <c r="X48" s="1545"/>
      <c r="Y48" s="1567"/>
      <c r="Z48" s="1545"/>
      <c r="AA48" s="1545"/>
      <c r="AB48" s="1545"/>
      <c r="AC48" s="1545"/>
    </row>
    <row r="49" spans="1:29" ht="21" thickBot="1">
      <c r="A49" s="614" t="s">
        <v>2648</v>
      </c>
      <c r="B49" s="615"/>
      <c r="C49" s="616">
        <f>R50</f>
        <v>1156</v>
      </c>
      <c r="D49" s="617"/>
      <c r="E49" s="616">
        <f>R49</f>
        <v>1140</v>
      </c>
      <c r="F49" s="618"/>
      <c r="G49" s="619">
        <f>T49</f>
        <v>1205</v>
      </c>
      <c r="H49" s="617"/>
      <c r="I49" s="616">
        <f>V49</f>
        <v>1123</v>
      </c>
      <c r="J49" s="617"/>
      <c r="K49" s="1336"/>
      <c r="L49" s="2129"/>
      <c r="M49" s="2117"/>
      <c r="N49" s="2117"/>
      <c r="O49" s="2130"/>
      <c r="P49" s="3391" t="str">
        <f>A49</f>
        <v>比较价格（元/平方米）</v>
      </c>
      <c r="Q49" s="3391"/>
      <c r="R49" s="3393">
        <f>ROUND(PRODUCT(R48,AA9:AA47),0)</f>
        <v>1140</v>
      </c>
      <c r="S49" s="3393"/>
      <c r="T49" s="3393">
        <f>ROUND(PRODUCT(T48,AB9:AB47),0)</f>
        <v>1205</v>
      </c>
      <c r="U49" s="3393"/>
      <c r="V49" s="3393">
        <f>ROUND(PRODUCT(V48,AC9:AC47),0)</f>
        <v>1123</v>
      </c>
      <c r="W49" s="3393"/>
      <c r="X49" s="1545"/>
      <c r="Y49" s="1545"/>
      <c r="Z49" s="1545"/>
      <c r="AA49" s="1545"/>
      <c r="AB49" s="1545"/>
      <c r="AC49" s="1545"/>
    </row>
    <row r="50" spans="1:29" ht="21" thickBot="1">
      <c r="A50" s="620" t="s">
        <v>2956</v>
      </c>
      <c r="B50" s="621"/>
      <c r="C50" s="622">
        <f>R50</f>
        <v>1156</v>
      </c>
      <c r="D50" s="622"/>
      <c r="E50" s="622"/>
      <c r="F50" s="622"/>
      <c r="G50" s="622"/>
      <c r="H50" s="622"/>
      <c r="I50" s="622"/>
      <c r="J50" s="622"/>
      <c r="K50" s="1337"/>
      <c r="L50" s="2129"/>
      <c r="M50" s="2117"/>
      <c r="N50" s="2117"/>
      <c r="O50" s="2130"/>
      <c r="P50" s="3388" t="str">
        <f>A50</f>
        <v>估价对象住宅用房的比较价格（楼面单价，元/平方米）</v>
      </c>
      <c r="Q50" s="3389"/>
      <c r="R50" s="3390">
        <f>ROUND(AVERAGE(R49:V49),0)</f>
        <v>1156</v>
      </c>
      <c r="S50" s="3390"/>
      <c r="T50" s="3390"/>
      <c r="U50" s="3390"/>
      <c r="V50" s="3390"/>
      <c r="W50" s="339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521</v>
      </c>
      <c r="D53" s="624"/>
      <c r="E53" s="625">
        <f>IF(E48&lt;E49,E49/E48-1,E48/E49-1)</f>
        <v>5.0000000000000044E-2</v>
      </c>
      <c r="F53" s="626" t="str">
        <f>IF(OR(E53&gt;=0.3,E53&lt;=-0.3),"超过30%","")</f>
        <v/>
      </c>
      <c r="G53" s="625">
        <f>IF(G48&lt;G49,G49/G48-1,G48/G49-1)</f>
        <v>1.0058675607711676E-2</v>
      </c>
      <c r="H53" s="626" t="str">
        <f>IF(OR(G53&gt;=0.3,G53&lt;=-0.3),"超过30%","")</f>
        <v/>
      </c>
      <c r="I53" s="625">
        <f>IF(I48&lt;I49,I49/I48-1,I48/I49-1)</f>
        <v>3.2169117647058876E-2</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522</v>
      </c>
      <c r="D54" s="627"/>
      <c r="E54" s="625">
        <f>IF(E49&lt;G49,G49/E49-1,E49/G49-1)</f>
        <v>5.7017543859649189E-2</v>
      </c>
      <c r="F54" s="626" t="str">
        <f>IF(OR(E54&gt;=0.2,E54&lt;=-0.2),"超过20%","")</f>
        <v/>
      </c>
      <c r="G54" s="625">
        <f>IF(G49&lt;I49,I49/G49-1,G49/I49-1)</f>
        <v>7.3018699910952778E-2</v>
      </c>
      <c r="H54" s="626" t="str">
        <f>IF(OR(G54&gt;=0.2,G54&lt;=-0.2),"超过20%","")</f>
        <v/>
      </c>
      <c r="I54" s="625">
        <f>IF(I49&lt;E49,E49/I49-1,I49/E49-1)</f>
        <v>1.5138023152270641E-2</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523</v>
      </c>
      <c r="D55" s="627"/>
      <c r="E55" s="625">
        <f>IF(E48&lt;G48,G48/E48-1,E48/G48-1)</f>
        <v>3.3528918692371512E-3</v>
      </c>
      <c r="F55" s="626" t="str">
        <f>IF(OR(E55&gt;=0.3,E55&lt;=-0.3),"超过30%","")</f>
        <v/>
      </c>
      <c r="G55" s="625">
        <f>IF(G48&lt;I48,I48/G48-1,G48/I48-1)</f>
        <v>9.6507352941176405E-2</v>
      </c>
      <c r="H55" s="626" t="str">
        <f>IF(OR(G55&gt;=0.3,G55&lt;=-0.3),"超过30%","")</f>
        <v/>
      </c>
      <c r="I55" s="625">
        <f>IF(I48&lt;E48,E48/I48-1,I48/E48-1)</f>
        <v>0.10018382352941169</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524</v>
      </c>
      <c r="B57" s="629" t="s">
        <v>525</v>
      </c>
      <c r="C57" s="1546" t="s">
        <v>1683</v>
      </c>
      <c r="D57" s="2212" t="s">
        <v>2250</v>
      </c>
      <c r="E57" s="630" t="s">
        <v>526</v>
      </c>
      <c r="F57" s="631" t="s">
        <v>527</v>
      </c>
      <c r="G57" s="3418" t="s">
        <v>2238</v>
      </c>
      <c r="H57" s="3419"/>
      <c r="I57" s="1541" t="s">
        <v>1681</v>
      </c>
      <c r="J57" s="1541" t="str">
        <f>项目基本情况!F41</f>
        <v>沧州市黄骅市</v>
      </c>
      <c r="K57" s="2139" t="s">
        <v>1682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528</v>
      </c>
      <c r="B58" s="633">
        <f>C50</f>
        <v>1156</v>
      </c>
      <c r="C58" s="634">
        <v>1</v>
      </c>
      <c r="D58" s="2213">
        <v>1</v>
      </c>
      <c r="E58" s="634">
        <f>'数据-汇总表'!E8+'数据-汇总表'!E9</f>
        <v>55458.58</v>
      </c>
      <c r="F58" s="635">
        <f t="shared" ref="F58:F67" si="15">ROUND(B58*E58/10000,0)</f>
        <v>6411</v>
      </c>
      <c r="G58" s="3420"/>
      <c r="H58" s="342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529</v>
      </c>
      <c r="B59" s="637">
        <f>ROUND($C$50*C59*D59,0)</f>
        <v>0</v>
      </c>
      <c r="C59" s="377">
        <f t="shared" ref="C59:C67" si="16">IF($C$57="北京市系数",I59,J59)</f>
        <v>0</v>
      </c>
      <c r="D59" s="2214">
        <v>0.25</v>
      </c>
      <c r="E59" s="638">
        <v>0</v>
      </c>
      <c r="F59" s="635">
        <f t="shared" si="15"/>
        <v>0</v>
      </c>
      <c r="G59" s="3422" t="s">
        <v>2239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530</v>
      </c>
      <c r="B60" s="637">
        <f t="shared" ref="B60:B67" si="17">ROUND($C$50*C60*D60,0)</f>
        <v>0</v>
      </c>
      <c r="C60" s="377">
        <f t="shared" si="16"/>
        <v>0</v>
      </c>
      <c r="D60" s="2214">
        <v>0.25</v>
      </c>
      <c r="E60" s="638">
        <v>0</v>
      </c>
      <c r="F60" s="635">
        <f t="shared" si="15"/>
        <v>0</v>
      </c>
      <c r="G60" s="342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531</v>
      </c>
      <c r="B61" s="637">
        <f t="shared" si="17"/>
        <v>0</v>
      </c>
      <c r="C61" s="377">
        <f t="shared" si="16"/>
        <v>0</v>
      </c>
      <c r="D61" s="2214">
        <v>0.25</v>
      </c>
      <c r="E61" s="638">
        <v>0</v>
      </c>
      <c r="F61" s="635">
        <f t="shared" si="15"/>
        <v>0</v>
      </c>
      <c r="G61" s="342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532</v>
      </c>
      <c r="B62" s="637">
        <f t="shared" si="17"/>
        <v>0</v>
      </c>
      <c r="C62" s="377">
        <f t="shared" si="16"/>
        <v>0</v>
      </c>
      <c r="D62" s="2214">
        <v>0.25</v>
      </c>
      <c r="E62" s="638">
        <v>0</v>
      </c>
      <c r="F62" s="635">
        <f t="shared" si="15"/>
        <v>0</v>
      </c>
      <c r="G62" s="342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2285</v>
      </c>
      <c r="B63" s="637">
        <f t="shared" si="17"/>
        <v>0</v>
      </c>
      <c r="C63" s="377">
        <f t="shared" si="16"/>
        <v>0</v>
      </c>
      <c r="D63" s="2214">
        <v>0.25</v>
      </c>
      <c r="E63" s="640">
        <f>'数据-汇总表'!E11</f>
        <v>0</v>
      </c>
      <c r="F63" s="635">
        <f t="shared" si="15"/>
        <v>0</v>
      </c>
      <c r="G63" s="1930" t="s">
        <v>2240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533</v>
      </c>
      <c r="B64" s="637">
        <f t="shared" si="17"/>
        <v>0</v>
      </c>
      <c r="C64" s="377">
        <f t="shared" si="16"/>
        <v>0</v>
      </c>
      <c r="D64" s="2214">
        <v>0.25</v>
      </c>
      <c r="E64" s="640">
        <f>'数据-汇总表'!E12</f>
        <v>0</v>
      </c>
      <c r="F64" s="635">
        <f t="shared" si="15"/>
        <v>0</v>
      </c>
      <c r="G64" s="1931" t="s">
        <v>1639</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534</v>
      </c>
      <c r="B65" s="637">
        <f t="shared" si="17"/>
        <v>0</v>
      </c>
      <c r="C65" s="377">
        <f t="shared" si="16"/>
        <v>0</v>
      </c>
      <c r="D65" s="2214">
        <v>0.25</v>
      </c>
      <c r="E65" s="640">
        <f>'数据-汇总表'!E13</f>
        <v>0</v>
      </c>
      <c r="F65" s="635">
        <f t="shared" si="15"/>
        <v>0</v>
      </c>
      <c r="G65" s="1931" t="s">
        <v>886</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535</v>
      </c>
      <c r="B66" s="637">
        <f t="shared" si="17"/>
        <v>0</v>
      </c>
      <c r="C66" s="377">
        <f t="shared" si="16"/>
        <v>0</v>
      </c>
      <c r="D66" s="2214">
        <v>0.25</v>
      </c>
      <c r="E66" s="640">
        <f>'数据-汇总表'!E14</f>
        <v>0</v>
      </c>
      <c r="F66" s="635">
        <f t="shared" si="15"/>
        <v>0</v>
      </c>
      <c r="G66" s="1930" t="s">
        <v>2239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536</v>
      </c>
      <c r="B67" s="637">
        <f t="shared" si="17"/>
        <v>0</v>
      </c>
      <c r="C67" s="377">
        <f t="shared" si="16"/>
        <v>0</v>
      </c>
      <c r="D67" s="2214">
        <v>0.25</v>
      </c>
      <c r="E67" s="640">
        <f>'数据-汇总表'!E15</f>
        <v>0</v>
      </c>
      <c r="F67" s="635">
        <f t="shared" si="15"/>
        <v>0</v>
      </c>
      <c r="G67" s="1932" t="s">
        <v>2240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537</v>
      </c>
      <c r="B68" s="642" t="s">
        <v>16</v>
      </c>
      <c r="C68" s="642" t="s">
        <v>17</v>
      </c>
      <c r="D68" s="642" t="s">
        <v>2251</v>
      </c>
      <c r="E68" s="642">
        <f>IF(B48="楼面地价",SUM(E58:E67),'数据-汇总表'!D3)</f>
        <v>27729.29</v>
      </c>
      <c r="F68" s="643">
        <f>IF(B48="楼面地价",SUM(F58:F67),ROUND(C50*E68/10000,0))</f>
        <v>3206</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2019-9-1</v>
      </c>
      <c r="D70" s="2754">
        <f>EDATE(C70,-3)</f>
        <v>43617</v>
      </c>
      <c r="E70" s="2754">
        <f t="shared" ref="E70:N70" si="18">EDATE(D70,-3)</f>
        <v>43525</v>
      </c>
      <c r="F70" s="2754">
        <f t="shared" si="18"/>
        <v>43435</v>
      </c>
      <c r="G70" s="2754">
        <f t="shared" si="18"/>
        <v>43344</v>
      </c>
      <c r="H70" s="2754">
        <f t="shared" si="18"/>
        <v>43252</v>
      </c>
      <c r="I70" s="2754">
        <f t="shared" si="18"/>
        <v>43160</v>
      </c>
      <c r="J70" s="2754">
        <f t="shared" si="18"/>
        <v>43070</v>
      </c>
      <c r="K70" s="2754">
        <f t="shared" si="18"/>
        <v>42979</v>
      </c>
      <c r="L70" s="2754">
        <f t="shared" si="18"/>
        <v>42887</v>
      </c>
      <c r="M70" s="2754">
        <f t="shared" si="18"/>
        <v>42795</v>
      </c>
      <c r="N70" s="2754">
        <f t="shared" si="18"/>
        <v>42705</v>
      </c>
      <c r="O70" s="2130"/>
      <c r="P70" s="2130"/>
      <c r="Q70" s="2130"/>
      <c r="R70" s="2130"/>
      <c r="S70" s="2130"/>
      <c r="T70" s="2130"/>
      <c r="U70" s="2130"/>
      <c r="V70" s="2130"/>
      <c r="W70" s="2130"/>
      <c r="X70" s="2130"/>
      <c r="Y70" s="2130"/>
      <c r="Z70" s="2130"/>
      <c r="AA70" s="2130"/>
      <c r="AB70" s="2130"/>
      <c r="AC70" s="2130"/>
    </row>
    <row r="71" spans="1:29" ht="21.75" thickBot="1">
      <c r="A71" s="1570" t="s">
        <v>538</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2487</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2602</v>
      </c>
      <c r="B73" s="478" t="str">
        <f>"北京市平均增长率"&amp;TEXT(SUMIF(基准地价!N21:N25,A73,基准地价!P21:P25),"0.00%")</f>
        <v>北京市平均增长率0.00%</v>
      </c>
      <c r="C73" s="893">
        <v>100</v>
      </c>
      <c r="D73" s="729">
        <v>99</v>
      </c>
      <c r="E73" s="729">
        <v>98</v>
      </c>
      <c r="F73" s="729">
        <v>97</v>
      </c>
      <c r="G73" s="729">
        <v>96</v>
      </c>
      <c r="H73" s="729">
        <v>95</v>
      </c>
      <c r="I73" s="729">
        <v>94</v>
      </c>
      <c r="J73" s="729">
        <v>93</v>
      </c>
      <c r="K73" s="729">
        <v>92</v>
      </c>
      <c r="L73" s="729">
        <v>91</v>
      </c>
      <c r="M73" s="729">
        <v>90</v>
      </c>
      <c r="N73" s="729">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2601</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495</v>
      </c>
      <c r="B75" s="647"/>
      <c r="C75" s="659" t="s">
        <v>540</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541</v>
      </c>
      <c r="B77" s="664" t="s">
        <v>498</v>
      </c>
      <c r="C77" s="3181" t="s">
        <v>3536</v>
      </c>
      <c r="D77" s="3181"/>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501</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502</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v>6</v>
      </c>
      <c r="J82" s="540">
        <v>7</v>
      </c>
      <c r="K82" s="540">
        <v>8</v>
      </c>
      <c r="L82" s="540">
        <v>9</v>
      </c>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101</v>
      </c>
      <c r="E83" s="678">
        <f t="shared" ref="E83:M83" si="21">IF($B$48="单位面积地价",D83+$K13,D83-$K13)</f>
        <v>102</v>
      </c>
      <c r="F83" s="678">
        <f t="shared" si="21"/>
        <v>103</v>
      </c>
      <c r="G83" s="678">
        <f t="shared" si="21"/>
        <v>104</v>
      </c>
      <c r="H83" s="678">
        <f t="shared" si="21"/>
        <v>105</v>
      </c>
      <c r="I83" s="678">
        <f t="shared" si="21"/>
        <v>106</v>
      </c>
      <c r="J83" s="678">
        <f t="shared" si="21"/>
        <v>107</v>
      </c>
      <c r="K83" s="678">
        <f t="shared" si="21"/>
        <v>108</v>
      </c>
      <c r="L83" s="678">
        <f t="shared" si="21"/>
        <v>109</v>
      </c>
      <c r="M83" s="678">
        <f t="shared" si="21"/>
        <v>110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t="s">
        <v>2979</v>
      </c>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v>100</v>
      </c>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503</v>
      </c>
      <c r="B90" s="664" t="s">
        <v>542</v>
      </c>
      <c r="C90" s="702" t="s">
        <v>543</v>
      </c>
      <c r="D90" s="702" t="s">
        <v>544</v>
      </c>
      <c r="E90" s="702" t="s">
        <v>545</v>
      </c>
      <c r="F90" s="702" t="s">
        <v>546</v>
      </c>
      <c r="G90" s="702" t="s">
        <v>547</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548</v>
      </c>
      <c r="C92" s="707" t="s">
        <v>543</v>
      </c>
      <c r="D92" s="707" t="s">
        <v>544</v>
      </c>
      <c r="E92" s="707" t="s">
        <v>545</v>
      </c>
      <c r="F92" s="707" t="s">
        <v>546</v>
      </c>
      <c r="G92" s="707" t="s">
        <v>547</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99</v>
      </c>
      <c r="E93" s="678">
        <f>D93-$K19</f>
        <v>98</v>
      </c>
      <c r="F93" s="678">
        <f>E93-$K19</f>
        <v>97</v>
      </c>
      <c r="G93" s="678">
        <f>F93-$K19</f>
        <v>96</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549</v>
      </c>
      <c r="C94" s="707" t="s">
        <v>543</v>
      </c>
      <c r="D94" s="707" t="s">
        <v>544</v>
      </c>
      <c r="E94" s="707" t="s">
        <v>545</v>
      </c>
      <c r="F94" s="707" t="s">
        <v>546</v>
      </c>
      <c r="G94" s="707" t="s">
        <v>547</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99</v>
      </c>
      <c r="E95" s="678">
        <f>D95-$K21</f>
        <v>98</v>
      </c>
      <c r="F95" s="678">
        <f>E95-$K21</f>
        <v>97</v>
      </c>
      <c r="G95" s="678">
        <f>F95-$K21</f>
        <v>96</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550</v>
      </c>
      <c r="C96" s="707" t="s">
        <v>543</v>
      </c>
      <c r="D96" s="707" t="s">
        <v>544</v>
      </c>
      <c r="E96" s="707" t="s">
        <v>545</v>
      </c>
      <c r="F96" s="707" t="s">
        <v>546</v>
      </c>
      <c r="G96" s="707" t="s">
        <v>547</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99</v>
      </c>
      <c r="E97" s="678">
        <f>D97-$K23</f>
        <v>98</v>
      </c>
      <c r="F97" s="678">
        <f>E97-$K23</f>
        <v>97</v>
      </c>
      <c r="G97" s="678">
        <f>F97-$K23</f>
        <v>96</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551</v>
      </c>
      <c r="C98" s="707" t="s">
        <v>543</v>
      </c>
      <c r="D98" s="707" t="s">
        <v>544</v>
      </c>
      <c r="E98" s="707" t="s">
        <v>545</v>
      </c>
      <c r="F98" s="707" t="s">
        <v>546</v>
      </c>
      <c r="G98" s="707" t="s">
        <v>547</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552</v>
      </c>
      <c r="C100" s="702" t="s">
        <v>543</v>
      </c>
      <c r="D100" s="702" t="s">
        <v>544</v>
      </c>
      <c r="E100" s="702" t="s">
        <v>545</v>
      </c>
      <c r="F100" s="702" t="s">
        <v>546</v>
      </c>
      <c r="G100" s="702" t="s">
        <v>547</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2503</v>
      </c>
      <c r="C102" s="702" t="s">
        <v>543</v>
      </c>
      <c r="D102" s="702" t="s">
        <v>544</v>
      </c>
      <c r="E102" s="702" t="s">
        <v>545</v>
      </c>
      <c r="F102" s="702" t="s">
        <v>546</v>
      </c>
      <c r="G102" s="702" t="s">
        <v>547</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2505</v>
      </c>
      <c r="C104" s="2562" t="s">
        <v>2506</v>
      </c>
      <c r="D104" s="2562" t="s">
        <v>2507</v>
      </c>
      <c r="E104" s="2562" t="s">
        <v>2508</v>
      </c>
      <c r="F104" s="2562" t="s">
        <v>2509</v>
      </c>
      <c r="G104" s="2562" t="s">
        <v>2510</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553</v>
      </c>
      <c r="D106" s="673" t="s">
        <v>554</v>
      </c>
      <c r="E106" s="673" t="s">
        <v>555</v>
      </c>
      <c r="F106" s="673" t="s">
        <v>556</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512</v>
      </c>
      <c r="C108" s="3180" t="s">
        <v>2959</v>
      </c>
      <c r="D108" s="3180" t="s">
        <v>2960</v>
      </c>
      <c r="E108" s="3180" t="s">
        <v>2961</v>
      </c>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513</v>
      </c>
      <c r="C110" s="717" t="s">
        <v>2979</v>
      </c>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515</v>
      </c>
      <c r="B118" s="664" t="s">
        <v>557</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50000</v>
      </c>
      <c r="E119" s="729">
        <v>100000</v>
      </c>
      <c r="F119" s="729">
        <v>150000</v>
      </c>
      <c r="G119" s="729">
        <v>200000</v>
      </c>
      <c r="H119" s="729">
        <v>250000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699">
        <v>102</v>
      </c>
      <c r="F120" s="725">
        <v>103</v>
      </c>
      <c r="G120" s="699">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558</v>
      </c>
      <c r="C121" s="3182" t="s">
        <v>2981</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559</v>
      </c>
      <c r="C123" s="3180" t="s">
        <v>2983</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2382</v>
      </c>
      <c r="C125" s="1371" t="s">
        <v>2984</v>
      </c>
      <c r="D125" s="1371" t="s">
        <v>2974</v>
      </c>
      <c r="E125" s="1371" t="s">
        <v>2985</v>
      </c>
      <c r="F125" s="1371" t="s">
        <v>2986</v>
      </c>
      <c r="G125" s="1371" t="s">
        <v>2973</v>
      </c>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560</v>
      </c>
      <c r="C127" s="3180" t="s">
        <v>2983</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1860</v>
      </c>
      <c r="B36" s="1639" t="s">
        <v>1861</v>
      </c>
    </row>
    <row r="37" spans="1:9" ht="28.5" customHeight="1">
      <c r="A37" s="1639"/>
      <c r="B37" s="3223" t="str">
        <f>项目基本情况!B1</f>
        <v>沧州市黄骅市南大港产业园区出让国有建设用地使用权抵押价格预评估</v>
      </c>
      <c r="C37" s="3223"/>
      <c r="D37" s="3223"/>
      <c r="E37" s="3223"/>
      <c r="F37" s="3223"/>
      <c r="G37" s="3223"/>
      <c r="H37" s="3223"/>
      <c r="I37" s="3223"/>
    </row>
    <row r="38" spans="1:9">
      <c r="A38" s="1641"/>
      <c r="B38" s="1641"/>
    </row>
    <row r="39" spans="1:9">
      <c r="A39" s="1639" t="s">
        <v>1860</v>
      </c>
      <c r="B39" s="1639" t="s">
        <v>2003</v>
      </c>
    </row>
    <row r="40" spans="1:9">
      <c r="A40" s="1639"/>
      <c r="B40" s="1639">
        <f>项目基本情况!B5</f>
        <v>0</v>
      </c>
    </row>
    <row r="41" spans="1:9">
      <c r="A41" s="1639"/>
      <c r="B41" s="1639"/>
    </row>
    <row r="42" spans="1:9">
      <c r="A42" s="1639" t="s">
        <v>1860</v>
      </c>
      <c r="B42" s="1639" t="s">
        <v>2004</v>
      </c>
    </row>
    <row r="43" spans="1:9">
      <c r="A43" s="1639"/>
      <c r="B43" s="1639" t="s">
        <v>1862</v>
      </c>
    </row>
    <row r="44" spans="1:9">
      <c r="A44" s="1639"/>
      <c r="B44" s="1639"/>
    </row>
    <row r="45" spans="1:9">
      <c r="A45" s="1639" t="s">
        <v>1860</v>
      </c>
      <c r="B45" s="1639" t="s">
        <v>2002</v>
      </c>
    </row>
    <row r="46" spans="1:9" s="1639" customFormat="1" ht="12.75">
      <c r="B46" s="1639" t="str">
        <f>项目基本情况!K4</f>
        <v>崔锴、赵雯</v>
      </c>
    </row>
    <row r="47" spans="1:9">
      <c r="A47" s="1639"/>
      <c r="B47" s="1639"/>
    </row>
    <row r="48" spans="1:9">
      <c r="A48" s="1639" t="s">
        <v>1860</v>
      </c>
      <c r="B48" s="1639" t="s">
        <v>2005</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480</v>
      </c>
      <c r="B1" s="502"/>
      <c r="C1" s="503" t="s">
        <v>561</v>
      </c>
      <c r="D1" s="504" t="s">
        <v>482</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431</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1644</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484</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433</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485</v>
      </c>
      <c r="B6" s="512"/>
      <c r="C6" s="3397" t="s">
        <v>486</v>
      </c>
      <c r="D6" s="3398"/>
      <c r="E6" s="3432" t="s">
        <v>487</v>
      </c>
      <c r="F6" s="3433"/>
      <c r="G6" s="3397" t="s">
        <v>488</v>
      </c>
      <c r="H6" s="3398"/>
      <c r="I6" s="3397" t="s">
        <v>489</v>
      </c>
      <c r="J6" s="3398"/>
      <c r="K6" s="513" t="s">
        <v>490</v>
      </c>
      <c r="L6" s="2118"/>
      <c r="M6" s="2119"/>
      <c r="N6" s="2119"/>
      <c r="O6" s="2119"/>
      <c r="P6" s="3399" t="s">
        <v>491</v>
      </c>
      <c r="Q6" s="3400"/>
      <c r="R6" s="3405" t="s">
        <v>487</v>
      </c>
      <c r="S6" s="3406"/>
      <c r="T6" s="3405" t="s">
        <v>488</v>
      </c>
      <c r="U6" s="3406"/>
      <c r="V6" s="3392" t="s">
        <v>489</v>
      </c>
      <c r="W6" s="3392"/>
      <c r="X6" s="1553"/>
      <c r="Y6" s="3405" t="s">
        <v>491</v>
      </c>
      <c r="Z6" s="3406"/>
      <c r="AA6" s="3394" t="s">
        <v>487</v>
      </c>
      <c r="AB6" s="3395" t="s">
        <v>488</v>
      </c>
      <c r="AC6" s="3394" t="s">
        <v>489</v>
      </c>
    </row>
    <row r="7" spans="1:29" ht="15">
      <c r="A7" s="514"/>
      <c r="B7" s="515"/>
      <c r="C7" s="3413" t="s">
        <v>2872</v>
      </c>
      <c r="D7" s="3414"/>
      <c r="E7" s="3434" t="s">
        <v>2873</v>
      </c>
      <c r="F7" s="3435"/>
      <c r="G7" s="3413" t="s">
        <v>2874</v>
      </c>
      <c r="H7" s="3414"/>
      <c r="I7" s="3413" t="s">
        <v>2875</v>
      </c>
      <c r="J7" s="3414"/>
      <c r="K7" s="513"/>
      <c r="L7" s="2118"/>
      <c r="M7" s="2119"/>
      <c r="N7" s="2119"/>
      <c r="O7" s="2119"/>
      <c r="P7" s="3401"/>
      <c r="Q7" s="3402"/>
      <c r="R7" s="3407"/>
      <c r="S7" s="3408"/>
      <c r="T7" s="3407"/>
      <c r="U7" s="3408"/>
      <c r="V7" s="3392"/>
      <c r="W7" s="3392"/>
      <c r="X7" s="1553"/>
      <c r="Y7" s="3407"/>
      <c r="Z7" s="3408"/>
      <c r="AA7" s="3395"/>
      <c r="AB7" s="3395"/>
      <c r="AC7" s="3395"/>
    </row>
    <row r="8" spans="1:29" ht="15.75" thickBot="1">
      <c r="A8" s="516"/>
      <c r="B8" s="517"/>
      <c r="C8" s="3411" t="s">
        <v>2876</v>
      </c>
      <c r="D8" s="3412"/>
      <c r="E8" s="3430" t="s">
        <v>2876</v>
      </c>
      <c r="F8" s="3431"/>
      <c r="G8" s="3411" t="s">
        <v>2876</v>
      </c>
      <c r="H8" s="3412"/>
      <c r="I8" s="3411" t="s">
        <v>2876</v>
      </c>
      <c r="J8" s="3412"/>
      <c r="K8" s="513" t="s">
        <v>492</v>
      </c>
      <c r="L8" s="2118"/>
      <c r="M8" s="2119"/>
      <c r="N8" s="2119"/>
      <c r="O8" s="2119"/>
      <c r="P8" s="3403"/>
      <c r="Q8" s="3404"/>
      <c r="R8" s="3407"/>
      <c r="S8" s="3408"/>
      <c r="T8" s="3409"/>
      <c r="U8" s="3410"/>
      <c r="V8" s="3392"/>
      <c r="W8" s="3392"/>
      <c r="X8" s="1553"/>
      <c r="Y8" s="3409"/>
      <c r="Z8" s="3410"/>
      <c r="AA8" s="3396"/>
      <c r="AB8" s="3396"/>
      <c r="AC8" s="3396"/>
    </row>
    <row r="9" spans="1:29" s="1215" customFormat="1" ht="15.75" thickBot="1">
      <c r="A9" s="2867"/>
      <c r="B9" s="2874" t="s">
        <v>493</v>
      </c>
      <c r="C9" s="518">
        <f>'数据-取费表'!B2</f>
        <v>43724</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23" t="s">
        <v>494</v>
      </c>
      <c r="Q9" s="3425"/>
      <c r="R9" s="1554" t="s">
        <v>8</v>
      </c>
      <c r="S9" s="1555">
        <f t="shared" ref="S9:S17" si="0">F9</f>
        <v>0</v>
      </c>
      <c r="T9" s="1554" t="s">
        <v>8</v>
      </c>
      <c r="U9" s="1555">
        <f t="shared" ref="U9:U17" si="1">H9</f>
        <v>0</v>
      </c>
      <c r="V9" s="1554" t="s">
        <v>8</v>
      </c>
      <c r="W9" s="1555">
        <f t="shared" ref="W9:W17" si="2">J9</f>
        <v>0</v>
      </c>
      <c r="X9" s="1556"/>
      <c r="Y9" s="3423" t="s">
        <v>494</v>
      </c>
      <c r="Z9" s="3424"/>
      <c r="AA9" s="1557" t="e">
        <f>D9/F9</f>
        <v>#DIV/0!</v>
      </c>
      <c r="AB9" s="1557" t="e">
        <f>D9/H9</f>
        <v>#DIV/0!</v>
      </c>
      <c r="AC9" s="1557" t="e">
        <f>D9/J9</f>
        <v>#DIV/0!</v>
      </c>
    </row>
    <row r="10" spans="1:29" s="1215" customFormat="1" ht="15.75" thickBot="1">
      <c r="A10" s="2868"/>
      <c r="B10" s="2875" t="s">
        <v>495</v>
      </c>
      <c r="C10" s="524" t="s">
        <v>496</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23" t="s">
        <v>497</v>
      </c>
      <c r="Q10" s="3424"/>
      <c r="R10" s="1554" t="s">
        <v>8</v>
      </c>
      <c r="S10" s="1555">
        <f t="shared" si="0"/>
        <v>0</v>
      </c>
      <c r="T10" s="1554" t="s">
        <v>8</v>
      </c>
      <c r="U10" s="1555">
        <f t="shared" si="1"/>
        <v>0</v>
      </c>
      <c r="V10" s="1554" t="s">
        <v>8</v>
      </c>
      <c r="W10" s="1555">
        <f t="shared" si="2"/>
        <v>0</v>
      </c>
      <c r="X10" s="1556"/>
      <c r="Y10" s="3423" t="s">
        <v>497</v>
      </c>
      <c r="Z10" s="3424"/>
      <c r="AA10" s="1557" t="e">
        <f t="shared" ref="AA10:AA42" si="3">D10/F10</f>
        <v>#DIV/0!</v>
      </c>
      <c r="AB10" s="1557" t="e">
        <f t="shared" ref="AB10:AB42" si="4">D10/H10</f>
        <v>#DIV/0!</v>
      </c>
      <c r="AC10" s="1557" t="e">
        <f t="shared" ref="AC10:AC42" si="5">D10/J10</f>
        <v>#DIV/0!</v>
      </c>
    </row>
    <row r="11" spans="1:29" s="1215" customFormat="1" ht="15">
      <c r="A11" s="2869"/>
      <c r="B11" s="2876" t="s">
        <v>2711</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91" t="s">
        <v>499</v>
      </c>
      <c r="Q11" s="1146" t="str">
        <f t="shared" ref="Q11:Q17" si="6">B11</f>
        <v>用途</v>
      </c>
      <c r="R11" s="1554" t="s">
        <v>8</v>
      </c>
      <c r="S11" s="1555">
        <f t="shared" si="0"/>
        <v>100</v>
      </c>
      <c r="T11" s="1554" t="s">
        <v>8</v>
      </c>
      <c r="U11" s="1555">
        <f t="shared" si="1"/>
        <v>100</v>
      </c>
      <c r="V11" s="1554" t="s">
        <v>8</v>
      </c>
      <c r="W11" s="1555">
        <f t="shared" si="2"/>
        <v>100</v>
      </c>
      <c r="X11" s="1556"/>
      <c r="Y11" s="3337" t="s">
        <v>500</v>
      </c>
      <c r="Z11" s="1145" t="str">
        <f t="shared" ref="Z11:Z17" si="7">Q11</f>
        <v>用途</v>
      </c>
      <c r="AA11" s="1557">
        <f t="shared" si="3"/>
        <v>1</v>
      </c>
      <c r="AB11" s="1557">
        <f t="shared" si="4"/>
        <v>1</v>
      </c>
      <c r="AC11" s="1557">
        <f t="shared" si="5"/>
        <v>1</v>
      </c>
    </row>
    <row r="12" spans="1:29" s="1333" customFormat="1" ht="27">
      <c r="A12" s="2870"/>
      <c r="B12" s="2875" t="s">
        <v>2712</v>
      </c>
      <c r="C12" s="527"/>
      <c r="D12" s="254">
        <v>100</v>
      </c>
      <c r="E12" s="527"/>
      <c r="F12" s="254">
        <f>ROUND(100/'数据-取费表'!G16,0)</f>
        <v>101</v>
      </c>
      <c r="G12" s="527"/>
      <c r="H12" s="254">
        <f>ROUND(100/'数据-取费表'!G16,0)</f>
        <v>101</v>
      </c>
      <c r="I12" s="527"/>
      <c r="J12" s="254">
        <f>ROUND(100/'数据-取费表'!G16,0)</f>
        <v>101</v>
      </c>
      <c r="K12" s="530"/>
      <c r="L12" s="2123"/>
      <c r="M12" s="2163"/>
      <c r="N12" s="2163"/>
      <c r="O12" s="2124"/>
      <c r="P12" s="3391"/>
      <c r="Q12" s="1146" t="str">
        <f t="shared" si="6"/>
        <v>土地使用年限（年）</v>
      </c>
      <c r="R12" s="1554" t="s">
        <v>8</v>
      </c>
      <c r="S12" s="1555">
        <f t="shared" si="0"/>
        <v>101</v>
      </c>
      <c r="T12" s="1554" t="s">
        <v>8</v>
      </c>
      <c r="U12" s="1555">
        <f t="shared" si="1"/>
        <v>101</v>
      </c>
      <c r="V12" s="1554" t="s">
        <v>8</v>
      </c>
      <c r="W12" s="1555">
        <f t="shared" si="2"/>
        <v>101</v>
      </c>
      <c r="X12" s="1556"/>
      <c r="Y12" s="3337"/>
      <c r="Z12" s="1145" t="str">
        <f t="shared" si="7"/>
        <v>土地使用年限（年）</v>
      </c>
      <c r="AA12" s="1557">
        <f t="shared" si="3"/>
        <v>0.99009900990099009</v>
      </c>
      <c r="AB12" s="1557">
        <f t="shared" si="4"/>
        <v>0.99009900990099009</v>
      </c>
      <c r="AC12" s="1557">
        <f t="shared" si="5"/>
        <v>0.99009900990099009</v>
      </c>
    </row>
    <row r="13" spans="1:29" ht="15">
      <c r="A13" s="2871"/>
      <c r="B13" s="2875" t="s">
        <v>2713</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91"/>
      <c r="Q13" s="1146" t="str">
        <f t="shared" si="6"/>
        <v>容积率</v>
      </c>
      <c r="R13" s="1554" t="s">
        <v>8</v>
      </c>
      <c r="S13" s="1555" t="e">
        <f t="shared" si="0"/>
        <v>#N/A</v>
      </c>
      <c r="T13" s="1554" t="s">
        <v>8</v>
      </c>
      <c r="U13" s="1555" t="e">
        <f t="shared" si="1"/>
        <v>#N/A</v>
      </c>
      <c r="V13" s="1554" t="s">
        <v>8</v>
      </c>
      <c r="W13" s="1555" t="e">
        <f t="shared" si="2"/>
        <v>#N/A</v>
      </c>
      <c r="X13" s="1556"/>
      <c r="Y13" s="3337"/>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91"/>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91"/>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91"/>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 t="shared" si="3"/>
        <v>1</v>
      </c>
      <c r="AB16" s="1557">
        <f t="shared" si="4"/>
        <v>1</v>
      </c>
      <c r="AC16" s="1557">
        <f t="shared" si="5"/>
        <v>1</v>
      </c>
    </row>
    <row r="17" spans="1:29" ht="15">
      <c r="A17" s="2865" t="s">
        <v>2709</v>
      </c>
      <c r="B17" s="165" t="s">
        <v>562</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26" t="s">
        <v>504</v>
      </c>
      <c r="Q17" s="1558" t="str">
        <f t="shared" si="6"/>
        <v>产业集聚程度</v>
      </c>
      <c r="R17" s="1559" t="s">
        <v>8</v>
      </c>
      <c r="S17" s="1560">
        <f t="shared" si="0"/>
        <v>100</v>
      </c>
      <c r="T17" s="1559" t="s">
        <v>8</v>
      </c>
      <c r="U17" s="1560">
        <f t="shared" si="1"/>
        <v>100</v>
      </c>
      <c r="V17" s="1559" t="s">
        <v>8</v>
      </c>
      <c r="W17" s="1560">
        <f t="shared" si="2"/>
        <v>100</v>
      </c>
      <c r="X17" s="1553"/>
      <c r="Y17" s="3426" t="s">
        <v>504</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27"/>
      <c r="Q18" s="1558"/>
      <c r="R18" s="1559"/>
      <c r="S18" s="1560"/>
      <c r="T18" s="1559"/>
      <c r="U18" s="1560"/>
      <c r="V18" s="1559"/>
      <c r="W18" s="1560"/>
      <c r="X18" s="1553"/>
      <c r="Y18" s="3427"/>
      <c r="Z18" s="1561"/>
      <c r="AA18" s="1562">
        <v>1</v>
      </c>
      <c r="AB18" s="1562">
        <v>1</v>
      </c>
      <c r="AC18" s="1562">
        <v>1</v>
      </c>
    </row>
    <row r="19" spans="1:29" ht="15">
      <c r="A19" s="531"/>
      <c r="B19" s="870" t="s">
        <v>507</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27"/>
      <c r="Q19" s="1558" t="str">
        <f>B19</f>
        <v>交通便捷度</v>
      </c>
      <c r="R19" s="1559" t="s">
        <v>8</v>
      </c>
      <c r="S19" s="1560">
        <f>F19</f>
        <v>100</v>
      </c>
      <c r="T19" s="1559" t="s">
        <v>8</v>
      </c>
      <c r="U19" s="1560">
        <f>H19</f>
        <v>100</v>
      </c>
      <c r="V19" s="1559" t="s">
        <v>8</v>
      </c>
      <c r="W19" s="1560">
        <f>J19</f>
        <v>100</v>
      </c>
      <c r="X19" s="1553"/>
      <c r="Y19" s="3427"/>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27"/>
      <c r="Q20" s="1558"/>
      <c r="R20" s="1559"/>
      <c r="S20" s="1560"/>
      <c r="T20" s="1559"/>
      <c r="U20" s="1560"/>
      <c r="V20" s="1559"/>
      <c r="W20" s="1560"/>
      <c r="X20" s="1553"/>
      <c r="Y20" s="3427"/>
      <c r="Z20" s="1561"/>
      <c r="AA20" s="1562">
        <v>1</v>
      </c>
      <c r="AB20" s="1562">
        <v>1</v>
      </c>
      <c r="AC20" s="1562">
        <v>1</v>
      </c>
    </row>
    <row r="21" spans="1:29" ht="27">
      <c r="A21" s="514"/>
      <c r="B21" s="870" t="s">
        <v>508</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27"/>
      <c r="Q21" s="1558" t="str">
        <f t="shared" ref="Q21:Q35" si="8">B21</f>
        <v>区域土地利用方向</v>
      </c>
      <c r="R21" s="1559" t="s">
        <v>8</v>
      </c>
      <c r="S21" s="1560">
        <f>F21</f>
        <v>100</v>
      </c>
      <c r="T21" s="1559" t="s">
        <v>8</v>
      </c>
      <c r="U21" s="1560">
        <f>H21</f>
        <v>100</v>
      </c>
      <c r="V21" s="1559" t="s">
        <v>8</v>
      </c>
      <c r="W21" s="1560">
        <f>J21</f>
        <v>100</v>
      </c>
      <c r="X21" s="1553"/>
      <c r="Y21" s="3427"/>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27"/>
      <c r="Q22" s="1558"/>
      <c r="R22" s="1559"/>
      <c r="S22" s="1560"/>
      <c r="T22" s="1559"/>
      <c r="U22" s="1560"/>
      <c r="V22" s="1559"/>
      <c r="W22" s="1560"/>
      <c r="X22" s="1553"/>
      <c r="Y22" s="3427"/>
      <c r="Z22" s="1561"/>
      <c r="AA22" s="1562"/>
      <c r="AB22" s="1562"/>
      <c r="AC22" s="1562"/>
    </row>
    <row r="23" spans="1:29" ht="15">
      <c r="A23" s="514"/>
      <c r="B23" s="921" t="s">
        <v>563</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27"/>
      <c r="Q23" s="1558" t="str">
        <f t="shared" si="8"/>
        <v>环境状况</v>
      </c>
      <c r="R23" s="1559" t="s">
        <v>8</v>
      </c>
      <c r="S23" s="1560">
        <f>F23</f>
        <v>100</v>
      </c>
      <c r="T23" s="1559" t="s">
        <v>8</v>
      </c>
      <c r="U23" s="1560">
        <f>H23</f>
        <v>100</v>
      </c>
      <c r="V23" s="1559" t="s">
        <v>8</v>
      </c>
      <c r="W23" s="1560">
        <f>J23</f>
        <v>100</v>
      </c>
      <c r="X23" s="1553"/>
      <c r="Y23" s="3427"/>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27"/>
      <c r="Q24" s="1558"/>
      <c r="R24" s="1559"/>
      <c r="S24" s="1560"/>
      <c r="T24" s="1559"/>
      <c r="U24" s="1560"/>
      <c r="V24" s="1559"/>
      <c r="W24" s="1560"/>
      <c r="X24" s="1553"/>
      <c r="Y24" s="3427"/>
      <c r="Z24" s="1561"/>
      <c r="AA24" s="1562">
        <v>1</v>
      </c>
      <c r="AB24" s="1562">
        <v>1</v>
      </c>
      <c r="AC24" s="1562">
        <v>1</v>
      </c>
    </row>
    <row r="25" spans="1:29" s="1215" customFormat="1" ht="15">
      <c r="A25" s="576"/>
      <c r="B25" s="2557" t="s">
        <v>2503</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27"/>
      <c r="Q25" s="1146" t="str">
        <f t="shared" si="8"/>
        <v>公共配套设施</v>
      </c>
      <c r="R25" s="1554" t="s">
        <v>8</v>
      </c>
      <c r="S25" s="1555">
        <f>F25</f>
        <v>100</v>
      </c>
      <c r="T25" s="1554" t="s">
        <v>8</v>
      </c>
      <c r="U25" s="1555">
        <f>H25</f>
        <v>100</v>
      </c>
      <c r="V25" s="1554" t="s">
        <v>8</v>
      </c>
      <c r="W25" s="1555">
        <f>J25</f>
        <v>100</v>
      </c>
      <c r="X25" s="1556"/>
      <c r="Y25" s="3427"/>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27"/>
      <c r="Q26" s="1146"/>
      <c r="R26" s="1554"/>
      <c r="S26" s="1555"/>
      <c r="T26" s="1554"/>
      <c r="U26" s="1555"/>
      <c r="V26" s="1554"/>
      <c r="W26" s="1555"/>
      <c r="X26" s="1556"/>
      <c r="Y26" s="3427"/>
      <c r="Z26" s="1145"/>
      <c r="AA26" s="1557">
        <v>1</v>
      </c>
      <c r="AB26" s="1557">
        <v>1</v>
      </c>
      <c r="AC26" s="1557">
        <v>1</v>
      </c>
    </row>
    <row r="27" spans="1:29" s="1215" customFormat="1" ht="15">
      <c r="A27" s="576"/>
      <c r="B27" s="2557" t="s">
        <v>2504</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27"/>
      <c r="Q27" s="2542" t="str">
        <f t="shared" ref="Q27" si="9">B27</f>
        <v>基础设施水平</v>
      </c>
      <c r="R27" s="1554" t="s">
        <v>8</v>
      </c>
      <c r="S27" s="1555">
        <f>F27</f>
        <v>100</v>
      </c>
      <c r="T27" s="1554" t="s">
        <v>8</v>
      </c>
      <c r="U27" s="1555">
        <f>H27</f>
        <v>100</v>
      </c>
      <c r="V27" s="1554" t="s">
        <v>8</v>
      </c>
      <c r="W27" s="1555">
        <f>J27</f>
        <v>100</v>
      </c>
      <c r="X27" s="1556"/>
      <c r="Y27" s="3427"/>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27"/>
      <c r="Q28" s="2542"/>
      <c r="R28" s="1554"/>
      <c r="S28" s="1555"/>
      <c r="T28" s="1554"/>
      <c r="U28" s="1555"/>
      <c r="V28" s="1554"/>
      <c r="W28" s="1555"/>
      <c r="X28" s="1556"/>
      <c r="Y28" s="3427"/>
      <c r="Z28" s="2539"/>
      <c r="AA28" s="1557">
        <v>1</v>
      </c>
      <c r="AB28" s="1557">
        <v>1</v>
      </c>
      <c r="AC28" s="1557">
        <v>1</v>
      </c>
    </row>
    <row r="29" spans="1:29" ht="15">
      <c r="A29" s="531"/>
      <c r="B29" s="594" t="s">
        <v>511</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2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7"/>
      <c r="Z29" s="1561" t="str">
        <f t="shared" ref="Z29:Z42" si="13">Q29</f>
        <v>临街状况</v>
      </c>
      <c r="AA29" s="1562">
        <f t="shared" si="3"/>
        <v>1</v>
      </c>
      <c r="AB29" s="1562">
        <f t="shared" si="4"/>
        <v>1</v>
      </c>
      <c r="AC29" s="1562">
        <f t="shared" si="5"/>
        <v>1</v>
      </c>
    </row>
    <row r="30" spans="1:29" ht="27">
      <c r="A30" s="531"/>
      <c r="B30" s="921" t="s">
        <v>512</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27"/>
      <c r="Q30" s="1558" t="str">
        <f t="shared" si="8"/>
        <v>毗邻道路的类型与等级</v>
      </c>
      <c r="R30" s="1559" t="s">
        <v>8</v>
      </c>
      <c r="S30" s="1560">
        <f t="shared" si="10"/>
        <v>100</v>
      </c>
      <c r="T30" s="1559" t="s">
        <v>8</v>
      </c>
      <c r="U30" s="1560">
        <f t="shared" si="11"/>
        <v>100</v>
      </c>
      <c r="V30" s="1559" t="s">
        <v>8</v>
      </c>
      <c r="W30" s="1560">
        <f t="shared" si="12"/>
        <v>100</v>
      </c>
      <c r="X30" s="1553"/>
      <c r="Y30" s="3427"/>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27"/>
      <c r="Q31" s="1558"/>
      <c r="R31" s="1559"/>
      <c r="S31" s="1560"/>
      <c r="T31" s="1559"/>
      <c r="U31" s="1560"/>
      <c r="V31" s="1559"/>
      <c r="W31" s="1560"/>
      <c r="X31" s="1553"/>
      <c r="Y31" s="3427"/>
      <c r="Z31" s="1561"/>
      <c r="AA31" s="1562">
        <v>1</v>
      </c>
      <c r="AB31" s="1562">
        <v>1</v>
      </c>
      <c r="AC31" s="1562">
        <v>1</v>
      </c>
    </row>
    <row r="32" spans="1:29" ht="15">
      <c r="A32" s="531"/>
      <c r="B32" s="526" t="s">
        <v>513</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27"/>
      <c r="Q32" s="1558" t="str">
        <f t="shared" si="8"/>
        <v>土地级别</v>
      </c>
      <c r="R32" s="1559" t="s">
        <v>8</v>
      </c>
      <c r="S32" s="1560">
        <f t="shared" si="10"/>
        <v>100</v>
      </c>
      <c r="T32" s="1559" t="s">
        <v>8</v>
      </c>
      <c r="U32" s="1560">
        <f t="shared" si="11"/>
        <v>100</v>
      </c>
      <c r="V32" s="1559" t="s">
        <v>8</v>
      </c>
      <c r="W32" s="1560">
        <f t="shared" si="12"/>
        <v>100</v>
      </c>
      <c r="X32" s="1553"/>
      <c r="Y32" s="3427"/>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27"/>
      <c r="Q33" s="1558">
        <f t="shared" si="8"/>
        <v>111</v>
      </c>
      <c r="R33" s="1559" t="s">
        <v>8</v>
      </c>
      <c r="S33" s="1560">
        <f t="shared" si="10"/>
        <v>100</v>
      </c>
      <c r="T33" s="1559" t="s">
        <v>8</v>
      </c>
      <c r="U33" s="1560">
        <f t="shared" si="11"/>
        <v>100</v>
      </c>
      <c r="V33" s="1559" t="s">
        <v>8</v>
      </c>
      <c r="W33" s="1560">
        <f t="shared" si="12"/>
        <v>100</v>
      </c>
      <c r="X33" s="1553"/>
      <c r="Y33" s="3427"/>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28" t="s">
        <v>514</v>
      </c>
      <c r="Q34" s="1558">
        <f t="shared" si="8"/>
        <v>111</v>
      </c>
      <c r="R34" s="1559" t="s">
        <v>8</v>
      </c>
      <c r="S34" s="1560">
        <f t="shared" si="10"/>
        <v>100</v>
      </c>
      <c r="T34" s="1559" t="s">
        <v>8</v>
      </c>
      <c r="U34" s="1560">
        <f t="shared" si="11"/>
        <v>100</v>
      </c>
      <c r="V34" s="1559" t="s">
        <v>8</v>
      </c>
      <c r="W34" s="1560">
        <f t="shared" si="12"/>
        <v>100</v>
      </c>
      <c r="X34" s="1553"/>
      <c r="Y34" s="3429" t="s">
        <v>514</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29"/>
      <c r="Q35" s="1558">
        <f t="shared" si="8"/>
        <v>111</v>
      </c>
      <c r="R35" s="1563" t="s">
        <v>8</v>
      </c>
      <c r="S35" s="1564">
        <f t="shared" si="10"/>
        <v>100</v>
      </c>
      <c r="T35" s="1563" t="s">
        <v>8</v>
      </c>
      <c r="U35" s="1564">
        <f t="shared" si="11"/>
        <v>100</v>
      </c>
      <c r="V35" s="1563" t="s">
        <v>8</v>
      </c>
      <c r="W35" s="1564">
        <f t="shared" si="12"/>
        <v>100</v>
      </c>
      <c r="X35" s="1565"/>
      <c r="Y35" s="3429"/>
      <c r="Z35" s="1566">
        <f t="shared" si="13"/>
        <v>111</v>
      </c>
      <c r="AA35" s="1562">
        <f t="shared" si="3"/>
        <v>1</v>
      </c>
      <c r="AB35" s="1562">
        <f t="shared" si="4"/>
        <v>1</v>
      </c>
      <c r="AC35" s="1562">
        <f t="shared" si="5"/>
        <v>1</v>
      </c>
    </row>
    <row r="36" spans="1:29" ht="15">
      <c r="A36" s="2862" t="s">
        <v>2710</v>
      </c>
      <c r="B36" s="594" t="s">
        <v>516</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29"/>
      <c r="Q36" s="1558" t="str">
        <f>B36</f>
        <v>宗地面积</v>
      </c>
      <c r="R36" s="1559" t="s">
        <v>8</v>
      </c>
      <c r="S36" s="1560" t="e">
        <f t="shared" si="10"/>
        <v>#N/A</v>
      </c>
      <c r="T36" s="1559" t="s">
        <v>8</v>
      </c>
      <c r="U36" s="1560" t="e">
        <f t="shared" si="11"/>
        <v>#N/A</v>
      </c>
      <c r="V36" s="1559" t="s">
        <v>8</v>
      </c>
      <c r="W36" s="1560" t="e">
        <f t="shared" si="12"/>
        <v>#N/A</v>
      </c>
      <c r="X36" s="1553"/>
      <c r="Y36" s="3429"/>
      <c r="Z36" s="1561" t="str">
        <f t="shared" si="13"/>
        <v>宗地面积</v>
      </c>
      <c r="AA36" s="1562" t="e">
        <f t="shared" si="3"/>
        <v>#N/A</v>
      </c>
      <c r="AB36" s="1562" t="e">
        <f t="shared" si="4"/>
        <v>#N/A</v>
      </c>
      <c r="AC36" s="1562" t="e">
        <f t="shared" si="5"/>
        <v>#N/A</v>
      </c>
    </row>
    <row r="37" spans="1:29" ht="15">
      <c r="A37" s="593"/>
      <c r="B37" s="526" t="s">
        <v>517</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29"/>
      <c r="Q37" s="1558" t="str">
        <f t="shared" ref="Q37:Q42" si="14">B37</f>
        <v>宗地形状</v>
      </c>
      <c r="R37" s="1559" t="s">
        <v>8</v>
      </c>
      <c r="S37" s="1560">
        <f t="shared" si="10"/>
        <v>100</v>
      </c>
      <c r="T37" s="1559" t="s">
        <v>8</v>
      </c>
      <c r="U37" s="1560">
        <f t="shared" si="11"/>
        <v>100</v>
      </c>
      <c r="V37" s="1559" t="s">
        <v>8</v>
      </c>
      <c r="W37" s="1560">
        <f t="shared" si="12"/>
        <v>100</v>
      </c>
      <c r="X37" s="1553"/>
      <c r="Y37" s="3429"/>
      <c r="Z37" s="1561" t="str">
        <f t="shared" si="13"/>
        <v>宗地形状</v>
      </c>
      <c r="AA37" s="1562">
        <f t="shared" si="3"/>
        <v>1</v>
      </c>
      <c r="AB37" s="1562">
        <f t="shared" si="4"/>
        <v>1</v>
      </c>
      <c r="AC37" s="1562">
        <f t="shared" si="5"/>
        <v>1</v>
      </c>
    </row>
    <row r="38" spans="1:29" s="1215" customFormat="1" ht="15">
      <c r="A38" s="599"/>
      <c r="B38" s="1880" t="s">
        <v>2381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29"/>
      <c r="Q38" s="1558" t="str">
        <f t="shared" si="14"/>
        <v>宗地开发程度</v>
      </c>
      <c r="R38" s="1554" t="s">
        <v>8</v>
      </c>
      <c r="S38" s="1555">
        <f t="shared" si="10"/>
        <v>100</v>
      </c>
      <c r="T38" s="1554" t="s">
        <v>8</v>
      </c>
      <c r="U38" s="1555">
        <f t="shared" si="11"/>
        <v>100</v>
      </c>
      <c r="V38" s="1554" t="s">
        <v>8</v>
      </c>
      <c r="W38" s="1555">
        <f t="shared" si="12"/>
        <v>100</v>
      </c>
      <c r="X38" s="1556"/>
      <c r="Y38" s="3429"/>
      <c r="Z38" s="1145" t="str">
        <f t="shared" si="13"/>
        <v>宗地开发程度</v>
      </c>
      <c r="AA38" s="1557">
        <f t="shared" si="3"/>
        <v>1</v>
      </c>
      <c r="AB38" s="1557">
        <f t="shared" si="4"/>
        <v>1</v>
      </c>
      <c r="AC38" s="1557">
        <f t="shared" si="5"/>
        <v>1</v>
      </c>
    </row>
    <row r="39" spans="1:29" ht="15">
      <c r="A39" s="593"/>
      <c r="B39" s="526" t="s">
        <v>519</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29" t="s">
        <v>565</v>
      </c>
      <c r="Q39" s="1558" t="str">
        <f t="shared" si="14"/>
        <v>工程地质条件</v>
      </c>
      <c r="R39" s="1559" t="s">
        <v>8</v>
      </c>
      <c r="S39" s="1560">
        <f t="shared" si="10"/>
        <v>100</v>
      </c>
      <c r="T39" s="1559" t="s">
        <v>8</v>
      </c>
      <c r="U39" s="1560">
        <f t="shared" si="11"/>
        <v>100</v>
      </c>
      <c r="V39" s="1559" t="s">
        <v>8</v>
      </c>
      <c r="W39" s="1560">
        <f t="shared" si="12"/>
        <v>100</v>
      </c>
      <c r="X39" s="1553"/>
      <c r="Y39" s="3429" t="s">
        <v>565</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29"/>
      <c r="Q40" s="1558">
        <f t="shared" si="14"/>
        <v>111</v>
      </c>
      <c r="R40" s="1559" t="s">
        <v>8</v>
      </c>
      <c r="S40" s="1560">
        <f t="shared" si="10"/>
        <v>100</v>
      </c>
      <c r="T40" s="1559" t="s">
        <v>8</v>
      </c>
      <c r="U40" s="1560">
        <f t="shared" si="11"/>
        <v>100</v>
      </c>
      <c r="V40" s="1559" t="s">
        <v>8</v>
      </c>
      <c r="W40" s="1560">
        <f t="shared" si="12"/>
        <v>100</v>
      </c>
      <c r="X40" s="1553"/>
      <c r="Y40" s="3429"/>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29"/>
      <c r="Q41" s="1558">
        <f t="shared" si="14"/>
        <v>111</v>
      </c>
      <c r="R41" s="1559" t="s">
        <v>8</v>
      </c>
      <c r="S41" s="1560">
        <f t="shared" si="10"/>
        <v>100</v>
      </c>
      <c r="T41" s="1559" t="s">
        <v>8</v>
      </c>
      <c r="U41" s="1560">
        <f t="shared" si="11"/>
        <v>100</v>
      </c>
      <c r="V41" s="1559" t="s">
        <v>8</v>
      </c>
      <c r="W41" s="1560">
        <f t="shared" si="12"/>
        <v>100</v>
      </c>
      <c r="X41" s="1553"/>
      <c r="Y41" s="3429"/>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29"/>
      <c r="Q42" s="1558">
        <f t="shared" si="14"/>
        <v>111</v>
      </c>
      <c r="R42" s="1563" t="s">
        <v>8</v>
      </c>
      <c r="S42" s="1564">
        <f t="shared" si="10"/>
        <v>100</v>
      </c>
      <c r="T42" s="1563" t="s">
        <v>8</v>
      </c>
      <c r="U42" s="1564">
        <f t="shared" si="11"/>
        <v>100</v>
      </c>
      <c r="V42" s="1563" t="s">
        <v>8</v>
      </c>
      <c r="W42" s="1564">
        <f t="shared" si="12"/>
        <v>100</v>
      </c>
      <c r="X42" s="1565"/>
      <c r="Y42" s="3429"/>
      <c r="Z42" s="1566">
        <f t="shared" si="13"/>
        <v>111</v>
      </c>
      <c r="AA42" s="1562">
        <f t="shared" si="3"/>
        <v>1</v>
      </c>
      <c r="AB42" s="1562">
        <f t="shared" si="4"/>
        <v>1</v>
      </c>
      <c r="AC42" s="1562">
        <f t="shared" si="5"/>
        <v>1</v>
      </c>
    </row>
    <row r="43" spans="1:29" ht="15">
      <c r="A43" s="606" t="s">
        <v>520</v>
      </c>
      <c r="B43" s="607" t="s">
        <v>2877</v>
      </c>
      <c r="C43" s="608" t="s">
        <v>1</v>
      </c>
      <c r="D43" s="609"/>
      <c r="E43" s="610"/>
      <c r="F43" s="611"/>
      <c r="G43" s="612"/>
      <c r="H43" s="613"/>
      <c r="I43" s="610"/>
      <c r="J43" s="613"/>
      <c r="K43" s="1335"/>
      <c r="L43" s="2129"/>
      <c r="M43" s="2119"/>
      <c r="N43" s="2119"/>
      <c r="O43" s="2130"/>
      <c r="P43" s="3391" t="str">
        <f>A43</f>
        <v>成交单价</v>
      </c>
      <c r="Q43" s="3391"/>
      <c r="R43" s="3392">
        <f>E43</f>
        <v>0</v>
      </c>
      <c r="S43" s="3392"/>
      <c r="T43" s="3392">
        <f>G43</f>
        <v>0</v>
      </c>
      <c r="U43" s="3392"/>
      <c r="V43" s="3392">
        <f>I43</f>
        <v>0</v>
      </c>
      <c r="W43" s="3392"/>
      <c r="X43" s="1545"/>
      <c r="Y43" s="1567"/>
      <c r="Z43" s="1545"/>
      <c r="AA43" s="1545"/>
      <c r="AB43" s="1545"/>
      <c r="AC43" s="1545"/>
    </row>
    <row r="44" spans="1:29" ht="15.75" thickBot="1">
      <c r="A44" s="614" t="s">
        <v>2648</v>
      </c>
      <c r="B44" s="615"/>
      <c r="C44" s="616" t="e">
        <f>R45</f>
        <v>#DIV/0!</v>
      </c>
      <c r="D44" s="617"/>
      <c r="E44" s="616" t="e">
        <f>R44</f>
        <v>#DIV/0!</v>
      </c>
      <c r="F44" s="618"/>
      <c r="G44" s="619" t="e">
        <f>T44</f>
        <v>#DIV/0!</v>
      </c>
      <c r="H44" s="617"/>
      <c r="I44" s="616" t="e">
        <f>V44</f>
        <v>#DIV/0!</v>
      </c>
      <c r="J44" s="617"/>
      <c r="K44" s="1336"/>
      <c r="L44" s="2129"/>
      <c r="M44" s="2119"/>
      <c r="N44" s="2119"/>
      <c r="O44" s="2130"/>
      <c r="P44" s="3391" t="str">
        <f>A44</f>
        <v>比较价格（元/平方米）</v>
      </c>
      <c r="Q44" s="3391"/>
      <c r="R44" s="3393" t="e">
        <f>ROUND(PRODUCT(R43,AA9:AA42),0)</f>
        <v>#DIV/0!</v>
      </c>
      <c r="S44" s="3393"/>
      <c r="T44" s="3393" t="e">
        <f>ROUND(PRODUCT(T43,AB9:AB42),0)</f>
        <v>#DIV/0!</v>
      </c>
      <c r="U44" s="3393"/>
      <c r="V44" s="3393" t="e">
        <f>ROUND(PRODUCT(V43,AC9:AC42),0)</f>
        <v>#DIV/0!</v>
      </c>
      <c r="W44" s="3393"/>
      <c r="X44" s="1545"/>
      <c r="Y44" s="1545"/>
      <c r="Z44" s="1545"/>
      <c r="AA44" s="1545"/>
      <c r="AB44" s="1545"/>
      <c r="AC44" s="1545"/>
    </row>
    <row r="45" spans="1:29" ht="15.75" thickBot="1">
      <c r="A45" s="620" t="s">
        <v>2878</v>
      </c>
      <c r="B45" s="621"/>
      <c r="C45" s="622" t="e">
        <f>R45</f>
        <v>#DIV/0!</v>
      </c>
      <c r="D45" s="622"/>
      <c r="E45" s="622"/>
      <c r="F45" s="622"/>
      <c r="G45" s="622"/>
      <c r="H45" s="622"/>
      <c r="I45" s="622"/>
      <c r="J45" s="622"/>
      <c r="K45" s="1337"/>
      <c r="L45" s="2129"/>
      <c r="M45" s="2119"/>
      <c r="N45" s="2119"/>
      <c r="O45" s="2130"/>
      <c r="P45" s="3388" t="str">
        <f>A45</f>
        <v>估价对象XX用房的比较价格（楼面单价，元/平方米）</v>
      </c>
      <c r="Q45" s="3389"/>
      <c r="R45" s="3390" t="e">
        <f>ROUND(AVERAGE(R44:V44),0)</f>
        <v>#DIV/0!</v>
      </c>
      <c r="S45" s="3390"/>
      <c r="T45" s="3390"/>
      <c r="U45" s="3390"/>
      <c r="V45" s="3390"/>
      <c r="W45" s="339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521</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522</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523</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524</v>
      </c>
      <c r="B52" s="629" t="s">
        <v>525</v>
      </c>
      <c r="C52" s="1546" t="s">
        <v>1683</v>
      </c>
      <c r="D52" s="2212" t="s">
        <v>2250</v>
      </c>
      <c r="E52" s="630" t="s">
        <v>526</v>
      </c>
      <c r="F52" s="1936" t="s">
        <v>527</v>
      </c>
      <c r="G52" s="3436" t="s">
        <v>2241</v>
      </c>
      <c r="H52" s="3437"/>
      <c r="I52" s="1937" t="s">
        <v>1904</v>
      </c>
      <c r="J52" s="1541" t="str">
        <f>项目基本情况!F41</f>
        <v>沧州市黄骅市</v>
      </c>
      <c r="K52" s="2139" t="s">
        <v>1682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528</v>
      </c>
      <c r="B53" s="633" t="e">
        <f>C45</f>
        <v>#DIV/0!</v>
      </c>
      <c r="C53" s="634">
        <v>1</v>
      </c>
      <c r="D53" s="2213">
        <v>1</v>
      </c>
      <c r="E53" s="634">
        <f>'数据-汇总表'!E8+'数据-汇总表'!E9</f>
        <v>55458.58</v>
      </c>
      <c r="F53" s="1935" t="e">
        <f t="shared" ref="F53:F62" si="15">ROUND(B53*E53/10000,0)</f>
        <v>#DIV/0!</v>
      </c>
      <c r="G53" s="3438"/>
      <c r="H53" s="3439"/>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529</v>
      </c>
      <c r="B54" s="637" t="e">
        <f>ROUND($C$45*C54*D54,0)</f>
        <v>#DIV/0!</v>
      </c>
      <c r="C54" s="377">
        <f t="shared" ref="C54:C62" si="16">IF($C$52="北京市系数",I54,J54)</f>
        <v>0</v>
      </c>
      <c r="D54" s="2214">
        <v>0.25</v>
      </c>
      <c r="E54" s="638"/>
      <c r="F54" s="1935" t="e">
        <f t="shared" si="15"/>
        <v>#DIV/0!</v>
      </c>
      <c r="G54" s="3440" t="s">
        <v>2242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530</v>
      </c>
      <c r="B55" s="637" t="e">
        <f t="shared" ref="B55:B62" si="17">ROUND($C$45*C55*D55,0)</f>
        <v>#DIV/0!</v>
      </c>
      <c r="C55" s="377">
        <f t="shared" si="16"/>
        <v>0</v>
      </c>
      <c r="D55" s="2214">
        <v>0.25</v>
      </c>
      <c r="E55" s="638"/>
      <c r="F55" s="1935" t="e">
        <f t="shared" si="15"/>
        <v>#DIV/0!</v>
      </c>
      <c r="G55" s="3440"/>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531</v>
      </c>
      <c r="B56" s="637" t="e">
        <f t="shared" si="17"/>
        <v>#DIV/0!</v>
      </c>
      <c r="C56" s="377">
        <f t="shared" si="16"/>
        <v>0</v>
      </c>
      <c r="D56" s="2214">
        <v>0.25</v>
      </c>
      <c r="E56" s="638"/>
      <c r="F56" s="1935" t="e">
        <f t="shared" si="15"/>
        <v>#DIV/0!</v>
      </c>
      <c r="G56" s="3440"/>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532</v>
      </c>
      <c r="B57" s="637" t="e">
        <f t="shared" si="17"/>
        <v>#DIV/0!</v>
      </c>
      <c r="C57" s="377">
        <f t="shared" si="16"/>
        <v>0</v>
      </c>
      <c r="D57" s="2214">
        <v>0.25</v>
      </c>
      <c r="E57" s="638"/>
      <c r="F57" s="1935" t="e">
        <f t="shared" si="15"/>
        <v>#DIV/0!</v>
      </c>
      <c r="G57" s="3440"/>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2285</v>
      </c>
      <c r="B58" s="637" t="e">
        <f t="shared" si="17"/>
        <v>#DIV/0!</v>
      </c>
      <c r="C58" s="377">
        <f t="shared" si="16"/>
        <v>0</v>
      </c>
      <c r="D58" s="2214">
        <v>0.25</v>
      </c>
      <c r="E58" s="640">
        <f>'数据-汇总表'!E11</f>
        <v>0</v>
      </c>
      <c r="F58" s="1935" t="e">
        <f t="shared" si="15"/>
        <v>#DIV/0!</v>
      </c>
      <c r="G58" s="1941" t="s">
        <v>2243</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533</v>
      </c>
      <c r="B59" s="637" t="e">
        <f t="shared" si="17"/>
        <v>#DIV/0!</v>
      </c>
      <c r="C59" s="377">
        <f t="shared" si="16"/>
        <v>0</v>
      </c>
      <c r="D59" s="2214">
        <v>0.25</v>
      </c>
      <c r="E59" s="640">
        <f>'数据-汇总表'!E12</f>
        <v>0</v>
      </c>
      <c r="F59" s="1935" t="e">
        <f t="shared" si="15"/>
        <v>#DIV/0!</v>
      </c>
      <c r="G59" s="1931" t="s">
        <v>1639</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534</v>
      </c>
      <c r="B60" s="637" t="e">
        <f t="shared" si="17"/>
        <v>#DIV/0!</v>
      </c>
      <c r="C60" s="377">
        <f t="shared" si="16"/>
        <v>0</v>
      </c>
      <c r="D60" s="2214">
        <v>0.25</v>
      </c>
      <c r="E60" s="640">
        <f>'数据-汇总表'!E13</f>
        <v>0</v>
      </c>
      <c r="F60" s="1935" t="e">
        <f t="shared" si="15"/>
        <v>#DIV/0!</v>
      </c>
      <c r="G60" s="1931" t="s">
        <v>886</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535</v>
      </c>
      <c r="B61" s="637" t="e">
        <f t="shared" si="17"/>
        <v>#DIV/0!</v>
      </c>
      <c r="C61" s="377">
        <f t="shared" si="16"/>
        <v>0</v>
      </c>
      <c r="D61" s="2214">
        <v>0.25</v>
      </c>
      <c r="E61" s="640">
        <f>'数据-汇总表'!E14</f>
        <v>0</v>
      </c>
      <c r="F61" s="1935" t="e">
        <f t="shared" si="15"/>
        <v>#DIV/0!</v>
      </c>
      <c r="G61" s="1941" t="s">
        <v>2242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536</v>
      </c>
      <c r="B62" s="637" t="e">
        <f t="shared" si="17"/>
        <v>#DIV/0!</v>
      </c>
      <c r="C62" s="377">
        <f t="shared" si="16"/>
        <v>0</v>
      </c>
      <c r="D62" s="2214">
        <v>0.25</v>
      </c>
      <c r="E62" s="640">
        <f>'数据-汇总表'!E15</f>
        <v>0</v>
      </c>
      <c r="F62" s="1935" t="e">
        <f t="shared" si="15"/>
        <v>#DIV/0!</v>
      </c>
      <c r="G62" s="1942" t="s">
        <v>2243</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537</v>
      </c>
      <c r="B63" s="642" t="s">
        <v>16</v>
      </c>
      <c r="C63" s="642" t="s">
        <v>17</v>
      </c>
      <c r="D63" s="642" t="s">
        <v>2251</v>
      </c>
      <c r="E63" s="642">
        <f>IF(B43="楼面地价",SUM(E53:E62),'数据-汇总表'!D3)</f>
        <v>27729.29</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2019-9-1</v>
      </c>
      <c r="D65" s="2754">
        <f>EDATE(C65,-3)</f>
        <v>43617</v>
      </c>
      <c r="E65" s="2754">
        <f t="shared" ref="E65:N65" si="18">EDATE(D65,-3)</f>
        <v>43525</v>
      </c>
      <c r="F65" s="2754">
        <f t="shared" si="18"/>
        <v>43435</v>
      </c>
      <c r="G65" s="2754">
        <f t="shared" si="18"/>
        <v>43344</v>
      </c>
      <c r="H65" s="2754">
        <f t="shared" si="18"/>
        <v>43252</v>
      </c>
      <c r="I65" s="2754">
        <f t="shared" si="18"/>
        <v>43160</v>
      </c>
      <c r="J65" s="2754">
        <f t="shared" si="18"/>
        <v>43070</v>
      </c>
      <c r="K65" s="2754">
        <f t="shared" si="18"/>
        <v>42979</v>
      </c>
      <c r="L65" s="2754">
        <f t="shared" si="18"/>
        <v>42887</v>
      </c>
      <c r="M65" s="2754">
        <f t="shared" si="18"/>
        <v>42795</v>
      </c>
      <c r="N65" s="2754">
        <f t="shared" si="18"/>
        <v>42705</v>
      </c>
      <c r="O65" s="2130"/>
      <c r="P65" s="2130"/>
      <c r="Q65" s="2130"/>
      <c r="R65" s="2130"/>
      <c r="S65" s="2130"/>
      <c r="T65" s="2130"/>
      <c r="U65" s="2130"/>
      <c r="V65" s="2130"/>
      <c r="W65" s="2130"/>
      <c r="X65" s="2130"/>
      <c r="Y65" s="2130"/>
      <c r="Z65" s="2130"/>
      <c r="AA65" s="2130"/>
      <c r="AB65" s="2130"/>
      <c r="AC65" s="2130"/>
    </row>
    <row r="66" spans="1:29" ht="21.75" thickBot="1">
      <c r="A66" s="1570" t="s">
        <v>538</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2488</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2604</v>
      </c>
      <c r="B68" s="478" t="str">
        <f>"北京市平均增长率"&amp;TEXT(基准地价!P24,"0.00%")</f>
        <v>北京市平均增长率0.00%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539</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495</v>
      </c>
      <c r="B70" s="647"/>
      <c r="C70" s="659" t="s">
        <v>540</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541</v>
      </c>
      <c r="B72" s="664" t="s">
        <v>498</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501</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502</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503</v>
      </c>
      <c r="B85" s="664" t="s">
        <v>566</v>
      </c>
      <c r="C85" s="702" t="s">
        <v>543</v>
      </c>
      <c r="D85" s="702" t="s">
        <v>544</v>
      </c>
      <c r="E85" s="702" t="s">
        <v>545</v>
      </c>
      <c r="F85" s="702" t="s">
        <v>546</v>
      </c>
      <c r="G85" s="702" t="s">
        <v>547</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550</v>
      </c>
      <c r="C87" s="707" t="s">
        <v>543</v>
      </c>
      <c r="D87" s="707" t="s">
        <v>544</v>
      </c>
      <c r="E87" s="707" t="s">
        <v>545</v>
      </c>
      <c r="F87" s="707" t="s">
        <v>546</v>
      </c>
      <c r="G87" s="707" t="s">
        <v>547</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551</v>
      </c>
      <c r="C89" s="707" t="s">
        <v>543</v>
      </c>
      <c r="D89" s="707" t="s">
        <v>544</v>
      </c>
      <c r="E89" s="707" t="s">
        <v>545</v>
      </c>
      <c r="F89" s="707" t="s">
        <v>546</v>
      </c>
      <c r="G89" s="707" t="s">
        <v>547</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552</v>
      </c>
      <c r="C91" s="702" t="s">
        <v>543</v>
      </c>
      <c r="D91" s="702" t="s">
        <v>544</v>
      </c>
      <c r="E91" s="702" t="s">
        <v>545</v>
      </c>
      <c r="F91" s="702" t="s">
        <v>546</v>
      </c>
      <c r="G91" s="702" t="s">
        <v>547</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2503</v>
      </c>
      <c r="C93" s="702" t="s">
        <v>543</v>
      </c>
      <c r="D93" s="702" t="s">
        <v>544</v>
      </c>
      <c r="E93" s="702" t="s">
        <v>545</v>
      </c>
      <c r="F93" s="702" t="s">
        <v>546</v>
      </c>
      <c r="G93" s="702" t="s">
        <v>547</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2505</v>
      </c>
      <c r="C95" s="2562" t="s">
        <v>2506</v>
      </c>
      <c r="D95" s="2562" t="s">
        <v>2507</v>
      </c>
      <c r="E95" s="2562" t="s">
        <v>2508</v>
      </c>
      <c r="F95" s="2562" t="s">
        <v>2509</v>
      </c>
      <c r="G95" s="2562" t="s">
        <v>2510</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553</v>
      </c>
      <c r="D97" s="673" t="s">
        <v>554</v>
      </c>
      <c r="E97" s="673" t="s">
        <v>555</v>
      </c>
      <c r="F97" s="673" t="s">
        <v>556</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512</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513</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515</v>
      </c>
      <c r="B109" s="664" t="s">
        <v>557</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558</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2382</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560</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1653</v>
      </c>
      <c r="B1" s="1396"/>
      <c r="C1" s="1402" t="s">
        <v>2383</v>
      </c>
      <c r="D1" s="1508">
        <f>SUM(D29:D30,D33:D39)</f>
        <v>0</v>
      </c>
      <c r="E1" s="1402" t="s">
        <v>2384</v>
      </c>
      <c r="F1" s="2416"/>
      <c r="G1" s="1397"/>
      <c r="H1" s="1397"/>
      <c r="I1" s="1397"/>
      <c r="J1" s="1397"/>
      <c r="K1" s="1397"/>
      <c r="L1" s="1867" t="s">
        <v>2195</v>
      </c>
      <c r="M1" s="1868">
        <f>SUMPRODUCT((区片价!B5:B9=I2)*(区片价!C3:F3=E2)*(区片价!C5:F9))</f>
        <v>0</v>
      </c>
      <c r="N1" s="1869">
        <f>SUMPRODUCT((因素修正幅度!B5:B9=I2)*(因素修正幅度!C3:F3=E2)*(因素修正幅度!C5:F9))</f>
        <v>0</v>
      </c>
      <c r="O1" s="1397"/>
      <c r="P1" s="1397"/>
      <c r="Q1" s="2174"/>
      <c r="R1" s="2891" t="s">
        <v>2717</v>
      </c>
      <c r="S1" s="2891" t="s">
        <v>2718</v>
      </c>
      <c r="T1" s="2891" t="s">
        <v>2739</v>
      </c>
      <c r="U1" s="2891" t="s">
        <v>2740</v>
      </c>
      <c r="V1" s="2891" t="s">
        <v>2741</v>
      </c>
      <c r="W1" s="2174"/>
      <c r="X1" s="2174"/>
      <c r="Y1" s="2174"/>
      <c r="Z1" s="2174"/>
      <c r="AA1" s="2174"/>
      <c r="AB1" s="2174"/>
      <c r="AC1" s="2175"/>
    </row>
    <row r="2" spans="1:39" ht="15.75">
      <c r="A2" s="1402" t="s">
        <v>883</v>
      </c>
      <c r="B2" s="1037" t="e">
        <f>C26</f>
        <v>#DIV/0!</v>
      </c>
      <c r="C2" s="1403" t="s">
        <v>884</v>
      </c>
      <c r="D2" s="1404" t="s">
        <v>885</v>
      </c>
      <c r="E2" s="1405"/>
      <c r="F2" s="1404" t="s">
        <v>887</v>
      </c>
      <c r="G2" s="1637">
        <f>IF(E2="商业",项目基本情况!B43,IF(E2="办公",项目基本情况!C43,IF(E2="住宅",项目基本情况!D43,项目基本情况!E43)))</f>
        <v>0</v>
      </c>
      <c r="H2" s="1404" t="s">
        <v>889</v>
      </c>
      <c r="I2" s="1638">
        <f>IF(E2="商业",项目基本情况!B44,IF(E2="办公",项目基本情况!C44,IF(E2="住宅",项目基本情况!D44,项目基本情况!E44)))</f>
        <v>0</v>
      </c>
      <c r="J2" s="1406"/>
      <c r="K2" s="1406"/>
      <c r="L2" s="1870" t="s">
        <v>2196</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1646</v>
      </c>
      <c r="B3" s="1037" t="e">
        <f>ROUND(B2*10000/D1,0)</f>
        <v>#DIV/0!</v>
      </c>
      <c r="C3" s="1403" t="s">
        <v>890</v>
      </c>
      <c r="D3" s="1404" t="s">
        <v>891</v>
      </c>
      <c r="E3" s="1408"/>
      <c r="F3" s="1409"/>
      <c r="G3" s="1038">
        <f>IF(F3="宗地容积率",'数据-汇总表'!I4,IF(F3="估价对象容积率",'数据-汇总表'!I6,'数据-汇总表'!I7))</f>
        <v>0</v>
      </c>
      <c r="H3" s="1410" t="s">
        <v>892</v>
      </c>
      <c r="I3" s="1039">
        <v>8</v>
      </c>
      <c r="J3" s="1406" t="s">
        <v>893</v>
      </c>
      <c r="K3" s="1406"/>
      <c r="L3" s="1870" t="s">
        <v>2197</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2237</v>
      </c>
      <c r="B4" s="2417" t="e">
        <f>ROUND(B2*10000/F1,0)</f>
        <v>#DIV/0!</v>
      </c>
      <c r="C4" s="1879" t="s">
        <v>2211</v>
      </c>
      <c r="D4" s="1879" t="e">
        <f>ROUND(B2/(F1/666.67),0)</f>
        <v>#DIV/0!</v>
      </c>
      <c r="E4" s="1879" t="s">
        <v>2212</v>
      </c>
      <c r="F4" s="1877"/>
      <c r="G4" s="1877"/>
      <c r="H4" s="1877"/>
      <c r="I4" s="1877"/>
      <c r="J4" s="1878"/>
      <c r="K4" s="3149"/>
      <c r="L4" s="1870" t="s">
        <v>2198</v>
      </c>
      <c r="M4" s="1871">
        <f>SUMPRODUCT((区片价!B49:B75=I2)*(区片价!C3:F3=E2)*(区片价!C49:F75))</f>
        <v>0</v>
      </c>
      <c r="N4" s="1872">
        <f>SUMPRODUCT((因素修正幅度!B49:B75=I2)*(因素修正幅度!C3:F3=E2)*(因素修正幅度!C49:F75))</f>
        <v>0</v>
      </c>
      <c r="O4" s="3149"/>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1782</v>
      </c>
      <c r="B5" s="1411" t="s">
        <v>894</v>
      </c>
      <c r="C5" s="1040" t="e">
        <f>ROUND(IF(E2="商业",C6*C7+C16,(IF(E2="住宅",C6*C12+C16,C6+C16))),0)</f>
        <v>#DIV/0!</v>
      </c>
      <c r="D5" s="3070" t="e">
        <f>ROUND(C6+C16,0)</f>
        <v>#DIV/0!</v>
      </c>
      <c r="E5" s="3070"/>
      <c r="F5" s="1412"/>
      <c r="G5" s="1413"/>
      <c r="H5" s="1413"/>
      <c r="I5" s="1413"/>
      <c r="J5" s="1414"/>
      <c r="K5" s="3150"/>
      <c r="L5" s="1870" t="s">
        <v>2199</v>
      </c>
      <c r="M5" s="1871">
        <f>SUMPRODUCT((区片价!B76:B109=I2)*(区片价!C3:F3=E2)*(区片价!C76:F109))</f>
        <v>0</v>
      </c>
      <c r="N5" s="1872">
        <f>SUMPRODUCT((因素修正幅度!B76:B109=I2)*(因素修正幅度!C3:F3=E2)*(因素修正幅度!C76:F109))</f>
        <v>0</v>
      </c>
      <c r="O5" s="3150"/>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1829</v>
      </c>
      <c r="B6" s="1418" t="s">
        <v>894</v>
      </c>
      <c r="C6" s="1041">
        <f>SUMIF(L1:L12,基准地价!G2,M1:M12)</f>
        <v>0</v>
      </c>
      <c r="D6" s="1419" t="s">
        <v>1654</v>
      </c>
      <c r="E6" s="1420"/>
      <c r="F6" s="1420"/>
      <c r="G6" s="1421"/>
      <c r="H6" s="1421"/>
      <c r="I6" s="1421"/>
      <c r="J6" s="1422"/>
      <c r="K6" s="1452"/>
      <c r="L6" s="1870" t="s">
        <v>2200</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52" t="str">
        <f>IF(E2="商业",IF(C8="不临58条商业街","",2),"")</f>
        <v/>
      </c>
      <c r="B7" s="1423" t="s">
        <v>895</v>
      </c>
      <c r="C7" s="1042" t="e">
        <f>IF(C8="不临58条商业街",1,ROUND(1+(1.6*E8+1.2*E9+0.8*E10+0.4*E11)*C9,4))</f>
        <v>#DIV/0!</v>
      </c>
      <c r="D7" s="1424" t="s">
        <v>896</v>
      </c>
      <c r="E7" s="1043"/>
      <c r="F7" s="1425"/>
      <c r="G7" s="1426"/>
      <c r="H7" s="1426"/>
      <c r="I7" s="1426"/>
      <c r="J7" s="1427"/>
      <c r="K7" s="1452"/>
      <c r="L7" s="1870" t="s">
        <v>2201</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2720</v>
      </c>
      <c r="X7" s="2882">
        <f>G2</f>
        <v>0</v>
      </c>
      <c r="Y7" s="2882" t="s">
        <v>2721</v>
      </c>
      <c r="Z7" s="2883">
        <f>G3</f>
        <v>0</v>
      </c>
      <c r="AA7" s="2177"/>
      <c r="AB7" s="2177"/>
      <c r="AC7" s="2178"/>
      <c r="AD7" s="2884"/>
      <c r="AE7" s="2884"/>
      <c r="AF7" s="2884"/>
      <c r="AG7" s="2884"/>
      <c r="AH7" s="2884"/>
      <c r="AI7" s="2884"/>
      <c r="AJ7" s="2885"/>
    </row>
    <row r="8" spans="1:39" ht="15">
      <c r="A8" s="3453"/>
      <c r="B8" s="1410" t="s">
        <v>897</v>
      </c>
      <c r="C8" s="1516"/>
      <c r="D8" s="1044" t="s">
        <v>898</v>
      </c>
      <c r="E8" s="1045" t="e">
        <f>ROUND(C11/E7,4)</f>
        <v>#DIV/0!</v>
      </c>
      <c r="F8" s="1428" t="s">
        <v>899</v>
      </c>
      <c r="G8" s="1429"/>
      <c r="H8" s="1429"/>
      <c r="I8" s="1429"/>
      <c r="J8" s="1430"/>
      <c r="K8" s="1452"/>
      <c r="L8" s="1870" t="s">
        <v>2202</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42" t="s">
        <v>2738</v>
      </c>
      <c r="X8" s="3443"/>
      <c r="Y8" s="1834" t="s">
        <v>2722</v>
      </c>
      <c r="Z8" s="1834" t="s">
        <v>2723</v>
      </c>
      <c r="AA8" s="1834" t="s">
        <v>2724</v>
      </c>
      <c r="AB8" s="1834" t="s">
        <v>2725</v>
      </c>
      <c r="AC8" s="1834" t="s">
        <v>2726</v>
      </c>
      <c r="AD8" s="1834" t="s">
        <v>2727</v>
      </c>
      <c r="AE8" s="1834" t="s">
        <v>2728</v>
      </c>
      <c r="AF8" s="1834" t="s">
        <v>2729</v>
      </c>
      <c r="AG8" s="1834" t="s">
        <v>2730</v>
      </c>
      <c r="AH8" s="1834" t="s">
        <v>2731</v>
      </c>
      <c r="AI8" s="1834" t="s">
        <v>2732</v>
      </c>
      <c r="AJ8" s="1834" t="s">
        <v>2733</v>
      </c>
    </row>
    <row r="9" spans="1:39" ht="15">
      <c r="A9" s="3453"/>
      <c r="B9" s="1410" t="s">
        <v>900</v>
      </c>
      <c r="C9" s="1046">
        <f>SUMIF(修正!C59:C119,C8,修正!E59:E119)</f>
        <v>0</v>
      </c>
      <c r="D9" s="1047" t="s">
        <v>901</v>
      </c>
      <c r="E9" s="1047" t="e">
        <f>ROUND(C11/E7,4)</f>
        <v>#DIV/0!</v>
      </c>
      <c r="F9" s="1428" t="s">
        <v>902</v>
      </c>
      <c r="G9" s="1429"/>
      <c r="H9" s="1429"/>
      <c r="I9" s="1429"/>
      <c r="J9" s="1430"/>
      <c r="K9" s="1452"/>
      <c r="L9" s="1870" t="s">
        <v>2203</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41" t="s">
        <v>2734</v>
      </c>
      <c r="X9" s="2886" t="s">
        <v>2735</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53"/>
      <c r="B10" s="1410" t="s">
        <v>903</v>
      </c>
      <c r="C10" s="1047">
        <f>SUMIF(修正!C59:C119,C8,修正!F59:F119)</f>
        <v>0</v>
      </c>
      <c r="D10" s="1047" t="s">
        <v>904</v>
      </c>
      <c r="E10" s="1047" t="e">
        <f>ROUND(C11/E7,4)</f>
        <v>#DIV/0!</v>
      </c>
      <c r="F10" s="1428" t="s">
        <v>905</v>
      </c>
      <c r="G10" s="1429"/>
      <c r="H10" s="1429"/>
      <c r="I10" s="1429"/>
      <c r="J10" s="1430"/>
      <c r="K10" s="1452"/>
      <c r="L10" s="1870" t="s">
        <v>2204</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4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53"/>
      <c r="B11" s="1431" t="s">
        <v>906</v>
      </c>
      <c r="C11" s="1048">
        <f>C10/4</f>
        <v>0</v>
      </c>
      <c r="D11" s="1048" t="s">
        <v>907</v>
      </c>
      <c r="E11" s="1048" t="e">
        <f>ROUND(C11/E7,4)</f>
        <v>#DIV/0!</v>
      </c>
      <c r="F11" s="1432" t="s">
        <v>908</v>
      </c>
      <c r="G11" s="1433"/>
      <c r="H11" s="1433"/>
      <c r="I11" s="1433"/>
      <c r="J11" s="1434"/>
      <c r="K11" s="1452"/>
      <c r="L11" s="1870" t="s">
        <v>2205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41" t="s">
        <v>2736</v>
      </c>
      <c r="X11" s="1047" t="s">
        <v>2721</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52" t="s">
        <v>1830</v>
      </c>
      <c r="B12" s="1435" t="s">
        <v>909</v>
      </c>
      <c r="C12" s="1042">
        <f>ROUND(C15*D15*E15*F15*G15*H15*I15*J15,4)</f>
        <v>1</v>
      </c>
      <c r="D12" s="1436" t="s">
        <v>910</v>
      </c>
      <c r="E12" s="1437"/>
      <c r="F12" s="1437"/>
      <c r="G12" s="1438"/>
      <c r="H12" s="1438"/>
      <c r="I12" s="1438"/>
      <c r="J12" s="1439"/>
      <c r="K12" s="1452"/>
      <c r="L12" s="1873" t="s">
        <v>2206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41"/>
      <c r="X12" s="2889" t="s">
        <v>2737</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4"/>
      <c r="B13" s="1440" t="s">
        <v>1655</v>
      </c>
      <c r="C13" s="1441" t="s">
        <v>1656</v>
      </c>
      <c r="D13" s="1084" t="s">
        <v>1657</v>
      </c>
      <c r="E13" s="1084" t="s">
        <v>1658</v>
      </c>
      <c r="F13" s="1442" t="s">
        <v>911</v>
      </c>
      <c r="G13" s="1443" t="s">
        <v>1604</v>
      </c>
      <c r="H13" s="1444" t="s">
        <v>1604</v>
      </c>
      <c r="I13" s="1445" t="s">
        <v>1604</v>
      </c>
      <c r="J13" s="1446" t="s">
        <v>1604</v>
      </c>
      <c r="K13" s="3165"/>
      <c r="L13" s="3165"/>
      <c r="M13" s="3165"/>
      <c r="N13" s="3165"/>
      <c r="O13" s="3165"/>
      <c r="P13" s="1397"/>
      <c r="Q13" s="2174"/>
      <c r="R13" s="2892">
        <v>12</v>
      </c>
      <c r="S13" s="2881"/>
      <c r="T13" s="2892" t="e">
        <f t="shared" si="0"/>
        <v>#DIV/0!</v>
      </c>
      <c r="U13" s="2881"/>
      <c r="V13" s="2892" t="e">
        <f t="shared" si="1"/>
        <v>#DIV/0!</v>
      </c>
      <c r="W13" s="3441"/>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54"/>
      <c r="B14" s="1447"/>
      <c r="C14" s="1448"/>
      <c r="D14" s="1449"/>
      <c r="E14" s="1449"/>
      <c r="F14" s="1450"/>
      <c r="G14" s="1451" t="s">
        <v>912</v>
      </c>
      <c r="H14" s="1452"/>
      <c r="I14" s="1453"/>
      <c r="J14" s="1454"/>
      <c r="K14" s="3151"/>
      <c r="L14" s="3151"/>
      <c r="M14" s="3151"/>
      <c r="N14" s="3151"/>
      <c r="O14" s="3151"/>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55"/>
      <c r="B15" s="3170" t="s">
        <v>1659</v>
      </c>
      <c r="C15" s="1048">
        <f>IF(C14="有",1.1,1)</f>
        <v>1</v>
      </c>
      <c r="D15" s="1048">
        <f>IF(D14="有",1.1,1)</f>
        <v>1</v>
      </c>
      <c r="E15" s="1048">
        <f>IF(E14="有",1.1,1)</f>
        <v>1</v>
      </c>
      <c r="F15" s="1048">
        <f>IF(F14="500米范围内",1.2,IF(F14="500-1000米",1.1,1))</f>
        <v>1</v>
      </c>
      <c r="G15" s="3162">
        <v>1</v>
      </c>
      <c r="H15" s="3162">
        <v>1</v>
      </c>
      <c r="I15" s="3162">
        <v>1</v>
      </c>
      <c r="J15" s="3163">
        <v>1</v>
      </c>
      <c r="K15" s="3166"/>
      <c r="L15" s="3166"/>
      <c r="M15" s="3166"/>
      <c r="N15" s="3166"/>
      <c r="O15" s="3166"/>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52" t="s">
        <v>1797</v>
      </c>
      <c r="B16" s="1423" t="s">
        <v>913</v>
      </c>
      <c r="C16" s="1051" t="e">
        <f>ROUND(IF(F17="与级别开发程度一致",0,(G17-E17)/C17),0)</f>
        <v>#DIV/0!</v>
      </c>
      <c r="D16" s="3449" t="s">
        <v>917</v>
      </c>
      <c r="E16" s="3450"/>
      <c r="F16" s="3449" t="s">
        <v>914</v>
      </c>
      <c r="G16" s="3450"/>
      <c r="H16" s="1455"/>
      <c r="I16" s="1455"/>
      <c r="J16" s="1455"/>
      <c r="K16" s="1455"/>
      <c r="L16" s="1455"/>
      <c r="M16" s="1455"/>
      <c r="N16" s="1455"/>
      <c r="O16" s="3175"/>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56"/>
      <c r="B17" s="3176" t="s">
        <v>916</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1788</v>
      </c>
      <c r="B18" s="3171" t="s">
        <v>918</v>
      </c>
      <c r="C18" s="3172">
        <f>SUMIF(修正!C18:C39,E3,修正!E18:E39)</f>
        <v>0</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1794</v>
      </c>
      <c r="B19" s="1458" t="s">
        <v>919</v>
      </c>
      <c r="C19" s="1052" t="e">
        <f>ROUND(IF(H19="按公示增长率计算",SUMPRODUCT((地价!A3:A26=YEAR(G19)&amp;"-"&amp;ROUNDUP(MONTH(G19)/3,0))*(地价!X2:AB2=E2)*(地价!X3:AB26)),IF(H19="地价指数",M20/M19,(1+I19)^O19)),4)</f>
        <v>#VALUE!</v>
      </c>
      <c r="D19" s="1462" t="s">
        <v>920</v>
      </c>
      <c r="E19" s="1053">
        <v>41640</v>
      </c>
      <c r="F19" s="1462" t="s">
        <v>921</v>
      </c>
      <c r="G19" s="1054">
        <f>'数据-取费表'!B2</f>
        <v>43724</v>
      </c>
      <c r="H19" s="1463"/>
      <c r="I19" s="2740" t="str">
        <f>IF(H19="季度增幅（自定义）",SUMIF(N21:N24,E2,O21:O24),"")</f>
        <v/>
      </c>
      <c r="J19" s="1459"/>
      <c r="K19" s="3150"/>
      <c r="L19" s="2992" t="s">
        <v>2796</v>
      </c>
      <c r="M19" s="2993">
        <f>ROUND(SUMIF(地价!B2:F2,E2,地价!B26:F26),0)</f>
        <v>0</v>
      </c>
      <c r="N19" s="2742" t="s">
        <v>1638</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1795</v>
      </c>
      <c r="B20" s="2735" t="s">
        <v>934</v>
      </c>
      <c r="C20" s="2736" t="e">
        <f>ROUND(POWER(1+G20,J20-I20)*(POWER(1+G20,I20)-1)/(POWER(1+G20,J20)-1),4)</f>
        <v>#DIV/0!</v>
      </c>
      <c r="D20" s="2737" t="s">
        <v>935</v>
      </c>
      <c r="E20" s="3045">
        <f ca="1">存贷款利率!I4/100</f>
        <v>4.3499999999999997E-2</v>
      </c>
      <c r="F20" s="2737" t="s">
        <v>936</v>
      </c>
      <c r="G20" s="2738">
        <f>SUMIF(M26:P26,E2,M28:P28)</f>
        <v>0</v>
      </c>
      <c r="H20" s="2737" t="s">
        <v>937</v>
      </c>
      <c r="I20" s="2733" t="e">
        <f>SUMIF('数据-取费表'!C6:C15,E2,'数据-取费表'!F6:F15)/COUNTIF('数据-取费表'!C6:C15,E2)</f>
        <v>#DIV/0!</v>
      </c>
      <c r="J20" s="2739">
        <f>IF(E2="住宅",70,IF(E2="商业",40,50))</f>
        <v>50</v>
      </c>
      <c r="K20" s="3152"/>
      <c r="L20" s="2994" t="s">
        <v>2797</v>
      </c>
      <c r="M20" s="3159">
        <f>ROUND(SUMPRODUCT((地价!A4:A26=YEAR(G19)&amp;"-"&amp;ROUNDUP(MONTH(G19)/3,0))*(地价!B2:F2=E2)*(地价!B4:F26)),0)</f>
        <v>0</v>
      </c>
      <c r="N20" s="2745" t="s">
        <v>2600</v>
      </c>
      <c r="O20" s="2743" t="s">
        <v>2599</v>
      </c>
      <c r="P20" s="2744" t="s">
        <v>2605</v>
      </c>
      <c r="Q20" s="2880"/>
      <c r="R20" s="2180"/>
      <c r="S20" s="2180"/>
      <c r="T20" s="2180"/>
      <c r="U20" s="2180"/>
      <c r="V20" s="2180"/>
      <c r="W20" s="2180"/>
      <c r="X20" s="2180"/>
      <c r="Y20" s="1460"/>
      <c r="Z20" s="1460"/>
      <c r="AA20" s="1460"/>
      <c r="AB20" s="1460"/>
      <c r="AC20" s="1460"/>
      <c r="AD20" s="1460"/>
    </row>
    <row r="21" spans="1:40" s="1417" customFormat="1" ht="14.25">
      <c r="A21" s="1627" t="s">
        <v>1796</v>
      </c>
      <c r="B21" s="1468" t="s">
        <v>2716</v>
      </c>
      <c r="C21" s="1153">
        <f>IF(B21="容积率修正",IF(G3&lt;=10,D22,J22),C23)</f>
        <v>0</v>
      </c>
      <c r="D21" s="1469"/>
      <c r="E21" s="1469"/>
      <c r="F21" s="1469"/>
      <c r="G21" s="1469"/>
      <c r="H21" s="1469"/>
      <c r="I21" s="1469"/>
      <c r="J21" s="1470"/>
      <c r="K21" s="3150"/>
      <c r="L21" s="1469"/>
      <c r="M21" s="1469"/>
      <c r="N21" s="1466" t="s">
        <v>938</v>
      </c>
      <c r="O21" s="1529"/>
      <c r="P21" s="2732">
        <f>SUMPRODUCT((地价!A3:A26=YEAR(G19)&amp;"-"&amp;ROUNDUP(MONTH(G19)/3,0))*(地价!AD2:AH2=N21)*(地价!AD3:AH26))</f>
        <v>0</v>
      </c>
      <c r="Q21" s="2880"/>
      <c r="R21" s="2180"/>
      <c r="S21" s="2180"/>
      <c r="T21" s="2180"/>
      <c r="U21" s="2180"/>
      <c r="V21" s="2180"/>
      <c r="W21" s="2180"/>
      <c r="X21" s="2180"/>
      <c r="Y21" s="1399"/>
      <c r="Z21" s="1399"/>
      <c r="AA21" s="1399"/>
      <c r="AB21" s="1399"/>
      <c r="AC21" s="1460"/>
      <c r="AD21" s="1460"/>
    </row>
    <row r="22" spans="1:40" s="1417" customFormat="1" ht="14.25">
      <c r="A22" s="1628" t="s">
        <v>1829</v>
      </c>
      <c r="B22" s="1471" t="s">
        <v>939</v>
      </c>
      <c r="C22" s="1055" t="s">
        <v>1661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940</v>
      </c>
      <c r="J22" s="1055" t="str">
        <f>IF(G3&gt;10,D113,"——")</f>
        <v>——</v>
      </c>
      <c r="K22" s="3153"/>
      <c r="L22" s="1469"/>
      <c r="M22" s="1469"/>
      <c r="N22" s="1466" t="s">
        <v>941</v>
      </c>
      <c r="O22" s="1529"/>
      <c r="P22" s="2732">
        <f>SUMPRODUCT((地价!A3:A26=YEAR(G19)&amp;"-"&amp;ROUNDUP(MONTH(G19)/3,0))*(地价!AD2:AH2=N22)*(地价!AD3:AH26))</f>
        <v>0</v>
      </c>
      <c r="Q22" s="2880"/>
      <c r="R22" s="2180"/>
      <c r="S22" s="2180"/>
      <c r="T22" s="2180"/>
      <c r="U22" s="2180"/>
      <c r="V22" s="2180"/>
      <c r="W22" s="2180"/>
      <c r="X22" s="2180"/>
      <c r="Y22" s="1460"/>
      <c r="Z22" s="1460"/>
      <c r="AA22" s="1460"/>
      <c r="AB22" s="1460"/>
      <c r="AC22" s="1460"/>
      <c r="AD22" s="1460"/>
    </row>
    <row r="23" spans="1:40" ht="15.75" thickBot="1">
      <c r="A23" s="1628" t="s">
        <v>1830</v>
      </c>
      <c r="B23" s="1471" t="s">
        <v>942</v>
      </c>
      <c r="C23" s="1056">
        <f>ROUND(IF(G3&gt;1,IF(I3&lt;7,SUMPRODUCT((B93:B98=I3)*(C92:N92=G2)*(C93:N98)),SUMIF(C92:N92,G2,C100:N100)),IF(I3&lt;7,SUMPRODUCT((B102:B107=I3)*(C92:N92=G2)*(C102:N107)),SUMIF(C92:N92,G2,C109:N109))),4)</f>
        <v>0</v>
      </c>
      <c r="D23" s="1517"/>
      <c r="E23" s="1517"/>
      <c r="F23" s="1518"/>
      <c r="G23" s="1519"/>
      <c r="H23" s="1520"/>
      <c r="I23" s="1521"/>
      <c r="J23" s="1521"/>
      <c r="K23" s="3154"/>
      <c r="L23" s="1397"/>
      <c r="M23" s="1397"/>
      <c r="N23" s="1466" t="s">
        <v>886</v>
      </c>
      <c r="O23" s="1529"/>
      <c r="P23" s="2732">
        <f>SUMPRODUCT((地价!A3:A26=YEAR(G19)&amp;"-"&amp;ROUNDUP(MONTH(G19)/3,0))*(地价!AD2:AH2=N23)*(地价!AD3:AH26))</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1831</v>
      </c>
      <c r="B24" s="1411" t="s">
        <v>943</v>
      </c>
      <c r="C24" s="1057">
        <f>SUMIF(A44:A87,E2,B44:B87)</f>
        <v>0</v>
      </c>
      <c r="D24" s="1522"/>
      <c r="E24" s="1523"/>
      <c r="F24" s="1523"/>
      <c r="G24" s="1523"/>
      <c r="H24" s="1523"/>
      <c r="I24" s="1523"/>
      <c r="J24" s="1523"/>
      <c r="K24" s="3154"/>
      <c r="L24" s="1469"/>
      <c r="M24" s="1469"/>
      <c r="N24" s="1466" t="s">
        <v>944</v>
      </c>
      <c r="O24" s="3158"/>
      <c r="P24" s="2732">
        <f>SUMPRODUCT((地价!A3:A26=YEAR(G19)&amp;"-"&amp;ROUNDUP(MONTH(G19)/3,0))*(地价!AD2:AH2=N24)*(地价!AD3:AH26))</f>
        <v>0</v>
      </c>
      <c r="Q24" s="2880"/>
      <c r="R24" s="2180"/>
      <c r="S24" s="2180"/>
      <c r="T24" s="2180"/>
      <c r="U24" s="2180"/>
      <c r="V24" s="2180"/>
      <c r="W24" s="2180"/>
      <c r="X24" s="2180"/>
      <c r="Y24" s="1460"/>
      <c r="Z24" s="1460"/>
      <c r="AA24" s="1460"/>
      <c r="AB24" s="1460"/>
      <c r="AC24" s="1460"/>
      <c r="AD24" s="1460"/>
    </row>
    <row r="25" spans="1:40" ht="15" thickBot="1">
      <c r="A25" s="1626" t="s">
        <v>1832</v>
      </c>
      <c r="B25" s="1473" t="s">
        <v>945</v>
      </c>
      <c r="C25" s="1474"/>
      <c r="D25" s="1426"/>
      <c r="E25" s="1426"/>
      <c r="F25" s="1475"/>
      <c r="G25" s="1426"/>
      <c r="H25" s="1426"/>
      <c r="I25" s="1426"/>
      <c r="J25" s="1427"/>
      <c r="K25" s="1452"/>
      <c r="L25" s="2180"/>
      <c r="M25" s="2180"/>
      <c r="N25" s="3160" t="s">
        <v>2603</v>
      </c>
      <c r="O25" s="3161"/>
      <c r="P25" s="2411">
        <f>SUMPRODUCT((地价!A3:A26=YEAR(G19)&amp;"-"&amp;ROUNDUP(MONTH(G19)/3,0))*(地价!AD2:AH2=N25)*(地价!AD3:AH26))</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949</v>
      </c>
      <c r="C26" s="1058" t="e">
        <f>E29+SUM(E33:E39)</f>
        <v>#DIV/0!</v>
      </c>
      <c r="D26" s="1477"/>
      <c r="E26" s="1452"/>
      <c r="F26" s="1478"/>
      <c r="G26" s="1452"/>
      <c r="H26" s="1452"/>
      <c r="I26" s="1452"/>
      <c r="J26" s="1479"/>
      <c r="K26" s="1452"/>
      <c r="L26" s="1583" t="s">
        <v>861</v>
      </c>
      <c r="M26" s="1424" t="s">
        <v>946</v>
      </c>
      <c r="N26" s="1424" t="s">
        <v>947</v>
      </c>
      <c r="O26" s="1424" t="s">
        <v>865</v>
      </c>
      <c r="P26" s="1464" t="s">
        <v>948</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951</v>
      </c>
      <c r="C27" s="1059" t="e">
        <f>E30+SUM(I33:I39)</f>
        <v>#DIV/0!</v>
      </c>
      <c r="D27" s="1481"/>
      <c r="E27" s="1482"/>
      <c r="F27" s="1483"/>
      <c r="G27" s="1482"/>
      <c r="H27" s="1482"/>
      <c r="I27" s="1482"/>
      <c r="J27" s="1484"/>
      <c r="K27" s="1452"/>
      <c r="L27" s="1456" t="s">
        <v>950</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952</v>
      </c>
      <c r="C28" s="1486" t="s">
        <v>953</v>
      </c>
      <c r="D28" s="1486" t="s">
        <v>954</v>
      </c>
      <c r="E28" s="1487" t="s">
        <v>955</v>
      </c>
      <c r="F28" s="1488"/>
      <c r="G28" s="1438"/>
      <c r="H28" s="1438"/>
      <c r="I28" s="1438"/>
      <c r="J28" s="1439"/>
      <c r="K28" s="1452"/>
      <c r="L28" s="1457" t="s">
        <v>936</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956</v>
      </c>
      <c r="C29" s="1058" t="e">
        <f>ROUND(C5*C18*C19*C20*C21*C24,0)</f>
        <v>#DIV/0!</v>
      </c>
      <c r="D29" s="1491"/>
      <c r="E29" s="1834" t="e">
        <f>ROUND(C29*D29/10000,0)</f>
        <v>#DIV/0!</v>
      </c>
      <c r="F29" s="1492" t="s">
        <v>1660</v>
      </c>
      <c r="G29" s="1493"/>
      <c r="H29" s="1493"/>
      <c r="I29" s="1493"/>
      <c r="J29" s="1494"/>
      <c r="K29" s="3155"/>
      <c r="L29" s="3155"/>
      <c r="M29" s="3155"/>
      <c r="N29" s="3155"/>
      <c r="O29" s="3155"/>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957</v>
      </c>
      <c r="C30" s="1050" t="e">
        <f>ROUND(IF(E2="工业",C29*M39,C29*M38),0)</f>
        <v>#DIV/0!</v>
      </c>
      <c r="D30" s="1497"/>
      <c r="E30" s="1834" t="e">
        <f>ROUND(C30*D30/10000,0)</f>
        <v>#DIV/0!</v>
      </c>
      <c r="F30" s="1498" t="s">
        <v>958</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959</v>
      </c>
      <c r="C31" s="1503" t="s">
        <v>960</v>
      </c>
      <c r="D31" s="1438"/>
      <c r="E31" s="1503"/>
      <c r="F31" s="1503"/>
      <c r="G31" s="1436" t="s">
        <v>958</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953</v>
      </c>
      <c r="D32" s="1507" t="s">
        <v>954</v>
      </c>
      <c r="E32" s="1507" t="s">
        <v>955</v>
      </c>
      <c r="F32" s="1508" t="s">
        <v>961</v>
      </c>
      <c r="G32" s="1467" t="s">
        <v>953</v>
      </c>
      <c r="H32" s="1467" t="s">
        <v>954</v>
      </c>
      <c r="I32" s="1467" t="s">
        <v>955</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59" t="s">
        <v>2902</v>
      </c>
      <c r="B33" s="1511" t="s">
        <v>962</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60"/>
      <c r="B34" s="1441" t="s">
        <v>963</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60"/>
      <c r="B35" s="1441" t="s">
        <v>964</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61"/>
      <c r="B36" s="1441" t="s">
        <v>965</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966</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967</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968</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2928</v>
      </c>
      <c r="C41" s="838" t="e">
        <f>ROUND(POWER(1+E41,H41-G41)*(POWER(1+E41,G41)-1)/(POWER(1+E41,H41)-1),4)</f>
        <v>#DIV/0!</v>
      </c>
      <c r="D41" s="377" t="s">
        <v>2926</v>
      </c>
      <c r="E41" s="3145">
        <f>G20</f>
        <v>0</v>
      </c>
      <c r="F41" s="377" t="s">
        <v>2927</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969</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970</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971</v>
      </c>
      <c r="B46" s="2372" t="s">
        <v>972</v>
      </c>
      <c r="C46" s="2394" t="s">
        <v>973</v>
      </c>
      <c r="D46" s="2395" t="s">
        <v>974</v>
      </c>
      <c r="E46" s="2396" t="s">
        <v>976</v>
      </c>
      <c r="F46" s="2397" t="s">
        <v>2207</v>
      </c>
      <c r="G46" s="2395" t="s">
        <v>977</v>
      </c>
      <c r="H46" s="2378" t="s">
        <v>2375</v>
      </c>
      <c r="I46" s="2395" t="s">
        <v>975</v>
      </c>
      <c r="J46" s="2398" t="s">
        <v>978</v>
      </c>
      <c r="K46" s="2398" t="s">
        <v>979</v>
      </c>
      <c r="L46" s="2398" t="s">
        <v>980</v>
      </c>
      <c r="M46" s="2398" t="s">
        <v>981</v>
      </c>
      <c r="N46" s="2398" t="s">
        <v>982</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8">
      <c r="A47" s="1062" t="s">
        <v>983</v>
      </c>
      <c r="B47" s="2375" t="str">
        <f>估价对象房地状况!C16</f>
        <v>估价对象位于南大港产业园，周边商业氛围成熟度一般，人流量大一般，商业繁华度一般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984</v>
      </c>
      <c r="B48" s="2372" t="str">
        <f>估价对象房地状况!C18</f>
        <v>估价对象周边道路状况一般、公共交通通达情况一般、停车便捷程度较好，综合评价交通便捷度一般</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985</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986</v>
      </c>
      <c r="B50" s="3047" t="s">
        <v>2880</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987</v>
      </c>
      <c r="B51" s="2372" t="str">
        <f>估价对象房地状况!C24</f>
        <v>城市支路</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988</v>
      </c>
      <c r="B52" s="3046" t="s">
        <v>2879</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989</v>
      </c>
      <c r="B53" s="2373" t="str">
        <f>估价对象房地状况!C21</f>
        <v>估价对象所在区域公共配套设施齐备情况一般</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990</v>
      </c>
      <c r="B54" s="2372" t="str">
        <f>估价对象房地状况!C22</f>
        <v>估价对象所在区域基础设施水平一般</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991</v>
      </c>
      <c r="B55" s="2376" t="str">
        <f>估价对象房地状况!C20</f>
        <v>区域自然环境：好；人文环境：一般；综合评价环境状况好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992</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971</v>
      </c>
      <c r="B57" s="2372"/>
      <c r="C57" s="2394" t="s">
        <v>973</v>
      </c>
      <c r="D57" s="2395" t="s">
        <v>974</v>
      </c>
      <c r="E57" s="2396" t="s">
        <v>976</v>
      </c>
      <c r="F57" s="2397" t="s">
        <v>2208</v>
      </c>
      <c r="G57" s="2395" t="s">
        <v>977</v>
      </c>
      <c r="H57" s="2378" t="s">
        <v>2375</v>
      </c>
      <c r="I57" s="2395" t="s">
        <v>975</v>
      </c>
      <c r="J57" s="2398" t="s">
        <v>978</v>
      </c>
      <c r="K57" s="2398" t="s">
        <v>979</v>
      </c>
      <c r="L57" s="2398" t="s">
        <v>980</v>
      </c>
      <c r="M57" s="2398" t="s">
        <v>981</v>
      </c>
      <c r="N57" s="2398" t="s">
        <v>982</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993</v>
      </c>
      <c r="B58" s="2375" t="str">
        <f>估价对象房地状况!C17</f>
        <v>——</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984</v>
      </c>
      <c r="B59" s="2372" t="str">
        <f>估价对象房地状况!C18</f>
        <v>估价对象周边道路状况一般、公共交通通达情况一般、停车便捷程度较好，综合评价交通便捷度一般</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985</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986</v>
      </c>
      <c r="B61" s="3047" t="s">
        <v>2881</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987</v>
      </c>
      <c r="B62" s="2372" t="str">
        <f>估价对象房地状况!C24</f>
        <v>城市支路</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988</v>
      </c>
      <c r="B63" s="3046" t="s">
        <v>2879</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989</v>
      </c>
      <c r="B64" s="2373" t="str">
        <f>估价对象房地状况!C21</f>
        <v>估价对象所在区域公共配套设施齐备情况一般</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990</v>
      </c>
      <c r="B65" s="2373" t="str">
        <f>估价对象房地状况!C22</f>
        <v>估价对象所在区域基础设施水平一般</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991</v>
      </c>
      <c r="B66" s="2377" t="str">
        <f>估价对象房地状况!C20</f>
        <v>区域自然环境：好；人文环境：一般；综合评价环境状况好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994</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971</v>
      </c>
      <c r="B68" s="2372"/>
      <c r="C68" s="2394" t="s">
        <v>973</v>
      </c>
      <c r="D68" s="2395" t="s">
        <v>974</v>
      </c>
      <c r="E68" s="2396" t="s">
        <v>976</v>
      </c>
      <c r="F68" s="2397" t="s">
        <v>2209</v>
      </c>
      <c r="G68" s="2395" t="s">
        <v>977</v>
      </c>
      <c r="H68" s="2378" t="s">
        <v>2375</v>
      </c>
      <c r="I68" s="2395" t="s">
        <v>975</v>
      </c>
      <c r="J68" s="2398" t="s">
        <v>978</v>
      </c>
      <c r="K68" s="2398" t="s">
        <v>979</v>
      </c>
      <c r="L68" s="2398" t="s">
        <v>980</v>
      </c>
      <c r="M68" s="2398" t="s">
        <v>981</v>
      </c>
      <c r="N68" s="2398" t="s">
        <v>982</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995</v>
      </c>
      <c r="B69" s="2375" t="str">
        <f>估价对象房地状况!C15</f>
        <v>估价对象位于南大港产业园，周边居住用地比例一般、居住小区规模和社区发展完善程度一般，综合评价居住社区成熟度一般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996</v>
      </c>
      <c r="B70" s="2372" t="str">
        <f>估价对象房地状况!C18</f>
        <v>估价对象周边道路状况一般、公共交通通达情况一般、停车便捷程度较好，综合评价交通便捷度一般</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985</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997</v>
      </c>
      <c r="B72" s="2372" t="str">
        <f>估价对象房地状况!C24</f>
        <v>城市支路</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989</v>
      </c>
      <c r="B73" s="2373" t="str">
        <f>估价对象房地状况!C21</f>
        <v>估价对象所在区域公共配套设施齐备情况一般</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990</v>
      </c>
      <c r="B74" s="2373" t="str">
        <f>估价对象房地状况!C22</f>
        <v>估价对象所在区域基础设施水平一般</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988</v>
      </c>
      <c r="B75" s="3046" t="s">
        <v>2879</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991</v>
      </c>
      <c r="B76" s="2375" t="str">
        <f>估价对象房地状况!C20</f>
        <v>区域自然环境：好；人文环境：一般；综合评价环境状况好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998</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999</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971</v>
      </c>
      <c r="B79" s="2372"/>
      <c r="C79" s="2394" t="s">
        <v>973</v>
      </c>
      <c r="D79" s="2395" t="s">
        <v>974</v>
      </c>
      <c r="E79" s="2396" t="s">
        <v>976</v>
      </c>
      <c r="F79" s="2397" t="s">
        <v>2210</v>
      </c>
      <c r="G79" s="2395" t="s">
        <v>977</v>
      </c>
      <c r="H79" s="2378" t="s">
        <v>2375</v>
      </c>
      <c r="I79" s="2395" t="s">
        <v>975</v>
      </c>
      <c r="J79" s="2398" t="s">
        <v>978</v>
      </c>
      <c r="K79" s="2398" t="s">
        <v>979</v>
      </c>
      <c r="L79" s="2398" t="s">
        <v>980</v>
      </c>
      <c r="M79" s="2398" t="s">
        <v>981</v>
      </c>
      <c r="N79" s="2398" t="s">
        <v>982</v>
      </c>
      <c r="AC79" s="1401"/>
      <c r="AD79" s="1400"/>
      <c r="AJ79" s="1399"/>
      <c r="AN79" s="1400"/>
    </row>
    <row r="80" spans="1:40" ht="24">
      <c r="A80" s="1062" t="s">
        <v>1000</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996</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985</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997</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989</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990</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988</v>
      </c>
      <c r="B86" s="3046" t="s">
        <v>2879</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1001</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57" t="s">
        <v>1596</v>
      </c>
      <c r="B90" s="3457"/>
      <c r="C90" s="3457"/>
      <c r="D90" s="3457"/>
      <c r="E90" s="3457"/>
      <c r="F90" s="3457"/>
      <c r="G90" s="3457"/>
      <c r="H90" s="3457"/>
      <c r="I90" s="3457"/>
      <c r="J90" s="3457"/>
      <c r="K90" s="2414"/>
      <c r="L90" s="2414"/>
      <c r="M90" s="2414"/>
      <c r="N90" s="2414"/>
    </row>
    <row r="91" spans="1:40">
      <c r="A91" s="3458" t="s">
        <v>1406</v>
      </c>
      <c r="B91" s="3458" t="s">
        <v>1597</v>
      </c>
      <c r="C91" s="1135" t="s">
        <v>1598</v>
      </c>
      <c r="D91" s="1136"/>
      <c r="E91" s="1136"/>
      <c r="F91" s="1136"/>
      <c r="G91" s="1136"/>
      <c r="H91" s="1136"/>
      <c r="I91" s="1136"/>
      <c r="J91" s="1137"/>
      <c r="K91" s="1129"/>
      <c r="L91" s="1129"/>
      <c r="M91" s="1129"/>
      <c r="N91" s="1129"/>
    </row>
    <row r="92" spans="1:40">
      <c r="A92" s="3458"/>
      <c r="B92" s="3458"/>
      <c r="C92" s="2413" t="s">
        <v>870</v>
      </c>
      <c r="D92" s="2413" t="s">
        <v>848</v>
      </c>
      <c r="E92" s="2413" t="s">
        <v>849</v>
      </c>
      <c r="F92" s="2413" t="s">
        <v>873</v>
      </c>
      <c r="G92" s="2413" t="s">
        <v>851</v>
      </c>
      <c r="H92" s="2413" t="s">
        <v>852</v>
      </c>
      <c r="I92" s="2413" t="s">
        <v>853</v>
      </c>
      <c r="J92" s="2413" t="s">
        <v>854</v>
      </c>
      <c r="K92" s="2413" t="s">
        <v>878</v>
      </c>
      <c r="L92" s="2413" t="s">
        <v>856</v>
      </c>
      <c r="M92" s="2413" t="s">
        <v>857</v>
      </c>
      <c r="N92" s="2413" t="s">
        <v>881</v>
      </c>
    </row>
    <row r="93" spans="1:40">
      <c r="A93" s="3444" t="s">
        <v>2719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5"/>
      <c r="B99" s="1138" t="s">
        <v>1599</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4" t="s">
        <v>1600</v>
      </c>
      <c r="B101" s="1142" t="s">
        <v>869</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5"/>
      <c r="B108" s="3447" t="s">
        <v>1601</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6"/>
      <c r="B109" s="344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51" t="s">
        <v>1602</v>
      </c>
      <c r="B110" s="3451"/>
      <c r="C110" s="3451"/>
      <c r="D110" s="3451"/>
      <c r="E110" s="3451"/>
      <c r="F110" s="3451"/>
      <c r="G110" s="3451"/>
      <c r="H110" s="3451"/>
      <c r="I110" s="3451"/>
      <c r="J110" s="3451"/>
      <c r="K110" s="2412"/>
      <c r="L110" s="2412"/>
      <c r="M110" s="2412"/>
      <c r="N110" s="2412"/>
    </row>
    <row r="112" spans="1:14" ht="12.75" thickBot="1"/>
    <row r="113" spans="1:13" ht="25.5" thickBot="1">
      <c r="A113" s="1015" t="s">
        <v>859</v>
      </c>
      <c r="B113" s="2415">
        <f>G3</f>
        <v>0</v>
      </c>
      <c r="C113" s="1016" t="s">
        <v>860</v>
      </c>
      <c r="D113" s="1017">
        <f>SUMPRODUCT((A115:A118=F113)*(B114:M114=H113)*B115:M118)</f>
        <v>0</v>
      </c>
      <c r="E113" s="1018" t="s">
        <v>861</v>
      </c>
      <c r="F113" s="1019">
        <f>E2</f>
        <v>0</v>
      </c>
      <c r="G113" s="1018" t="s">
        <v>862</v>
      </c>
      <c r="H113" s="1019">
        <f>G2</f>
        <v>0</v>
      </c>
      <c r="I113" s="1018"/>
      <c r="J113" s="1010"/>
      <c r="K113" s="1010"/>
      <c r="L113" s="1010"/>
      <c r="M113" s="1010"/>
    </row>
    <row r="114" spans="1:13" ht="12.75">
      <c r="A114" s="1022"/>
      <c r="B114" s="1023" t="s">
        <v>847</v>
      </c>
      <c r="C114" s="1023" t="s">
        <v>848</v>
      </c>
      <c r="D114" s="1023" t="s">
        <v>849</v>
      </c>
      <c r="E114" s="1024" t="s">
        <v>850</v>
      </c>
      <c r="F114" s="1024" t="s">
        <v>851</v>
      </c>
      <c r="G114" s="1024" t="s">
        <v>852</v>
      </c>
      <c r="H114" s="1025" t="s">
        <v>853</v>
      </c>
      <c r="I114" s="1025" t="s">
        <v>854</v>
      </c>
      <c r="J114" s="1026" t="s">
        <v>855</v>
      </c>
      <c r="K114" s="1026" t="s">
        <v>856</v>
      </c>
      <c r="L114" s="1026" t="s">
        <v>857</v>
      </c>
      <c r="M114" s="1027" t="s">
        <v>858</v>
      </c>
    </row>
    <row r="115" spans="1:13" ht="12.75">
      <c r="A115" s="1028" t="s">
        <v>863</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864</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865</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866</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1394</v>
      </c>
      <c r="B1" s="1067" t="s">
        <v>870</v>
      </c>
      <c r="C1" s="1067" t="s">
        <v>871</v>
      </c>
      <c r="D1" s="1067" t="s">
        <v>872</v>
      </c>
      <c r="E1" s="1067" t="s">
        <v>873</v>
      </c>
      <c r="F1" s="1067" t="s">
        <v>874</v>
      </c>
      <c r="G1" s="1067" t="s">
        <v>875</v>
      </c>
      <c r="H1" s="1067" t="s">
        <v>876</v>
      </c>
      <c r="I1" s="1067" t="s">
        <v>877</v>
      </c>
      <c r="J1" s="1067" t="s">
        <v>878</v>
      </c>
      <c r="K1" s="1067" t="s">
        <v>879</v>
      </c>
      <c r="L1" s="1067" t="s">
        <v>880</v>
      </c>
      <c r="M1" s="1068" t="s">
        <v>881</v>
      </c>
    </row>
    <row r="2" spans="1:13" ht="19.5" customHeight="1">
      <c r="A2" s="1102" t="s">
        <v>970</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992</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994</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1395</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1396</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1397</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1398</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1399</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1400</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1401</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1402</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1403</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1404</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7" t="s">
        <v>2931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1405</v>
      </c>
      <c r="B16" s="1121"/>
      <c r="C16" s="1122"/>
      <c r="D16" s="1122"/>
      <c r="E16" s="1121"/>
      <c r="F16" s="1122"/>
      <c r="G16" s="1122"/>
    </row>
    <row r="17" spans="1:9" ht="19.5" customHeight="1">
      <c r="A17" s="1063" t="s">
        <v>1406</v>
      </c>
      <c r="B17" s="1123" t="s">
        <v>1407</v>
      </c>
      <c r="C17" s="1123" t="s">
        <v>1605</v>
      </c>
      <c r="D17" s="1124"/>
      <c r="E17" s="1063" t="s">
        <v>1408</v>
      </c>
      <c r="F17" s="1125"/>
      <c r="G17" s="1125"/>
    </row>
    <row r="18" spans="1:9" s="1584" customFormat="1" ht="19.5" customHeight="1">
      <c r="A18" s="3458" t="s">
        <v>970</v>
      </c>
      <c r="B18" s="1149" t="s">
        <v>1409</v>
      </c>
      <c r="C18" s="1126" t="s">
        <v>1410</v>
      </c>
      <c r="D18" s="1127"/>
      <c r="E18" s="1149">
        <v>1</v>
      </c>
      <c r="F18" s="1128" t="s">
        <v>1411</v>
      </c>
      <c r="G18" s="1129"/>
      <c r="H18" s="1100"/>
      <c r="I18" s="1100"/>
    </row>
    <row r="19" spans="1:9" s="1584" customFormat="1" ht="19.5" customHeight="1">
      <c r="A19" s="3458"/>
      <c r="B19" s="3458" t="s">
        <v>1412</v>
      </c>
      <c r="C19" s="1126" t="s">
        <v>1413</v>
      </c>
      <c r="D19" s="1127"/>
      <c r="E19" s="1149">
        <v>0.9</v>
      </c>
      <c r="F19" s="1128" t="s">
        <v>1414</v>
      </c>
      <c r="G19" s="1129"/>
      <c r="H19" s="1100"/>
      <c r="I19" s="1100"/>
    </row>
    <row r="20" spans="1:9" s="1584" customFormat="1" ht="19.5" customHeight="1">
      <c r="A20" s="3458"/>
      <c r="B20" s="3458"/>
      <c r="C20" s="1126" t="s">
        <v>1415</v>
      </c>
      <c r="D20" s="1127"/>
      <c r="E20" s="1149">
        <v>1.1000000000000001</v>
      </c>
      <c r="F20" s="1128" t="s">
        <v>1416</v>
      </c>
      <c r="G20" s="1129"/>
      <c r="H20" s="1100"/>
      <c r="I20" s="1100"/>
    </row>
    <row r="21" spans="1:9" s="1584" customFormat="1" ht="19.5" customHeight="1">
      <c r="A21" s="3458"/>
      <c r="B21" s="3458"/>
      <c r="C21" s="1126" t="s">
        <v>1417</v>
      </c>
      <c r="D21" s="1127"/>
      <c r="E21" s="1149">
        <v>0.8</v>
      </c>
      <c r="F21" s="1128" t="s">
        <v>1418</v>
      </c>
      <c r="G21" s="1129"/>
      <c r="H21" s="1100"/>
      <c r="I21" s="1100"/>
    </row>
    <row r="22" spans="1:9" s="1584" customFormat="1" ht="19.5" customHeight="1">
      <c r="A22" s="3458"/>
      <c r="B22" s="3458"/>
      <c r="C22" s="1126" t="s">
        <v>1419</v>
      </c>
      <c r="D22" s="1127"/>
      <c r="E22" s="1149">
        <v>0.5</v>
      </c>
      <c r="F22" s="1128"/>
      <c r="G22" s="1129"/>
      <c r="H22" s="1100"/>
      <c r="I22" s="1100"/>
    </row>
    <row r="23" spans="1:9" s="1584" customFormat="1" ht="19.5" customHeight="1">
      <c r="A23" s="3458" t="s">
        <v>992</v>
      </c>
      <c r="B23" s="1149" t="s">
        <v>1409</v>
      </c>
      <c r="C23" s="1126" t="s">
        <v>1420</v>
      </c>
      <c r="D23" s="1127"/>
      <c r="E23" s="1149">
        <v>1</v>
      </c>
      <c r="F23" s="1128" t="s">
        <v>1421</v>
      </c>
      <c r="G23" s="1129"/>
      <c r="H23" s="1100"/>
      <c r="I23" s="1100"/>
    </row>
    <row r="24" spans="1:9" s="1584" customFormat="1" ht="19.5" customHeight="1">
      <c r="A24" s="3458"/>
      <c r="B24" s="3458" t="s">
        <v>1412</v>
      </c>
      <c r="C24" s="1126" t="s">
        <v>1422</v>
      </c>
      <c r="D24" s="1127"/>
      <c r="E24" s="1149">
        <v>0.5</v>
      </c>
      <c r="F24" s="1128"/>
      <c r="G24" s="1129"/>
      <c r="H24" s="1100"/>
      <c r="I24" s="1100"/>
    </row>
    <row r="25" spans="1:9" s="1584" customFormat="1" ht="19.5" customHeight="1">
      <c r="A25" s="3458"/>
      <c r="B25" s="3458"/>
      <c r="C25" s="1126" t="s">
        <v>1423</v>
      </c>
      <c r="D25" s="1127"/>
      <c r="E25" s="1149">
        <v>1.1000000000000001</v>
      </c>
      <c r="F25" s="1128"/>
      <c r="G25" s="1129"/>
      <c r="H25" s="1100"/>
      <c r="I25" s="1100"/>
    </row>
    <row r="26" spans="1:9" s="1584" customFormat="1" ht="19.5" customHeight="1">
      <c r="A26" s="3458"/>
      <c r="B26" s="3458"/>
      <c r="C26" s="1126" t="s">
        <v>1424</v>
      </c>
      <c r="D26" s="1127"/>
      <c r="E26" s="1149">
        <v>1.1000000000000001</v>
      </c>
      <c r="F26" s="1128"/>
      <c r="G26" s="1129"/>
      <c r="H26" s="1100"/>
      <c r="I26" s="1100"/>
    </row>
    <row r="27" spans="1:9" s="1584" customFormat="1" ht="19.5" customHeight="1">
      <c r="A27" s="3458"/>
      <c r="B27" s="3458"/>
      <c r="C27" s="1126" t="s">
        <v>1425</v>
      </c>
      <c r="D27" s="1127"/>
      <c r="E27" s="1149">
        <v>0.9</v>
      </c>
      <c r="F27" s="1128" t="s">
        <v>1426</v>
      </c>
      <c r="G27" s="1129"/>
      <c r="H27" s="1100"/>
      <c r="I27" s="1100"/>
    </row>
    <row r="28" spans="1:9" s="1584" customFormat="1" ht="19.5" customHeight="1">
      <c r="A28" s="3458"/>
      <c r="B28" s="3458"/>
      <c r="C28" s="1126" t="s">
        <v>1427</v>
      </c>
      <c r="D28" s="1127"/>
      <c r="E28" s="1149">
        <v>0.9</v>
      </c>
      <c r="F28" s="1128" t="s">
        <v>1428</v>
      </c>
      <c r="G28" s="1129"/>
      <c r="H28" s="1100"/>
      <c r="I28" s="1100"/>
    </row>
    <row r="29" spans="1:9" s="1584" customFormat="1" ht="19.5" customHeight="1">
      <c r="A29" s="3458"/>
      <c r="B29" s="3458"/>
      <c r="C29" s="1126" t="s">
        <v>1429</v>
      </c>
      <c r="D29" s="1127"/>
      <c r="E29" s="1149">
        <v>0.9</v>
      </c>
      <c r="F29" s="1128" t="s">
        <v>1430</v>
      </c>
      <c r="G29" s="1129"/>
      <c r="H29" s="1100"/>
      <c r="I29" s="1100"/>
    </row>
    <row r="30" spans="1:9" s="1584" customFormat="1" ht="19.5" customHeight="1">
      <c r="A30" s="3458"/>
      <c r="B30" s="3458"/>
      <c r="C30" s="1126" t="s">
        <v>1431</v>
      </c>
      <c r="D30" s="1127"/>
      <c r="E30" s="1149">
        <v>0.9</v>
      </c>
      <c r="F30" s="1128" t="s">
        <v>1432</v>
      </c>
      <c r="G30" s="1129"/>
      <c r="H30" s="1100"/>
      <c r="I30" s="1100"/>
    </row>
    <row r="31" spans="1:9" s="1584" customFormat="1" ht="19.5" customHeight="1">
      <c r="A31" s="3458"/>
      <c r="B31" s="3458"/>
      <c r="C31" s="1126" t="s">
        <v>1433</v>
      </c>
      <c r="D31" s="1127"/>
      <c r="E31" s="1149">
        <v>0.8</v>
      </c>
      <c r="F31" s="1128" t="s">
        <v>1434</v>
      </c>
      <c r="G31" s="1129"/>
      <c r="H31" s="1100"/>
      <c r="I31" s="1100"/>
    </row>
    <row r="32" spans="1:9" s="1584" customFormat="1" ht="19.5" customHeight="1">
      <c r="A32" s="3458"/>
      <c r="B32" s="3458"/>
      <c r="C32" s="1126" t="s">
        <v>1435</v>
      </c>
      <c r="D32" s="1127"/>
      <c r="E32" s="1149">
        <v>0.8</v>
      </c>
      <c r="F32" s="1128" t="s">
        <v>1436</v>
      </c>
      <c r="G32" s="1129"/>
      <c r="H32" s="1100"/>
      <c r="I32" s="1100"/>
    </row>
    <row r="33" spans="1:9" s="1584" customFormat="1" ht="19.5" customHeight="1">
      <c r="A33" s="3458" t="s">
        <v>1437</v>
      </c>
      <c r="B33" s="1149" t="s">
        <v>1409</v>
      </c>
      <c r="C33" s="1126" t="s">
        <v>1438</v>
      </c>
      <c r="D33" s="1127"/>
      <c r="E33" s="1149">
        <v>1</v>
      </c>
      <c r="F33" s="1128" t="s">
        <v>1439</v>
      </c>
      <c r="G33" s="1129"/>
      <c r="H33" s="1100"/>
      <c r="I33" s="1100"/>
    </row>
    <row r="34" spans="1:9" s="1584" customFormat="1" ht="19.5" customHeight="1">
      <c r="A34" s="3458"/>
      <c r="B34" s="1149" t="s">
        <v>1412</v>
      </c>
      <c r="C34" s="1126" t="s">
        <v>1440</v>
      </c>
      <c r="D34" s="1127"/>
      <c r="E34" s="1149">
        <v>1.5</v>
      </c>
      <c r="F34" s="1128" t="s">
        <v>1441</v>
      </c>
      <c r="G34" s="1129"/>
      <c r="H34" s="1100"/>
      <c r="I34" s="1100"/>
    </row>
    <row r="35" spans="1:9" s="1584" customFormat="1" ht="19.5" customHeight="1">
      <c r="A35" s="3458" t="s">
        <v>1395</v>
      </c>
      <c r="B35" s="1149" t="s">
        <v>1409</v>
      </c>
      <c r="C35" s="1126" t="s">
        <v>1442</v>
      </c>
      <c r="D35" s="1127"/>
      <c r="E35" s="1149">
        <v>1</v>
      </c>
      <c r="F35" s="1128" t="s">
        <v>1443</v>
      </c>
      <c r="G35" s="1129"/>
      <c r="H35" s="1100"/>
      <c r="I35" s="1100"/>
    </row>
    <row r="36" spans="1:9" s="1584" customFormat="1" ht="19.5" customHeight="1">
      <c r="A36" s="3458"/>
      <c r="B36" s="3458" t="s">
        <v>1412</v>
      </c>
      <c r="C36" s="1126" t="s">
        <v>1444</v>
      </c>
      <c r="D36" s="1127"/>
      <c r="E36" s="1149">
        <v>1</v>
      </c>
      <c r="F36" s="1128" t="s">
        <v>1445</v>
      </c>
      <c r="G36" s="1129"/>
      <c r="H36" s="1100"/>
      <c r="I36" s="1100"/>
    </row>
    <row r="37" spans="1:9" s="1584" customFormat="1" ht="19.5" customHeight="1">
      <c r="A37" s="3458"/>
      <c r="B37" s="3458"/>
      <c r="C37" s="1126" t="s">
        <v>1446</v>
      </c>
      <c r="D37" s="1127"/>
      <c r="E37" s="1149">
        <v>1.5</v>
      </c>
      <c r="F37" s="1128" t="s">
        <v>1447</v>
      </c>
      <c r="G37" s="1129"/>
      <c r="H37" s="1100"/>
      <c r="I37" s="1100"/>
    </row>
    <row r="38" spans="1:9" s="1584" customFormat="1" ht="19.5" customHeight="1">
      <c r="A38" s="3458"/>
      <c r="B38" s="3458"/>
      <c r="C38" s="1126" t="s">
        <v>1448</v>
      </c>
      <c r="D38" s="1127"/>
      <c r="E38" s="1149">
        <v>1</v>
      </c>
      <c r="F38" s="1128" t="s">
        <v>1449</v>
      </c>
      <c r="G38" s="1129"/>
      <c r="H38" s="1100"/>
      <c r="I38" s="1100"/>
    </row>
    <row r="39" spans="1:9" s="1584" customFormat="1" ht="19.5" customHeight="1">
      <c r="A39" s="3458"/>
      <c r="B39" s="3458"/>
      <c r="C39" s="1126" t="s">
        <v>1450</v>
      </c>
      <c r="D39" s="1127"/>
      <c r="E39" s="1149">
        <v>1</v>
      </c>
      <c r="F39" s="1128" t="s">
        <v>1451</v>
      </c>
      <c r="G39" s="1129"/>
      <c r="H39" s="1100"/>
      <c r="I39" s="1100"/>
    </row>
    <row r="40" spans="1:9" s="1584" customFormat="1" ht="19.5" customHeight="1">
      <c r="A40" s="1585" t="s">
        <v>1452</v>
      </c>
      <c r="B40" s="1585"/>
      <c r="C40" s="1585"/>
      <c r="D40" s="1585"/>
      <c r="E40" s="1585"/>
      <c r="F40" s="1128"/>
      <c r="G40" s="1128"/>
      <c r="H40" s="1100"/>
      <c r="I40" s="1100"/>
    </row>
    <row r="42" spans="1:9" ht="19.5" customHeight="1">
      <c r="A42" s="1130"/>
      <c r="B42" s="1063" t="s">
        <v>1453</v>
      </c>
      <c r="C42" s="1063" t="s">
        <v>1453</v>
      </c>
      <c r="D42" s="1063" t="s">
        <v>1453</v>
      </c>
      <c r="E42" s="1148" t="s">
        <v>1453</v>
      </c>
      <c r="F42" s="1148" t="s">
        <v>1453</v>
      </c>
      <c r="G42" s="1148" t="s">
        <v>1454</v>
      </c>
      <c r="H42" s="1148" t="s">
        <v>1453</v>
      </c>
    </row>
    <row r="43" spans="1:9" ht="19.5" customHeight="1">
      <c r="A43" s="1131"/>
      <c r="B43" s="1148" t="s">
        <v>970</v>
      </c>
      <c r="C43" s="1148" t="s">
        <v>970</v>
      </c>
      <c r="D43" s="1148" t="s">
        <v>970</v>
      </c>
      <c r="E43" s="1148" t="s">
        <v>970</v>
      </c>
      <c r="F43" s="1063" t="s">
        <v>992</v>
      </c>
      <c r="G43" s="1063" t="s">
        <v>1395</v>
      </c>
      <c r="H43" s="1063" t="s">
        <v>1455</v>
      </c>
    </row>
    <row r="44" spans="1:9" ht="19.5" customHeight="1">
      <c r="A44" s="1132"/>
      <c r="B44" s="1063">
        <v>1</v>
      </c>
      <c r="C44" s="1063">
        <v>2</v>
      </c>
      <c r="D44" s="1063">
        <v>3</v>
      </c>
      <c r="E44" s="1148">
        <v>4</v>
      </c>
      <c r="F44" s="1124" t="s">
        <v>1456</v>
      </c>
      <c r="G44" s="1124" t="s">
        <v>1456</v>
      </c>
      <c r="H44" s="1124" t="s">
        <v>1456</v>
      </c>
    </row>
    <row r="45" spans="1:9" ht="19.5" customHeight="1">
      <c r="A45" s="1147" t="s">
        <v>870</v>
      </c>
      <c r="B45" s="1063">
        <v>0.8</v>
      </c>
      <c r="C45" s="1063">
        <v>0.5</v>
      </c>
      <c r="D45" s="1063">
        <v>0.36</v>
      </c>
      <c r="E45" s="1063">
        <v>0.3</v>
      </c>
      <c r="F45" s="1124">
        <v>0.3</v>
      </c>
      <c r="G45" s="1063">
        <v>0.3</v>
      </c>
      <c r="H45" s="1063">
        <v>0.25</v>
      </c>
    </row>
    <row r="46" spans="1:9" ht="19.5" customHeight="1">
      <c r="A46" s="1147" t="s">
        <v>871</v>
      </c>
      <c r="B46" s="1063">
        <v>0.8</v>
      </c>
      <c r="C46" s="1063">
        <v>0.5</v>
      </c>
      <c r="D46" s="1063">
        <v>0.36</v>
      </c>
      <c r="E46" s="1063">
        <v>0.3</v>
      </c>
      <c r="F46" s="1063">
        <v>0.3</v>
      </c>
      <c r="G46" s="1063">
        <v>0.3</v>
      </c>
      <c r="H46" s="1063">
        <v>0.25</v>
      </c>
    </row>
    <row r="47" spans="1:9" ht="19.5" customHeight="1">
      <c r="A47" s="1147" t="s">
        <v>872</v>
      </c>
      <c r="B47" s="1063">
        <v>0.7</v>
      </c>
      <c r="C47" s="1063">
        <v>0.4</v>
      </c>
      <c r="D47" s="1063">
        <v>0.28000000000000003</v>
      </c>
      <c r="E47" s="1063">
        <v>0.25</v>
      </c>
      <c r="F47" s="1063">
        <v>0.25</v>
      </c>
      <c r="G47" s="1063">
        <v>0.25</v>
      </c>
      <c r="H47" s="1063">
        <v>0.2</v>
      </c>
    </row>
    <row r="48" spans="1:9" ht="19.5" customHeight="1">
      <c r="A48" s="1147" t="s">
        <v>873</v>
      </c>
      <c r="B48" s="1063">
        <v>0.7</v>
      </c>
      <c r="C48" s="1063">
        <v>0.4</v>
      </c>
      <c r="D48" s="1063">
        <v>0.28000000000000003</v>
      </c>
      <c r="E48" s="1063">
        <v>0.25</v>
      </c>
      <c r="F48" s="1063">
        <v>0.25</v>
      </c>
      <c r="G48" s="1063">
        <v>0.25</v>
      </c>
      <c r="H48" s="1063">
        <v>0.2</v>
      </c>
    </row>
    <row r="49" spans="1:8" s="1100" customFormat="1" ht="19.5" customHeight="1">
      <c r="A49" s="1147" t="s">
        <v>874</v>
      </c>
      <c r="B49" s="1063">
        <v>0.7</v>
      </c>
      <c r="C49" s="1063">
        <v>0.4</v>
      </c>
      <c r="D49" s="1063">
        <v>0.28000000000000003</v>
      </c>
      <c r="E49" s="1063">
        <v>0.25</v>
      </c>
      <c r="F49" s="1063">
        <v>0.25</v>
      </c>
      <c r="G49" s="1063">
        <v>0.25</v>
      </c>
      <c r="H49" s="1063">
        <v>0.2</v>
      </c>
    </row>
    <row r="50" spans="1:8" s="1100" customFormat="1" ht="19.5" customHeight="1">
      <c r="A50" s="1147" t="s">
        <v>875</v>
      </c>
      <c r="B50" s="1063">
        <v>0.7</v>
      </c>
      <c r="C50" s="1063">
        <v>0.4</v>
      </c>
      <c r="D50" s="1063">
        <v>0.28000000000000003</v>
      </c>
      <c r="E50" s="1063">
        <v>0.25</v>
      </c>
      <c r="F50" s="1063">
        <v>0.25</v>
      </c>
      <c r="G50" s="1063">
        <v>0.25</v>
      </c>
      <c r="H50" s="1063">
        <v>0.2</v>
      </c>
    </row>
    <row r="51" spans="1:8" s="1100" customFormat="1" ht="19.5" customHeight="1">
      <c r="A51" s="1147" t="s">
        <v>876</v>
      </c>
      <c r="B51" s="1063">
        <v>0.7</v>
      </c>
      <c r="C51" s="1063">
        <v>0.4</v>
      </c>
      <c r="D51" s="1063">
        <v>0.28000000000000003</v>
      </c>
      <c r="E51" s="1063">
        <v>0.25</v>
      </c>
      <c r="F51" s="1063">
        <v>0.25</v>
      </c>
      <c r="G51" s="1063">
        <v>0.25</v>
      </c>
      <c r="H51" s="1063">
        <v>0.2</v>
      </c>
    </row>
    <row r="52" spans="1:8" s="1100" customFormat="1" ht="19.5" customHeight="1">
      <c r="A52" s="1147" t="s">
        <v>877</v>
      </c>
      <c r="B52" s="1063">
        <v>0.6</v>
      </c>
      <c r="C52" s="1063">
        <v>0.3</v>
      </c>
      <c r="D52" s="1063">
        <v>0.2</v>
      </c>
      <c r="E52" s="1063">
        <v>0.2</v>
      </c>
      <c r="F52" s="1063">
        <v>0.2</v>
      </c>
      <c r="G52" s="1063">
        <v>0.2</v>
      </c>
      <c r="H52" s="1063">
        <v>0.15</v>
      </c>
    </row>
    <row r="53" spans="1:8" s="1100" customFormat="1" ht="19.5" customHeight="1">
      <c r="A53" s="1147" t="s">
        <v>878</v>
      </c>
      <c r="B53" s="1063">
        <v>0.6</v>
      </c>
      <c r="C53" s="1063">
        <v>0.3</v>
      </c>
      <c r="D53" s="1063">
        <v>0.2</v>
      </c>
      <c r="E53" s="1063">
        <v>0.2</v>
      </c>
      <c r="F53" s="1063">
        <v>0.2</v>
      </c>
      <c r="G53" s="1063">
        <v>0.2</v>
      </c>
      <c r="H53" s="1063">
        <v>0.15</v>
      </c>
    </row>
    <row r="54" spans="1:8" s="1100" customFormat="1" ht="19.5" customHeight="1">
      <c r="A54" s="1147" t="s">
        <v>879</v>
      </c>
      <c r="B54" s="1063">
        <v>0.6</v>
      </c>
      <c r="C54" s="1063">
        <v>0.3</v>
      </c>
      <c r="D54" s="1063">
        <v>0.2</v>
      </c>
      <c r="E54" s="1063">
        <v>0.2</v>
      </c>
      <c r="F54" s="1063">
        <v>0.2</v>
      </c>
      <c r="G54" s="1063">
        <v>0.2</v>
      </c>
      <c r="H54" s="1063">
        <v>0.15</v>
      </c>
    </row>
    <row r="55" spans="1:8" s="1100" customFormat="1" ht="19.5" customHeight="1">
      <c r="A55" s="1147" t="s">
        <v>880</v>
      </c>
      <c r="B55" s="1063">
        <v>0.6</v>
      </c>
      <c r="C55" s="1063">
        <v>0.3</v>
      </c>
      <c r="D55" s="1063">
        <v>0.2</v>
      </c>
      <c r="E55" s="1063">
        <v>0.2</v>
      </c>
      <c r="F55" s="1063">
        <v>0.2</v>
      </c>
      <c r="G55" s="1063">
        <v>0.2</v>
      </c>
      <c r="H55" s="1063">
        <v>0.15</v>
      </c>
    </row>
    <row r="56" spans="1:8" s="1100" customFormat="1" ht="19.5" customHeight="1">
      <c r="A56" s="1147" t="s">
        <v>881</v>
      </c>
      <c r="B56" s="1063">
        <v>0.6</v>
      </c>
      <c r="C56" s="1063">
        <v>0.3</v>
      </c>
      <c r="D56" s="1063">
        <v>0.2</v>
      </c>
      <c r="E56" s="1063">
        <v>0.2</v>
      </c>
      <c r="F56" s="1063">
        <v>0.2</v>
      </c>
      <c r="G56" s="1063">
        <v>0.2</v>
      </c>
      <c r="H56" s="1063">
        <v>0.15</v>
      </c>
    </row>
    <row r="58" spans="1:8" s="1100" customFormat="1" ht="19.5" customHeight="1">
      <c r="A58" s="1133"/>
      <c r="B58" s="1121"/>
      <c r="C58" s="1121"/>
      <c r="D58" s="1121" t="s">
        <v>1457</v>
      </c>
      <c r="E58" s="1121"/>
      <c r="F58" s="1121"/>
    </row>
    <row r="59" spans="1:8" s="1100" customFormat="1" ht="19.5" customHeight="1">
      <c r="A59" s="1149" t="s">
        <v>1458</v>
      </c>
      <c r="B59" s="1149" t="s">
        <v>1459</v>
      </c>
      <c r="C59" s="1149" t="s">
        <v>1460</v>
      </c>
      <c r="D59" s="1149" t="s">
        <v>1461</v>
      </c>
      <c r="E59" s="1149" t="s">
        <v>1462</v>
      </c>
      <c r="F59" s="1149" t="s">
        <v>1463</v>
      </c>
    </row>
    <row r="60" spans="1:8" s="1100" customFormat="1" ht="19.5" customHeight="1">
      <c r="A60" s="1149"/>
      <c r="B60" s="1149"/>
      <c r="C60" s="1149" t="s">
        <v>1595</v>
      </c>
      <c r="D60" s="1149"/>
      <c r="E60" s="1134" t="s">
        <v>1404</v>
      </c>
      <c r="F60" s="1149" t="s">
        <v>1404</v>
      </c>
    </row>
    <row r="61" spans="1:8" s="1100" customFormat="1" ht="24">
      <c r="A61" s="1149">
        <v>1</v>
      </c>
      <c r="B61" s="3458" t="s">
        <v>1464</v>
      </c>
      <c r="C61" s="1063" t="s">
        <v>1465</v>
      </c>
      <c r="D61" s="1063" t="s">
        <v>1466</v>
      </c>
      <c r="E61" s="1134">
        <v>0.5</v>
      </c>
      <c r="F61" s="1149">
        <v>80</v>
      </c>
      <c r="H61" s="1100">
        <f>SUMIF(C59:C119,基准地价!C8,E59:E119)</f>
        <v>0</v>
      </c>
    </row>
    <row r="62" spans="1:8" s="1100" customFormat="1" ht="24">
      <c r="A62" s="1149">
        <v>2</v>
      </c>
      <c r="B62" s="3458"/>
      <c r="C62" s="1063" t="s">
        <v>1467</v>
      </c>
      <c r="D62" s="1063" t="s">
        <v>1468</v>
      </c>
      <c r="E62" s="1134">
        <v>0.5</v>
      </c>
      <c r="F62" s="1149">
        <v>80</v>
      </c>
    </row>
    <row r="63" spans="1:8" s="1100" customFormat="1" ht="36">
      <c r="A63" s="1149">
        <v>3</v>
      </c>
      <c r="B63" s="3458"/>
      <c r="C63" s="1063" t="s">
        <v>1469</v>
      </c>
      <c r="D63" s="1063" t="s">
        <v>1470</v>
      </c>
      <c r="E63" s="1134">
        <v>0.5</v>
      </c>
      <c r="F63" s="1149">
        <v>80</v>
      </c>
    </row>
    <row r="64" spans="1:8" s="1100" customFormat="1" ht="36">
      <c r="A64" s="1149">
        <v>4</v>
      </c>
      <c r="B64" s="3458"/>
      <c r="C64" s="1063" t="s">
        <v>1471</v>
      </c>
      <c r="D64" s="1063" t="s">
        <v>1472</v>
      </c>
      <c r="E64" s="1134">
        <v>0.4</v>
      </c>
      <c r="F64" s="1149">
        <v>60</v>
      </c>
    </row>
    <row r="65" spans="1:6" s="1100" customFormat="1" ht="36">
      <c r="A65" s="1149">
        <v>5</v>
      </c>
      <c r="B65" s="3458"/>
      <c r="C65" s="1063" t="s">
        <v>1473</v>
      </c>
      <c r="D65" s="1063" t="s">
        <v>1474</v>
      </c>
      <c r="E65" s="1134">
        <v>0.2</v>
      </c>
      <c r="F65" s="1149">
        <v>30</v>
      </c>
    </row>
    <row r="66" spans="1:6" s="1100" customFormat="1" ht="36">
      <c r="A66" s="1149">
        <v>6</v>
      </c>
      <c r="B66" s="3458"/>
      <c r="C66" s="1063" t="s">
        <v>1475</v>
      </c>
      <c r="D66" s="1063" t="s">
        <v>1476</v>
      </c>
      <c r="E66" s="1134">
        <v>0.3</v>
      </c>
      <c r="F66" s="1149">
        <v>50</v>
      </c>
    </row>
    <row r="67" spans="1:6" s="1100" customFormat="1" ht="36">
      <c r="A67" s="1149">
        <v>7</v>
      </c>
      <c r="B67" s="3458"/>
      <c r="C67" s="1063" t="s">
        <v>1477</v>
      </c>
      <c r="D67" s="1063" t="s">
        <v>1478</v>
      </c>
      <c r="E67" s="1134">
        <v>0.2</v>
      </c>
      <c r="F67" s="1149">
        <v>30</v>
      </c>
    </row>
    <row r="68" spans="1:6" s="1100" customFormat="1" ht="36">
      <c r="A68" s="1149">
        <v>8</v>
      </c>
      <c r="B68" s="3458"/>
      <c r="C68" s="1063" t="s">
        <v>1479</v>
      </c>
      <c r="D68" s="1063" t="s">
        <v>1480</v>
      </c>
      <c r="E68" s="1134">
        <v>0.2</v>
      </c>
      <c r="F68" s="1149">
        <v>30</v>
      </c>
    </row>
    <row r="69" spans="1:6" s="1100" customFormat="1" ht="36">
      <c r="A69" s="1149">
        <v>9</v>
      </c>
      <c r="B69" s="3458"/>
      <c r="C69" s="1063" t="s">
        <v>1481</v>
      </c>
      <c r="D69" s="1063" t="s">
        <v>1482</v>
      </c>
      <c r="E69" s="1134">
        <v>0.2</v>
      </c>
      <c r="F69" s="1149">
        <v>30</v>
      </c>
    </row>
    <row r="70" spans="1:6" s="1100" customFormat="1" ht="48">
      <c r="A70" s="1149">
        <v>10</v>
      </c>
      <c r="B70" s="3458"/>
      <c r="C70" s="1063" t="s">
        <v>1483</v>
      </c>
      <c r="D70" s="1063" t="s">
        <v>1484</v>
      </c>
      <c r="E70" s="1134">
        <v>0.2</v>
      </c>
      <c r="F70" s="1149">
        <v>30</v>
      </c>
    </row>
    <row r="71" spans="1:6" s="1100" customFormat="1" ht="48">
      <c r="A71" s="1149">
        <v>11</v>
      </c>
      <c r="B71" s="3458"/>
      <c r="C71" s="1063" t="s">
        <v>1485</v>
      </c>
      <c r="D71" s="1063" t="s">
        <v>1486</v>
      </c>
      <c r="E71" s="1134">
        <v>0.2</v>
      </c>
      <c r="F71" s="1149">
        <v>30</v>
      </c>
    </row>
    <row r="72" spans="1:6" s="1100" customFormat="1" ht="36">
      <c r="A72" s="1149">
        <v>12</v>
      </c>
      <c r="B72" s="3458"/>
      <c r="C72" s="1063" t="s">
        <v>1487</v>
      </c>
      <c r="D72" s="1063" t="s">
        <v>1488</v>
      </c>
      <c r="E72" s="1134">
        <v>0.5</v>
      </c>
      <c r="F72" s="1149">
        <v>80</v>
      </c>
    </row>
    <row r="73" spans="1:6" s="1100" customFormat="1" ht="24">
      <c r="A73" s="1149">
        <v>13</v>
      </c>
      <c r="B73" s="3458"/>
      <c r="C73" s="1063" t="s">
        <v>1489</v>
      </c>
      <c r="D73" s="1063" t="s">
        <v>1490</v>
      </c>
      <c r="E73" s="1134">
        <v>0.4</v>
      </c>
      <c r="F73" s="1149">
        <v>60</v>
      </c>
    </row>
    <row r="74" spans="1:6" s="1100" customFormat="1" ht="24">
      <c r="A74" s="1149">
        <v>14</v>
      </c>
      <c r="B74" s="3458"/>
      <c r="C74" s="1063" t="s">
        <v>1491</v>
      </c>
      <c r="D74" s="1063" t="s">
        <v>1492</v>
      </c>
      <c r="E74" s="1134">
        <v>0.2</v>
      </c>
      <c r="F74" s="1149">
        <v>30</v>
      </c>
    </row>
    <row r="75" spans="1:6" s="1100" customFormat="1" ht="24">
      <c r="A75" s="1149">
        <v>15</v>
      </c>
      <c r="B75" s="3458"/>
      <c r="C75" s="1063" t="s">
        <v>1493</v>
      </c>
      <c r="D75" s="1063" t="s">
        <v>1494</v>
      </c>
      <c r="E75" s="1134">
        <v>0.2</v>
      </c>
      <c r="F75" s="1149">
        <v>30</v>
      </c>
    </row>
    <row r="76" spans="1:6" s="1100" customFormat="1" ht="24">
      <c r="A76" s="1149">
        <v>16</v>
      </c>
      <c r="B76" s="3458" t="s">
        <v>1495</v>
      </c>
      <c r="C76" s="1063" t="s">
        <v>1496</v>
      </c>
      <c r="D76" s="1063" t="s">
        <v>1497</v>
      </c>
      <c r="E76" s="1134">
        <v>0.5</v>
      </c>
      <c r="F76" s="1149">
        <v>80</v>
      </c>
    </row>
    <row r="77" spans="1:6" s="1100" customFormat="1" ht="24">
      <c r="A77" s="1149">
        <v>17</v>
      </c>
      <c r="B77" s="3458"/>
      <c r="C77" s="1063" t="s">
        <v>1498</v>
      </c>
      <c r="D77" s="1063" t="s">
        <v>1499</v>
      </c>
      <c r="E77" s="1134">
        <v>0.5</v>
      </c>
      <c r="F77" s="1149">
        <v>80</v>
      </c>
    </row>
    <row r="78" spans="1:6" s="1100" customFormat="1" ht="24">
      <c r="A78" s="1149">
        <v>18</v>
      </c>
      <c r="B78" s="3458"/>
      <c r="C78" s="1063" t="s">
        <v>1500</v>
      </c>
      <c r="D78" s="1063" t="s">
        <v>1501</v>
      </c>
      <c r="E78" s="1134">
        <v>0.2</v>
      </c>
      <c r="F78" s="1149">
        <v>30</v>
      </c>
    </row>
    <row r="79" spans="1:6" s="1100" customFormat="1" ht="24">
      <c r="A79" s="1149">
        <v>19</v>
      </c>
      <c r="B79" s="3458"/>
      <c r="C79" s="1063" t="s">
        <v>1502</v>
      </c>
      <c r="D79" s="1063" t="s">
        <v>1503</v>
      </c>
      <c r="E79" s="1134">
        <v>0.5</v>
      </c>
      <c r="F79" s="1149">
        <v>80</v>
      </c>
    </row>
    <row r="80" spans="1:6" s="1100" customFormat="1" ht="36">
      <c r="A80" s="1149">
        <v>20</v>
      </c>
      <c r="B80" s="3458"/>
      <c r="C80" s="1063" t="s">
        <v>1504</v>
      </c>
      <c r="D80" s="1063" t="s">
        <v>1505</v>
      </c>
      <c r="E80" s="1134">
        <v>0.2</v>
      </c>
      <c r="F80" s="1149">
        <v>30</v>
      </c>
    </row>
    <row r="81" spans="1:6" s="1100" customFormat="1" ht="36">
      <c r="A81" s="1149">
        <v>21</v>
      </c>
      <c r="B81" s="3458"/>
      <c r="C81" s="1063" t="s">
        <v>1506</v>
      </c>
      <c r="D81" s="1063" t="s">
        <v>1507</v>
      </c>
      <c r="E81" s="1134">
        <v>0.2</v>
      </c>
      <c r="F81" s="1149">
        <v>30</v>
      </c>
    </row>
    <row r="82" spans="1:6" s="1100" customFormat="1" ht="48">
      <c r="A82" s="1149">
        <v>22</v>
      </c>
      <c r="B82" s="3458"/>
      <c r="C82" s="1063" t="s">
        <v>1508</v>
      </c>
      <c r="D82" s="1063" t="s">
        <v>1509</v>
      </c>
      <c r="E82" s="1134">
        <v>0.2</v>
      </c>
      <c r="F82" s="1149">
        <v>30</v>
      </c>
    </row>
    <row r="83" spans="1:6" s="1100" customFormat="1" ht="48">
      <c r="A83" s="1149">
        <v>23</v>
      </c>
      <c r="B83" s="3458"/>
      <c r="C83" s="1063" t="s">
        <v>1510</v>
      </c>
      <c r="D83" s="1063" t="s">
        <v>1511</v>
      </c>
      <c r="E83" s="1134">
        <v>0.2</v>
      </c>
      <c r="F83" s="1149">
        <v>30</v>
      </c>
    </row>
    <row r="84" spans="1:6" s="1100" customFormat="1" ht="36">
      <c r="A84" s="1149">
        <v>24</v>
      </c>
      <c r="B84" s="3458"/>
      <c r="C84" s="1063" t="s">
        <v>1512</v>
      </c>
      <c r="D84" s="1063" t="s">
        <v>1513</v>
      </c>
      <c r="E84" s="1134">
        <v>0.2</v>
      </c>
      <c r="F84" s="1149">
        <v>30</v>
      </c>
    </row>
    <row r="85" spans="1:6" s="1100" customFormat="1" ht="36">
      <c r="A85" s="1149">
        <v>25</v>
      </c>
      <c r="B85" s="3458"/>
      <c r="C85" s="1063" t="s">
        <v>1514</v>
      </c>
      <c r="D85" s="1063" t="s">
        <v>1515</v>
      </c>
      <c r="E85" s="1134">
        <v>0.5</v>
      </c>
      <c r="F85" s="1149">
        <v>80</v>
      </c>
    </row>
    <row r="86" spans="1:6" s="1100" customFormat="1" ht="36">
      <c r="A86" s="1149">
        <v>26</v>
      </c>
      <c r="B86" s="3458"/>
      <c r="C86" s="1063" t="s">
        <v>1516</v>
      </c>
      <c r="D86" s="1063" t="s">
        <v>1517</v>
      </c>
      <c r="E86" s="1134">
        <v>0.2</v>
      </c>
      <c r="F86" s="1149">
        <v>30</v>
      </c>
    </row>
    <row r="87" spans="1:6" s="1100" customFormat="1" ht="36">
      <c r="A87" s="1149">
        <v>27</v>
      </c>
      <c r="B87" s="3458"/>
      <c r="C87" s="1063" t="s">
        <v>1518</v>
      </c>
      <c r="D87" s="1063" t="s">
        <v>1519</v>
      </c>
      <c r="E87" s="1134">
        <v>0.2</v>
      </c>
      <c r="F87" s="1149">
        <v>30</v>
      </c>
    </row>
    <row r="88" spans="1:6" s="1100" customFormat="1" ht="36">
      <c r="A88" s="1149">
        <v>28</v>
      </c>
      <c r="B88" s="3458"/>
      <c r="C88" s="1063" t="s">
        <v>1520</v>
      </c>
      <c r="D88" s="1063" t="s">
        <v>1521</v>
      </c>
      <c r="E88" s="1134">
        <v>0.2</v>
      </c>
      <c r="F88" s="1149">
        <v>30</v>
      </c>
    </row>
    <row r="89" spans="1:6" s="1100" customFormat="1" ht="24">
      <c r="A89" s="1149">
        <v>29</v>
      </c>
      <c r="B89" s="3458"/>
      <c r="C89" s="1063" t="s">
        <v>1522</v>
      </c>
      <c r="D89" s="1063" t="s">
        <v>1523</v>
      </c>
      <c r="E89" s="1134">
        <v>0.2</v>
      </c>
      <c r="F89" s="1149">
        <v>30</v>
      </c>
    </row>
    <row r="90" spans="1:6" s="1100" customFormat="1" ht="24">
      <c r="A90" s="1149">
        <v>30</v>
      </c>
      <c r="B90" s="3458"/>
      <c r="C90" s="1063" t="s">
        <v>1524</v>
      </c>
      <c r="D90" s="1063" t="s">
        <v>1525</v>
      </c>
      <c r="E90" s="1134">
        <v>0.2</v>
      </c>
      <c r="F90" s="1149">
        <v>30</v>
      </c>
    </row>
    <row r="91" spans="1:6" s="1100" customFormat="1" ht="36">
      <c r="A91" s="1149">
        <v>31</v>
      </c>
      <c r="B91" s="3458"/>
      <c r="C91" s="1063" t="s">
        <v>1526</v>
      </c>
      <c r="D91" s="1063" t="s">
        <v>1527</v>
      </c>
      <c r="E91" s="1134">
        <v>0.2</v>
      </c>
      <c r="F91" s="1149">
        <v>30</v>
      </c>
    </row>
    <row r="92" spans="1:6" s="1100" customFormat="1" ht="24">
      <c r="A92" s="1149">
        <v>32</v>
      </c>
      <c r="B92" s="3458" t="s">
        <v>1528</v>
      </c>
      <c r="C92" s="1149" t="s">
        <v>1529</v>
      </c>
      <c r="D92" s="1063" t="s">
        <v>1530</v>
      </c>
      <c r="E92" s="1134">
        <v>0.2</v>
      </c>
      <c r="F92" s="1149">
        <v>30</v>
      </c>
    </row>
    <row r="93" spans="1:6" s="1100" customFormat="1" ht="36">
      <c r="A93" s="1149">
        <v>33</v>
      </c>
      <c r="B93" s="3458"/>
      <c r="C93" s="1149" t="s">
        <v>1531</v>
      </c>
      <c r="D93" s="1063" t="s">
        <v>1532</v>
      </c>
      <c r="E93" s="1134">
        <v>0.2</v>
      </c>
      <c r="F93" s="1149">
        <v>30</v>
      </c>
    </row>
    <row r="94" spans="1:6" s="1100" customFormat="1" ht="48">
      <c r="A94" s="1149">
        <v>34</v>
      </c>
      <c r="B94" s="3458"/>
      <c r="C94" s="1149" t="s">
        <v>1533</v>
      </c>
      <c r="D94" s="1063" t="s">
        <v>1534</v>
      </c>
      <c r="E94" s="1134">
        <v>0.2</v>
      </c>
      <c r="F94" s="1149">
        <v>30</v>
      </c>
    </row>
    <row r="95" spans="1:6" s="1100" customFormat="1" ht="36">
      <c r="A95" s="1149">
        <v>35</v>
      </c>
      <c r="B95" s="3458"/>
      <c r="C95" s="1149" t="s">
        <v>1535</v>
      </c>
      <c r="D95" s="1063" t="s">
        <v>1536</v>
      </c>
      <c r="E95" s="1134">
        <v>0.2</v>
      </c>
      <c r="F95" s="1149">
        <v>30</v>
      </c>
    </row>
    <row r="96" spans="1:6" s="1100" customFormat="1" ht="48">
      <c r="A96" s="1149">
        <v>36</v>
      </c>
      <c r="B96" s="3458"/>
      <c r="C96" s="1063" t="s">
        <v>1537</v>
      </c>
      <c r="D96" s="1063" t="s">
        <v>1538</v>
      </c>
      <c r="E96" s="1134">
        <v>0.2</v>
      </c>
      <c r="F96" s="1149">
        <v>30</v>
      </c>
    </row>
    <row r="97" spans="1:6" s="1100" customFormat="1" ht="36">
      <c r="A97" s="1149">
        <v>37</v>
      </c>
      <c r="B97" s="3458"/>
      <c r="C97" s="1149" t="s">
        <v>1539</v>
      </c>
      <c r="D97" s="1063" t="s">
        <v>1540</v>
      </c>
      <c r="E97" s="1134">
        <v>0.2</v>
      </c>
      <c r="F97" s="1149">
        <v>30</v>
      </c>
    </row>
    <row r="98" spans="1:6" s="1100" customFormat="1" ht="36">
      <c r="A98" s="1149">
        <v>38</v>
      </c>
      <c r="B98" s="3458"/>
      <c r="C98" s="1149" t="s">
        <v>1541</v>
      </c>
      <c r="D98" s="1063" t="s">
        <v>1542</v>
      </c>
      <c r="E98" s="1134">
        <v>0.2</v>
      </c>
      <c r="F98" s="1149">
        <v>30</v>
      </c>
    </row>
    <row r="99" spans="1:6" s="1100" customFormat="1" ht="36">
      <c r="A99" s="1149">
        <v>39</v>
      </c>
      <c r="B99" s="3458" t="s">
        <v>1543</v>
      </c>
      <c r="C99" s="1149" t="s">
        <v>1544</v>
      </c>
      <c r="D99" s="1063" t="s">
        <v>1545</v>
      </c>
      <c r="E99" s="1134">
        <v>0.3</v>
      </c>
      <c r="F99" s="1149">
        <v>50</v>
      </c>
    </row>
    <row r="100" spans="1:6" s="1100" customFormat="1" ht="24">
      <c r="A100" s="1149">
        <v>40</v>
      </c>
      <c r="B100" s="3458"/>
      <c r="C100" s="1149" t="s">
        <v>1546</v>
      </c>
      <c r="D100" s="1063" t="s">
        <v>1547</v>
      </c>
      <c r="E100" s="1134">
        <v>0.2</v>
      </c>
      <c r="F100" s="1149">
        <v>30</v>
      </c>
    </row>
    <row r="101" spans="1:6" s="1100" customFormat="1" ht="36">
      <c r="A101" s="1149">
        <v>41</v>
      </c>
      <c r="B101" s="3458"/>
      <c r="C101" s="1149" t="s">
        <v>1548</v>
      </c>
      <c r="D101" s="1063" t="s">
        <v>1545</v>
      </c>
      <c r="E101" s="1134">
        <v>0.2</v>
      </c>
      <c r="F101" s="1149">
        <v>30</v>
      </c>
    </row>
    <row r="102" spans="1:6" s="1100" customFormat="1" ht="48">
      <c r="A102" s="1149">
        <v>42</v>
      </c>
      <c r="B102" s="1149" t="s">
        <v>1549</v>
      </c>
      <c r="C102" s="1063" t="s">
        <v>1550</v>
      </c>
      <c r="D102" s="1063" t="s">
        <v>1551</v>
      </c>
      <c r="E102" s="1134">
        <v>0.2</v>
      </c>
      <c r="F102" s="1149">
        <v>30</v>
      </c>
    </row>
    <row r="103" spans="1:6" s="1100" customFormat="1" ht="24">
      <c r="A103" s="1149">
        <v>43</v>
      </c>
      <c r="B103" s="1149" t="s">
        <v>1552</v>
      </c>
      <c r="C103" s="1149" t="s">
        <v>1553</v>
      </c>
      <c r="D103" s="1063" t="s">
        <v>1554</v>
      </c>
      <c r="E103" s="1134">
        <v>0.2</v>
      </c>
      <c r="F103" s="1149">
        <v>30</v>
      </c>
    </row>
    <row r="104" spans="1:6" s="1100" customFormat="1" ht="36">
      <c r="A104" s="1149">
        <v>44</v>
      </c>
      <c r="B104" s="1149" t="s">
        <v>1555</v>
      </c>
      <c r="C104" s="1149" t="s">
        <v>1556</v>
      </c>
      <c r="D104" s="1063" t="s">
        <v>1557</v>
      </c>
      <c r="E104" s="1134">
        <v>0.2</v>
      </c>
      <c r="F104" s="1149">
        <v>30</v>
      </c>
    </row>
    <row r="105" spans="1:6" s="1100" customFormat="1" ht="36">
      <c r="A105" s="1149">
        <v>45</v>
      </c>
      <c r="B105" s="3458" t="s">
        <v>1558</v>
      </c>
      <c r="C105" s="1149" t="s">
        <v>1559</v>
      </c>
      <c r="D105" s="1063" t="s">
        <v>1560</v>
      </c>
      <c r="E105" s="1134">
        <v>0.2</v>
      </c>
      <c r="F105" s="1149">
        <v>30</v>
      </c>
    </row>
    <row r="106" spans="1:6" s="1100" customFormat="1" ht="36">
      <c r="A106" s="1149">
        <v>46</v>
      </c>
      <c r="B106" s="3458"/>
      <c r="C106" s="1149" t="s">
        <v>1561</v>
      </c>
      <c r="D106" s="1063" t="s">
        <v>1562</v>
      </c>
      <c r="E106" s="1134">
        <v>0.2</v>
      </c>
      <c r="F106" s="1149">
        <v>30</v>
      </c>
    </row>
    <row r="107" spans="1:6" s="1100" customFormat="1" ht="36">
      <c r="A107" s="1149">
        <v>47</v>
      </c>
      <c r="B107" s="3458" t="s">
        <v>1563</v>
      </c>
      <c r="C107" s="1149" t="s">
        <v>1564</v>
      </c>
      <c r="D107" s="1063" t="s">
        <v>1565</v>
      </c>
      <c r="E107" s="1134">
        <v>0.3</v>
      </c>
      <c r="F107" s="1149">
        <v>50</v>
      </c>
    </row>
    <row r="108" spans="1:6" s="1100" customFormat="1" ht="36">
      <c r="A108" s="1149">
        <v>48</v>
      </c>
      <c r="B108" s="3458"/>
      <c r="C108" s="1149" t="s">
        <v>1566</v>
      </c>
      <c r="D108" s="1063" t="s">
        <v>1567</v>
      </c>
      <c r="E108" s="1134">
        <v>0.2</v>
      </c>
      <c r="F108" s="1149">
        <v>30</v>
      </c>
    </row>
    <row r="109" spans="1:6" s="1100" customFormat="1" ht="36">
      <c r="A109" s="1149">
        <v>49</v>
      </c>
      <c r="B109" s="1149" t="s">
        <v>1568</v>
      </c>
      <c r="C109" s="1149" t="s">
        <v>1569</v>
      </c>
      <c r="D109" s="1063" t="s">
        <v>1570</v>
      </c>
      <c r="E109" s="1134">
        <v>0.2</v>
      </c>
      <c r="F109" s="1149">
        <v>30</v>
      </c>
    </row>
    <row r="110" spans="1:6" s="1100" customFormat="1" ht="36">
      <c r="A110" s="1149">
        <v>50</v>
      </c>
      <c r="B110" s="1149" t="s">
        <v>1571</v>
      </c>
      <c r="C110" s="1149" t="s">
        <v>1572</v>
      </c>
      <c r="D110" s="1063" t="s">
        <v>1573</v>
      </c>
      <c r="E110" s="1134">
        <v>0.2</v>
      </c>
      <c r="F110" s="1149">
        <v>30</v>
      </c>
    </row>
    <row r="111" spans="1:6" s="1100" customFormat="1" ht="36">
      <c r="A111" s="1149">
        <v>51</v>
      </c>
      <c r="B111" s="3458" t="s">
        <v>1574</v>
      </c>
      <c r="C111" s="1149" t="s">
        <v>1575</v>
      </c>
      <c r="D111" s="1063" t="s">
        <v>1576</v>
      </c>
      <c r="E111" s="1134">
        <v>0.2</v>
      </c>
      <c r="F111" s="1149">
        <v>30</v>
      </c>
    </row>
    <row r="112" spans="1:6" s="1100" customFormat="1" ht="24">
      <c r="A112" s="1149">
        <v>52</v>
      </c>
      <c r="B112" s="3458"/>
      <c r="C112" s="1149" t="s">
        <v>1577</v>
      </c>
      <c r="D112" s="1063" t="s">
        <v>1578</v>
      </c>
      <c r="E112" s="1134">
        <v>0.2</v>
      </c>
      <c r="F112" s="1149">
        <v>30</v>
      </c>
    </row>
    <row r="113" spans="1:14" s="1100" customFormat="1" ht="24">
      <c r="A113" s="1149">
        <v>53</v>
      </c>
      <c r="B113" s="3458"/>
      <c r="C113" s="1149" t="s">
        <v>1579</v>
      </c>
      <c r="D113" s="1063" t="s">
        <v>1580</v>
      </c>
      <c r="E113" s="1134">
        <v>0.2</v>
      </c>
      <c r="F113" s="1149">
        <v>30</v>
      </c>
    </row>
    <row r="114" spans="1:14" ht="36">
      <c r="A114" s="1149">
        <v>54</v>
      </c>
      <c r="B114" s="1149" t="s">
        <v>1581</v>
      </c>
      <c r="C114" s="1149" t="s">
        <v>1582</v>
      </c>
      <c r="D114" s="1063" t="s">
        <v>1583</v>
      </c>
      <c r="E114" s="1134">
        <v>0.2</v>
      </c>
      <c r="F114" s="1149">
        <v>30</v>
      </c>
    </row>
    <row r="115" spans="1:14" ht="24">
      <c r="A115" s="1149">
        <v>55</v>
      </c>
      <c r="B115" s="1149" t="s">
        <v>1584</v>
      </c>
      <c r="C115" s="1149" t="s">
        <v>1585</v>
      </c>
      <c r="D115" s="1063" t="s">
        <v>1586</v>
      </c>
      <c r="E115" s="1134">
        <v>0.2</v>
      </c>
      <c r="F115" s="1149">
        <v>30</v>
      </c>
    </row>
    <row r="116" spans="1:14" ht="24">
      <c r="A116" s="1149">
        <v>56</v>
      </c>
      <c r="B116" s="3458" t="s">
        <v>1587</v>
      </c>
      <c r="C116" s="1149" t="s">
        <v>1588</v>
      </c>
      <c r="D116" s="1063" t="s">
        <v>1589</v>
      </c>
      <c r="E116" s="1134">
        <v>0.2</v>
      </c>
      <c r="F116" s="1149">
        <v>30</v>
      </c>
    </row>
    <row r="117" spans="1:14" ht="36">
      <c r="A117" s="1149">
        <v>57</v>
      </c>
      <c r="B117" s="3458"/>
      <c r="C117" s="1149" t="s">
        <v>1590</v>
      </c>
      <c r="D117" s="1063" t="s">
        <v>1591</v>
      </c>
      <c r="E117" s="1134">
        <v>0.2</v>
      </c>
      <c r="F117" s="1149">
        <v>30</v>
      </c>
    </row>
    <row r="118" spans="1:14" ht="36">
      <c r="A118" s="1149">
        <v>58</v>
      </c>
      <c r="B118" s="1149" t="s">
        <v>1592</v>
      </c>
      <c r="C118" s="1149" t="s">
        <v>1593</v>
      </c>
      <c r="D118" s="1063" t="s">
        <v>1594</v>
      </c>
      <c r="E118" s="1134">
        <v>0.2</v>
      </c>
      <c r="F118" s="1149">
        <v>30</v>
      </c>
    </row>
    <row r="119" spans="1:14" ht="13.5">
      <c r="A119" s="1149"/>
      <c r="B119" s="1149"/>
      <c r="C119" s="1149"/>
      <c r="D119" s="1149"/>
      <c r="E119" s="1134"/>
      <c r="F119" s="1149"/>
    </row>
    <row r="121" spans="1:14" ht="19.5" customHeight="1">
      <c r="A121" s="3457" t="s">
        <v>1596</v>
      </c>
      <c r="B121" s="3457"/>
      <c r="C121" s="3457"/>
      <c r="D121" s="3457"/>
      <c r="E121" s="3457"/>
      <c r="F121" s="3457"/>
      <c r="G121" s="3457"/>
      <c r="H121" s="3457"/>
      <c r="I121" s="3457"/>
      <c r="J121" s="345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2" t="s">
        <v>1002</v>
      </c>
      <c r="B1" s="3462"/>
      <c r="C1" s="3462"/>
      <c r="D1" s="3462"/>
      <c r="E1" s="3462"/>
      <c r="F1" s="3462"/>
      <c r="H1" s="1065"/>
      <c r="I1" s="1066" t="s">
        <v>1003</v>
      </c>
      <c r="J1" s="1067" t="s">
        <v>1004</v>
      </c>
      <c r="K1" s="1067" t="s">
        <v>1005</v>
      </c>
      <c r="L1" s="1067" t="s">
        <v>1006</v>
      </c>
      <c r="M1" s="1067" t="s">
        <v>1007</v>
      </c>
      <c r="N1" s="1067" t="s">
        <v>1008</v>
      </c>
      <c r="O1" s="1067" t="s">
        <v>1009</v>
      </c>
      <c r="P1" s="1067" t="s">
        <v>1010</v>
      </c>
      <c r="Q1" s="1067" t="s">
        <v>1011</v>
      </c>
      <c r="R1" s="1067" t="s">
        <v>1012</v>
      </c>
      <c r="S1" s="1067" t="s">
        <v>1013</v>
      </c>
      <c r="T1" s="1068" t="s">
        <v>1014</v>
      </c>
    </row>
    <row r="2" spans="1:20" ht="14.25" thickBot="1">
      <c r="A2" s="3463" t="s">
        <v>1015</v>
      </c>
      <c r="B2" s="3463"/>
      <c r="C2" s="3463"/>
      <c r="D2" s="3463"/>
      <c r="E2" s="3463"/>
      <c r="F2" s="3463"/>
      <c r="I2" s="1069" t="s">
        <v>1016</v>
      </c>
      <c r="J2" s="1070" t="s">
        <v>1017</v>
      </c>
      <c r="K2" s="1070" t="s">
        <v>1018</v>
      </c>
      <c r="L2" s="1070" t="s">
        <v>1019</v>
      </c>
      <c r="M2" s="1070" t="s">
        <v>1020</v>
      </c>
      <c r="N2" s="1070" t="s">
        <v>1021</v>
      </c>
      <c r="O2" s="1070" t="s">
        <v>1022</v>
      </c>
      <c r="P2" s="1070" t="s">
        <v>1023</v>
      </c>
      <c r="Q2" s="1070" t="s">
        <v>1024</v>
      </c>
      <c r="R2" s="1070" t="s">
        <v>1025</v>
      </c>
      <c r="S2" s="1070" t="s">
        <v>1026</v>
      </c>
      <c r="T2" s="1070" t="s">
        <v>1027</v>
      </c>
    </row>
    <row r="3" spans="1:20" s="1065" customFormat="1" ht="19.5" customHeight="1">
      <c r="A3" s="3464" t="s">
        <v>1028</v>
      </c>
      <c r="B3" s="1071"/>
      <c r="C3" s="1072" t="s">
        <v>1029</v>
      </c>
      <c r="D3" s="1072" t="s">
        <v>1030</v>
      </c>
      <c r="E3" s="1072" t="s">
        <v>1031</v>
      </c>
      <c r="F3" s="1072" t="s">
        <v>1032</v>
      </c>
      <c r="G3" s="1073"/>
      <c r="I3" s="1069" t="s">
        <v>1033</v>
      </c>
      <c r="J3" s="1070" t="s">
        <v>1034</v>
      </c>
      <c r="K3" s="1070" t="s">
        <v>1035</v>
      </c>
      <c r="L3" s="1070" t="s">
        <v>1036</v>
      </c>
      <c r="M3" s="1070" t="s">
        <v>1037</v>
      </c>
      <c r="N3" s="1070" t="s">
        <v>1038</v>
      </c>
      <c r="O3" s="1070" t="s">
        <v>1039</v>
      </c>
      <c r="P3" s="1070" t="s">
        <v>1040</v>
      </c>
      <c r="Q3" s="1070" t="s">
        <v>1041</v>
      </c>
      <c r="R3" s="1070" t="s">
        <v>1042</v>
      </c>
      <c r="S3" s="1070" t="s">
        <v>1043</v>
      </c>
      <c r="T3" s="1070" t="s">
        <v>1044</v>
      </c>
    </row>
    <row r="4" spans="1:20" s="1065" customFormat="1" ht="19.5" customHeight="1" thickBot="1">
      <c r="A4" s="3465"/>
      <c r="B4" s="1074" t="s">
        <v>1045</v>
      </c>
      <c r="C4" s="1074" t="s">
        <v>1046</v>
      </c>
      <c r="D4" s="1074" t="s">
        <v>1046</v>
      </c>
      <c r="E4" s="1074" t="s">
        <v>1046</v>
      </c>
      <c r="F4" s="1075" t="s">
        <v>1046</v>
      </c>
      <c r="G4" s="1073"/>
      <c r="I4" s="1069" t="s">
        <v>1047</v>
      </c>
      <c r="J4" s="1070" t="s">
        <v>1048</v>
      </c>
      <c r="K4" s="1070" t="s">
        <v>1049</v>
      </c>
      <c r="L4" s="1070" t="s">
        <v>1050</v>
      </c>
      <c r="M4" s="1070" t="s">
        <v>1051</v>
      </c>
      <c r="N4" s="1070" t="s">
        <v>1052</v>
      </c>
      <c r="O4" s="1070" t="s">
        <v>1053</v>
      </c>
      <c r="P4" s="1070" t="s">
        <v>1054</v>
      </c>
      <c r="Q4" s="1070" t="s">
        <v>1055</v>
      </c>
      <c r="R4" s="1070" t="s">
        <v>1056</v>
      </c>
      <c r="S4" s="1070" t="s">
        <v>1057</v>
      </c>
      <c r="T4" s="1070" t="s">
        <v>1058</v>
      </c>
    </row>
    <row r="5" spans="1:20" ht="14.25" customHeight="1" thickBot="1">
      <c r="A5" s="1076" t="s">
        <v>1059</v>
      </c>
      <c r="B5" s="1077" t="s">
        <v>1016</v>
      </c>
      <c r="C5" s="1077">
        <v>29530</v>
      </c>
      <c r="D5" s="1077">
        <v>28130</v>
      </c>
      <c r="E5" s="1077">
        <v>27930</v>
      </c>
      <c r="F5" s="1078">
        <v>11300</v>
      </c>
      <c r="G5" s="1079" t="s">
        <v>1003</v>
      </c>
      <c r="H5" s="1080">
        <f>SUMPRODUCT((B5:B9=基准地价!I2)*(C3:F3=基准地价!E2)*(C5:F9))</f>
        <v>0</v>
      </c>
      <c r="I5" s="1069" t="s">
        <v>1060</v>
      </c>
      <c r="J5" s="1070" t="s">
        <v>1061</v>
      </c>
      <c r="K5" s="1070" t="s">
        <v>1062</v>
      </c>
      <c r="L5" s="1070" t="s">
        <v>1063</v>
      </c>
      <c r="M5" s="1070" t="s">
        <v>1064</v>
      </c>
      <c r="N5" s="1070" t="s">
        <v>1065</v>
      </c>
      <c r="O5" s="1070" t="s">
        <v>1066</v>
      </c>
      <c r="P5" s="1070" t="s">
        <v>1067</v>
      </c>
      <c r="Q5" s="1070" t="s">
        <v>1068</v>
      </c>
      <c r="R5" s="1070" t="s">
        <v>1069</v>
      </c>
      <c r="S5" s="1070" t="s">
        <v>1070</v>
      </c>
      <c r="T5" s="1070" t="s">
        <v>1071</v>
      </c>
    </row>
    <row r="6" spans="1:20" ht="14.25" customHeight="1" thickBot="1">
      <c r="A6" s="1076" t="s">
        <v>1059</v>
      </c>
      <c r="B6" s="1070" t="s">
        <v>1072</v>
      </c>
      <c r="C6" s="1070">
        <v>30290</v>
      </c>
      <c r="D6" s="1070">
        <v>29210</v>
      </c>
      <c r="E6" s="1070">
        <v>28860</v>
      </c>
      <c r="F6" s="1081">
        <v>12600</v>
      </c>
      <c r="G6" s="1082" t="s">
        <v>1073</v>
      </c>
      <c r="H6" s="1083">
        <f>SUMPRODUCT((B10:B28=基准地价!I2)*(C3:F3=基准地价!E2)*(C10:F28))</f>
        <v>0</v>
      </c>
      <c r="I6" s="1069" t="s">
        <v>1074</v>
      </c>
      <c r="J6" s="1070" t="s">
        <v>1075</v>
      </c>
      <c r="K6" s="1070" t="s">
        <v>1076</v>
      </c>
      <c r="L6" s="1070" t="s">
        <v>1077</v>
      </c>
      <c r="M6" s="1070" t="s">
        <v>1078</v>
      </c>
      <c r="N6" s="1070" t="s">
        <v>1079</v>
      </c>
      <c r="O6" s="1070" t="s">
        <v>1080</v>
      </c>
      <c r="P6" s="1070" t="s">
        <v>1081</v>
      </c>
      <c r="Q6" s="1070" t="s">
        <v>1082</v>
      </c>
      <c r="R6" s="1070" t="s">
        <v>1083</v>
      </c>
      <c r="S6" s="1070" t="s">
        <v>1084</v>
      </c>
      <c r="T6" s="1070" t="s">
        <v>1085</v>
      </c>
    </row>
    <row r="7" spans="1:20" ht="14.25" customHeight="1" thickBot="1">
      <c r="A7" s="1076" t="s">
        <v>1059</v>
      </c>
      <c r="B7" s="1084" t="s">
        <v>1047</v>
      </c>
      <c r="C7" s="1070">
        <v>29350</v>
      </c>
      <c r="D7" s="1070">
        <v>28410</v>
      </c>
      <c r="E7" s="1070">
        <v>27990</v>
      </c>
      <c r="F7" s="1081">
        <v>12300</v>
      </c>
      <c r="G7" s="1082" t="s">
        <v>872</v>
      </c>
      <c r="H7" s="1083">
        <f>SUMPRODUCT((B29:B48=基准地价!I2)*(C3:F3=基准地价!E2)*(C29:F48))</f>
        <v>0</v>
      </c>
      <c r="J7" s="1070" t="s">
        <v>1086</v>
      </c>
      <c r="K7" s="1070" t="s">
        <v>1087</v>
      </c>
      <c r="L7" s="1070" t="s">
        <v>1088</v>
      </c>
      <c r="M7" s="1070" t="s">
        <v>1089</v>
      </c>
      <c r="N7" s="1070" t="s">
        <v>1090</v>
      </c>
      <c r="O7" s="1070" t="s">
        <v>1091</v>
      </c>
      <c r="P7" s="1070" t="s">
        <v>1092</v>
      </c>
      <c r="Q7" s="1070" t="s">
        <v>1093</v>
      </c>
      <c r="R7" s="1070" t="s">
        <v>1094</v>
      </c>
      <c r="S7" s="1070" t="s">
        <v>1095</v>
      </c>
      <c r="T7" s="1084" t="s">
        <v>1096</v>
      </c>
    </row>
    <row r="8" spans="1:20" ht="14.25" customHeight="1" thickBot="1">
      <c r="A8" s="1076" t="s">
        <v>1059</v>
      </c>
      <c r="B8" s="1070" t="s">
        <v>1060</v>
      </c>
      <c r="C8" s="1070">
        <v>30890</v>
      </c>
      <c r="D8" s="1070">
        <v>29780</v>
      </c>
      <c r="E8" s="1070">
        <v>29270</v>
      </c>
      <c r="F8" s="1081">
        <v>11600</v>
      </c>
      <c r="G8" s="1082" t="s">
        <v>873</v>
      </c>
      <c r="H8" s="1083">
        <f>SUMPRODUCT((B49:B75=基准地价!I2)*(C3:F3=基准地价!E2)*(C49:F75))</f>
        <v>0</v>
      </c>
      <c r="J8" s="1070" t="s">
        <v>1097</v>
      </c>
      <c r="K8" s="1070" t="s">
        <v>1098</v>
      </c>
      <c r="L8" s="1070" t="s">
        <v>1099</v>
      </c>
      <c r="M8" s="1070" t="s">
        <v>1100</v>
      </c>
      <c r="N8" s="1070" t="s">
        <v>1101</v>
      </c>
      <c r="O8" s="1070" t="s">
        <v>1102</v>
      </c>
      <c r="P8" s="1070" t="s">
        <v>1103</v>
      </c>
      <c r="Q8" s="1070" t="s">
        <v>1104</v>
      </c>
      <c r="R8" s="1070" t="s">
        <v>1105</v>
      </c>
      <c r="S8" s="1070" t="s">
        <v>1106</v>
      </c>
      <c r="T8" s="1070" t="s">
        <v>1107</v>
      </c>
    </row>
    <row r="9" spans="1:20" ht="14.25" customHeight="1" thickBot="1">
      <c r="A9" s="1076" t="s">
        <v>1059</v>
      </c>
      <c r="B9" s="1085" t="s">
        <v>1074</v>
      </c>
      <c r="C9" s="1086">
        <v>28140</v>
      </c>
      <c r="D9" s="1086"/>
      <c r="E9" s="1086"/>
      <c r="F9" s="1087"/>
      <c r="G9" s="1082" t="s">
        <v>874</v>
      </c>
      <c r="H9" s="1083">
        <f>SUMPRODUCT((B76:B109=基准地价!I2)*(C3:F3=基准地价!E2)*(C76:F109))</f>
        <v>0</v>
      </c>
      <c r="J9" s="1070" t="s">
        <v>1108</v>
      </c>
      <c r="K9" s="1070" t="s">
        <v>1109</v>
      </c>
      <c r="L9" s="1070" t="s">
        <v>1110</v>
      </c>
      <c r="M9" s="1070" t="s">
        <v>1111</v>
      </c>
      <c r="N9" s="1070" t="s">
        <v>1112</v>
      </c>
      <c r="O9" s="1070" t="s">
        <v>1113</v>
      </c>
      <c r="P9" s="1070" t="s">
        <v>1114</v>
      </c>
      <c r="Q9" s="1070" t="s">
        <v>1115</v>
      </c>
      <c r="R9" s="1070" t="s">
        <v>1116</v>
      </c>
      <c r="S9" s="1070" t="s">
        <v>1117</v>
      </c>
    </row>
    <row r="10" spans="1:20" ht="14.25" customHeight="1" thickBot="1">
      <c r="A10" s="1076" t="s">
        <v>1118</v>
      </c>
      <c r="B10" s="1077" t="s">
        <v>1119</v>
      </c>
      <c r="C10" s="1077">
        <v>27450</v>
      </c>
      <c r="D10" s="1077">
        <v>26180</v>
      </c>
      <c r="E10" s="1077">
        <v>25980</v>
      </c>
      <c r="F10" s="1078">
        <v>8910</v>
      </c>
      <c r="G10" s="1082" t="s">
        <v>875</v>
      </c>
      <c r="H10" s="1083">
        <f>SUMPRODUCT((B110:B157=基准地价!I2)*(C3:F3=基准地价!E2)*(C110:F157))</f>
        <v>0</v>
      </c>
      <c r="J10" s="1070" t="s">
        <v>1120</v>
      </c>
      <c r="K10" s="1070" t="s">
        <v>1121</v>
      </c>
      <c r="L10" s="1070" t="s">
        <v>1122</v>
      </c>
      <c r="M10" s="1070" t="s">
        <v>1123</v>
      </c>
      <c r="N10" s="1070" t="s">
        <v>1124</v>
      </c>
      <c r="O10" s="1070" t="s">
        <v>1125</v>
      </c>
      <c r="P10" s="1070" t="s">
        <v>1126</v>
      </c>
      <c r="Q10" s="1070" t="s">
        <v>1127</v>
      </c>
      <c r="R10" s="1070" t="s">
        <v>1128</v>
      </c>
      <c r="S10" s="1070" t="s">
        <v>1129</v>
      </c>
    </row>
    <row r="11" spans="1:20" ht="14.25" customHeight="1" thickBot="1">
      <c r="A11" s="1076" t="s">
        <v>1118</v>
      </c>
      <c r="B11" s="1084" t="s">
        <v>1034</v>
      </c>
      <c r="C11" s="1070">
        <v>22950</v>
      </c>
      <c r="D11" s="1070">
        <v>22630</v>
      </c>
      <c r="E11" s="1070">
        <v>22030</v>
      </c>
      <c r="F11" s="1088">
        <v>8330</v>
      </c>
      <c r="G11" s="1082" t="s">
        <v>876</v>
      </c>
      <c r="H11" s="1083">
        <f>SUMPRODUCT((B158:B205=基准地价!I2)*(C3:F3=基准地价!E2)*(C158:F205))</f>
        <v>0</v>
      </c>
      <c r="J11" s="1070" t="s">
        <v>1130</v>
      </c>
      <c r="K11" s="1070" t="s">
        <v>1131</v>
      </c>
      <c r="L11" s="1070" t="s">
        <v>1132</v>
      </c>
      <c r="M11" s="1070" t="s">
        <v>1133</v>
      </c>
      <c r="N11" s="1070" t="s">
        <v>1134</v>
      </c>
      <c r="O11" s="1070" t="s">
        <v>1135</v>
      </c>
      <c r="P11" s="1070" t="s">
        <v>1136</v>
      </c>
      <c r="Q11" s="1070" t="s">
        <v>1137</v>
      </c>
      <c r="R11" s="1070" t="s">
        <v>1138</v>
      </c>
      <c r="S11" s="1070" t="s">
        <v>1139</v>
      </c>
    </row>
    <row r="12" spans="1:20" ht="14.25" customHeight="1" thickBot="1">
      <c r="A12" s="1076" t="s">
        <v>1118</v>
      </c>
      <c r="B12" s="1084" t="s">
        <v>1048</v>
      </c>
      <c r="C12" s="1070">
        <v>24940</v>
      </c>
      <c r="D12" s="1070">
        <v>23180</v>
      </c>
      <c r="E12" s="1070">
        <v>22910</v>
      </c>
      <c r="F12" s="1088">
        <v>7180</v>
      </c>
      <c r="G12" s="1082" t="s">
        <v>877</v>
      </c>
      <c r="H12" s="1083">
        <f>SUMPRODUCT((B206:B244=基准地价!I2)*(C3:F3=基准地价!E2)*(C206:F244))</f>
        <v>0</v>
      </c>
      <c r="J12" s="1070" t="s">
        <v>1140</v>
      </c>
      <c r="K12" s="1070" t="s">
        <v>1141</v>
      </c>
      <c r="L12" s="1070" t="s">
        <v>1142</v>
      </c>
      <c r="M12" s="1070" t="s">
        <v>1143</v>
      </c>
      <c r="N12" s="1070" t="s">
        <v>1144</v>
      </c>
      <c r="O12" s="1070" t="s">
        <v>1145</v>
      </c>
      <c r="P12" s="1070" t="s">
        <v>1146</v>
      </c>
      <c r="Q12" s="1070" t="s">
        <v>1147</v>
      </c>
      <c r="R12" s="1070" t="s">
        <v>1148</v>
      </c>
      <c r="S12" s="1070" t="s">
        <v>1149</v>
      </c>
    </row>
    <row r="13" spans="1:20" ht="14.25" customHeight="1" thickBot="1">
      <c r="A13" s="1076" t="s">
        <v>1118</v>
      </c>
      <c r="B13" s="1084" t="s">
        <v>1061</v>
      </c>
      <c r="C13" s="1070">
        <v>24140</v>
      </c>
      <c r="D13" s="1070">
        <v>22270</v>
      </c>
      <c r="E13" s="1070">
        <v>21950</v>
      </c>
      <c r="F13" s="1088">
        <v>7600</v>
      </c>
      <c r="G13" s="1082" t="s">
        <v>878</v>
      </c>
      <c r="H13" s="1083">
        <f>SUMPRODUCT((B245:B289=基准地价!I2)*(C3:F3=基准地价!E2)*(C245:F289))</f>
        <v>0</v>
      </c>
      <c r="J13" s="1070" t="s">
        <v>1150</v>
      </c>
      <c r="K13" s="1070" t="s">
        <v>1151</v>
      </c>
      <c r="L13" s="1070" t="s">
        <v>1152</v>
      </c>
      <c r="M13" s="1070" t="s">
        <v>1153</v>
      </c>
      <c r="N13" s="1070" t="s">
        <v>1154</v>
      </c>
      <c r="O13" s="1070" t="s">
        <v>1155</v>
      </c>
      <c r="P13" s="1070" t="s">
        <v>1156</v>
      </c>
      <c r="Q13" s="1070" t="s">
        <v>1157</v>
      </c>
      <c r="R13" s="1070" t="s">
        <v>1158</v>
      </c>
      <c r="S13" s="1070" t="s">
        <v>1159</v>
      </c>
    </row>
    <row r="14" spans="1:20" ht="14.25" customHeight="1" thickBot="1">
      <c r="A14" s="1076" t="s">
        <v>1118</v>
      </c>
      <c r="B14" s="1084" t="s">
        <v>1075</v>
      </c>
      <c r="C14" s="1070">
        <v>25600</v>
      </c>
      <c r="D14" s="1070">
        <v>22260</v>
      </c>
      <c r="E14" s="1070">
        <v>22110</v>
      </c>
      <c r="F14" s="1088">
        <v>7630</v>
      </c>
      <c r="G14" s="1082" t="s">
        <v>879</v>
      </c>
      <c r="H14" s="1083">
        <f>SUMPRODUCT((B290:B316=基准地价!I2)*(C3:F3=基准地价!E2)*(C290:F316))</f>
        <v>0</v>
      </c>
      <c r="J14" s="1070" t="s">
        <v>1160</v>
      </c>
      <c r="K14" s="1070" t="s">
        <v>1161</v>
      </c>
      <c r="L14" s="1070" t="s">
        <v>1162</v>
      </c>
      <c r="M14" s="1070" t="s">
        <v>1163</v>
      </c>
      <c r="N14" s="1070" t="s">
        <v>1164</v>
      </c>
      <c r="O14" s="1070" t="s">
        <v>1165</v>
      </c>
      <c r="P14" s="1070" t="s">
        <v>1166</v>
      </c>
      <c r="Q14" s="1070" t="s">
        <v>1167</v>
      </c>
      <c r="R14" s="1070" t="s">
        <v>1168</v>
      </c>
      <c r="S14" s="1070" t="s">
        <v>1169</v>
      </c>
    </row>
    <row r="15" spans="1:20" ht="14.25" customHeight="1" thickBot="1">
      <c r="A15" s="1076" t="s">
        <v>1118</v>
      </c>
      <c r="B15" s="1084" t="s">
        <v>1086</v>
      </c>
      <c r="C15" s="1070">
        <v>24760</v>
      </c>
      <c r="D15" s="1070">
        <v>24440</v>
      </c>
      <c r="E15" s="1070">
        <v>24130</v>
      </c>
      <c r="F15" s="1088">
        <v>9480</v>
      </c>
      <c r="G15" s="1082" t="s">
        <v>880</v>
      </c>
      <c r="H15" s="1083">
        <f>SUMPRODUCT((B317:B337=基准地价!I2)*(C3:F3=基准地价!E2)*(C317:F337))</f>
        <v>0</v>
      </c>
      <c r="J15" s="1070" t="s">
        <v>1170</v>
      </c>
      <c r="K15" s="1070" t="s">
        <v>1171</v>
      </c>
      <c r="L15" s="1070" t="s">
        <v>1172</v>
      </c>
      <c r="M15" s="1070" t="s">
        <v>1173</v>
      </c>
      <c r="N15" s="1070" t="s">
        <v>1174</v>
      </c>
      <c r="O15" s="1070" t="s">
        <v>1175</v>
      </c>
      <c r="P15" s="1070" t="s">
        <v>1176</v>
      </c>
      <c r="Q15" s="1070" t="s">
        <v>1177</v>
      </c>
      <c r="R15" s="1070" t="s">
        <v>1178</v>
      </c>
      <c r="S15" s="1070" t="s">
        <v>1179</v>
      </c>
    </row>
    <row r="16" spans="1:20" ht="14.25" customHeight="1" thickBot="1">
      <c r="A16" s="1076" t="s">
        <v>1118</v>
      </c>
      <c r="B16" s="1084" t="s">
        <v>1097</v>
      </c>
      <c r="C16" s="1070">
        <v>22220</v>
      </c>
      <c r="D16" s="1070">
        <v>22310</v>
      </c>
      <c r="E16" s="1070">
        <v>22000</v>
      </c>
      <c r="F16" s="1088">
        <v>8900</v>
      </c>
      <c r="G16" s="1089" t="s">
        <v>881</v>
      </c>
      <c r="H16" s="1090">
        <f>SUMPRODUCT((B338:B344=基准地价!I2)*(C3:F3=基准地价!E2)*(C338:F344))</f>
        <v>0</v>
      </c>
      <c r="J16" s="1070" t="s">
        <v>1180</v>
      </c>
      <c r="K16" s="1070" t="s">
        <v>1181</v>
      </c>
      <c r="L16" s="1070" t="s">
        <v>1182</v>
      </c>
      <c r="M16" s="1070" t="s">
        <v>1183</v>
      </c>
      <c r="N16" s="1070" t="s">
        <v>1184</v>
      </c>
      <c r="O16" s="1070" t="s">
        <v>1185</v>
      </c>
      <c r="P16" s="1070" t="s">
        <v>1186</v>
      </c>
      <c r="Q16" s="1070" t="s">
        <v>1187</v>
      </c>
      <c r="R16" s="1070" t="s">
        <v>1188</v>
      </c>
      <c r="S16" s="1070" t="s">
        <v>1189</v>
      </c>
    </row>
    <row r="17" spans="1:19" ht="14.25" customHeight="1" thickBot="1">
      <c r="A17" s="1076" t="s">
        <v>1118</v>
      </c>
      <c r="B17" s="1084" t="s">
        <v>1108</v>
      </c>
      <c r="C17" s="1070">
        <v>24700</v>
      </c>
      <c r="D17" s="1070">
        <v>25150</v>
      </c>
      <c r="E17" s="1070">
        <v>24700</v>
      </c>
      <c r="F17" s="1091"/>
      <c r="H17" s="1092"/>
      <c r="J17" s="1070" t="s">
        <v>1190</v>
      </c>
      <c r="K17" s="1070" t="s">
        <v>1191</v>
      </c>
      <c r="L17" s="1070" t="s">
        <v>1192</v>
      </c>
      <c r="M17" s="1070" t="s">
        <v>1193</v>
      </c>
      <c r="N17" s="1070" t="s">
        <v>1194</v>
      </c>
      <c r="O17" s="1070" t="s">
        <v>1195</v>
      </c>
      <c r="P17" s="1070" t="s">
        <v>1196</v>
      </c>
      <c r="Q17" s="1070" t="s">
        <v>1197</v>
      </c>
      <c r="R17" s="1070" t="s">
        <v>1198</v>
      </c>
      <c r="S17" s="1070" t="s">
        <v>1199</v>
      </c>
    </row>
    <row r="18" spans="1:19" ht="14.25" customHeight="1" thickBot="1">
      <c r="A18" s="1076" t="s">
        <v>1118</v>
      </c>
      <c r="B18" s="1084" t="s">
        <v>1120</v>
      </c>
      <c r="C18" s="1070">
        <v>22350</v>
      </c>
      <c r="D18" s="1070">
        <v>24340</v>
      </c>
      <c r="E18" s="1070">
        <v>24100</v>
      </c>
      <c r="F18" s="1091"/>
      <c r="H18" s="1092"/>
      <c r="J18" s="1070" t="s">
        <v>1200</v>
      </c>
      <c r="K18" s="1070" t="s">
        <v>1201</v>
      </c>
      <c r="L18" s="1070" t="s">
        <v>1202</v>
      </c>
      <c r="M18" s="1070" t="s">
        <v>1203</v>
      </c>
      <c r="N18" s="1070" t="s">
        <v>1204</v>
      </c>
      <c r="O18" s="1070" t="s">
        <v>1205</v>
      </c>
      <c r="P18" s="1070" t="s">
        <v>1206</v>
      </c>
      <c r="Q18" s="1070" t="s">
        <v>1207</v>
      </c>
      <c r="R18" s="1070" t="s">
        <v>1208</v>
      </c>
      <c r="S18" s="1070" t="s">
        <v>1209</v>
      </c>
    </row>
    <row r="19" spans="1:19" ht="14.25" customHeight="1" thickBot="1">
      <c r="A19" s="1076" t="s">
        <v>1118</v>
      </c>
      <c r="B19" s="1084" t="s">
        <v>1130</v>
      </c>
      <c r="C19" s="1070">
        <v>23430</v>
      </c>
      <c r="D19" s="1070">
        <v>21580</v>
      </c>
      <c r="E19" s="1070">
        <v>21350</v>
      </c>
      <c r="F19" s="1091"/>
      <c r="H19" s="1092"/>
      <c r="J19" s="1070" t="s">
        <v>1210</v>
      </c>
      <c r="K19" s="1070" t="s">
        <v>1211</v>
      </c>
      <c r="L19" s="1070" t="s">
        <v>1212</v>
      </c>
      <c r="M19" s="1070" t="s">
        <v>1213</v>
      </c>
      <c r="N19" s="1070" t="s">
        <v>1214</v>
      </c>
      <c r="O19" s="1070" t="s">
        <v>1215</v>
      </c>
      <c r="P19" s="1070" t="s">
        <v>1216</v>
      </c>
      <c r="Q19" s="1070" t="s">
        <v>1217</v>
      </c>
      <c r="R19" s="1070" t="s">
        <v>1218</v>
      </c>
      <c r="S19" s="1070" t="s">
        <v>1219</v>
      </c>
    </row>
    <row r="20" spans="1:19" ht="14.25" customHeight="1" thickBot="1">
      <c r="A20" s="1076" t="s">
        <v>1118</v>
      </c>
      <c r="B20" s="1084" t="s">
        <v>1140</v>
      </c>
      <c r="C20" s="1070">
        <v>27660</v>
      </c>
      <c r="D20" s="1070">
        <v>24240</v>
      </c>
      <c r="E20" s="1070">
        <v>24020</v>
      </c>
      <c r="F20" s="1091"/>
      <c r="J20" s="1070" t="s">
        <v>1220</v>
      </c>
      <c r="K20" s="1070" t="s">
        <v>1221</v>
      </c>
      <c r="L20" s="1070" t="s">
        <v>1222</v>
      </c>
      <c r="M20" s="1070" t="s">
        <v>1223</v>
      </c>
      <c r="N20" s="1070" t="s">
        <v>1224</v>
      </c>
      <c r="O20" s="1070" t="s">
        <v>1225</v>
      </c>
      <c r="P20" s="1070" t="s">
        <v>1226</v>
      </c>
      <c r="Q20" s="1070" t="s">
        <v>1227</v>
      </c>
      <c r="R20" s="1070" t="s">
        <v>1228</v>
      </c>
      <c r="S20" s="1070" t="s">
        <v>1229</v>
      </c>
    </row>
    <row r="21" spans="1:19" ht="14.25" customHeight="1" thickBot="1">
      <c r="A21" s="1076" t="s">
        <v>1118</v>
      </c>
      <c r="B21" s="1084" t="s">
        <v>1150</v>
      </c>
      <c r="C21" s="1070">
        <v>24720</v>
      </c>
      <c r="D21" s="1070">
        <v>21670</v>
      </c>
      <c r="E21" s="1070">
        <v>21510</v>
      </c>
      <c r="F21" s="1091"/>
      <c r="K21" s="1070" t="s">
        <v>1230</v>
      </c>
      <c r="L21" s="1070" t="s">
        <v>1231</v>
      </c>
      <c r="M21" s="1070" t="s">
        <v>1232</v>
      </c>
      <c r="N21" s="1070" t="s">
        <v>1233</v>
      </c>
      <c r="O21" s="1070" t="s">
        <v>1234</v>
      </c>
      <c r="P21" s="1070" t="s">
        <v>1235</v>
      </c>
      <c r="Q21" s="1070" t="s">
        <v>1236</v>
      </c>
      <c r="R21" s="1070" t="s">
        <v>1237</v>
      </c>
      <c r="S21" s="1070" t="s">
        <v>1238</v>
      </c>
    </row>
    <row r="22" spans="1:19" ht="14.25" customHeight="1" thickBot="1">
      <c r="A22" s="1076" t="s">
        <v>1118</v>
      </c>
      <c r="B22" s="1084" t="s">
        <v>1239</v>
      </c>
      <c r="C22" s="1070">
        <v>26530</v>
      </c>
      <c r="D22" s="1070">
        <v>22980</v>
      </c>
      <c r="E22" s="1070">
        <v>22650</v>
      </c>
      <c r="F22" s="1091"/>
      <c r="L22" s="1070" t="s">
        <v>1240</v>
      </c>
      <c r="M22" s="1070" t="s">
        <v>1241</v>
      </c>
      <c r="N22" s="1070" t="s">
        <v>1242</v>
      </c>
      <c r="O22" s="1070" t="s">
        <v>1243</v>
      </c>
      <c r="P22" s="1070" t="s">
        <v>1244</v>
      </c>
      <c r="Q22" s="1070" t="s">
        <v>1245</v>
      </c>
      <c r="R22" s="1070" t="s">
        <v>1246</v>
      </c>
      <c r="S22" s="1084" t="s">
        <v>1247</v>
      </c>
    </row>
    <row r="23" spans="1:19" ht="14.25" customHeight="1" thickBot="1">
      <c r="A23" s="1076" t="s">
        <v>1118</v>
      </c>
      <c r="B23" s="1084" t="s">
        <v>1170</v>
      </c>
      <c r="C23" s="1070">
        <v>24700</v>
      </c>
      <c r="D23" s="1070">
        <v>27290</v>
      </c>
      <c r="E23" s="1070">
        <v>26710</v>
      </c>
      <c r="F23" s="1091"/>
      <c r="L23" s="1070" t="s">
        <v>1248</v>
      </c>
      <c r="M23" s="1070" t="s">
        <v>1249</v>
      </c>
      <c r="N23" s="1070" t="s">
        <v>1250</v>
      </c>
      <c r="O23" s="1070" t="s">
        <v>1251</v>
      </c>
      <c r="P23" s="1070" t="s">
        <v>1252</v>
      </c>
      <c r="Q23" s="1070" t="s">
        <v>1253</v>
      </c>
      <c r="R23" s="1070" t="s">
        <v>1254</v>
      </c>
    </row>
    <row r="24" spans="1:19" ht="14.25" customHeight="1" thickBot="1">
      <c r="A24" s="1076" t="s">
        <v>1118</v>
      </c>
      <c r="B24" s="1084" t="s">
        <v>1180</v>
      </c>
      <c r="C24" s="1070">
        <v>23070</v>
      </c>
      <c r="D24" s="1070">
        <v>24130</v>
      </c>
      <c r="E24" s="1070">
        <v>23860</v>
      </c>
      <c r="F24" s="1091"/>
      <c r="L24" s="1070" t="s">
        <v>1255</v>
      </c>
      <c r="M24" s="1070" t="s">
        <v>1256</v>
      </c>
      <c r="N24" s="1070" t="s">
        <v>1257</v>
      </c>
      <c r="O24" s="1070" t="s">
        <v>1258</v>
      </c>
      <c r="P24" s="1070" t="s">
        <v>1259</v>
      </c>
      <c r="Q24" s="1070" t="s">
        <v>1260</v>
      </c>
      <c r="R24" s="1070" t="s">
        <v>1261</v>
      </c>
    </row>
    <row r="25" spans="1:19" ht="14.25" customHeight="1" thickBot="1">
      <c r="A25" s="1076" t="s">
        <v>1118</v>
      </c>
      <c r="B25" s="1084" t="s">
        <v>1190</v>
      </c>
      <c r="C25" s="1070">
        <v>27550</v>
      </c>
      <c r="D25" s="1070">
        <v>25850</v>
      </c>
      <c r="E25" s="1070">
        <v>25340</v>
      </c>
      <c r="F25" s="1091"/>
      <c r="L25" s="1070" t="s">
        <v>1262</v>
      </c>
      <c r="M25" s="1070" t="s">
        <v>1263</v>
      </c>
      <c r="N25" s="1070" t="s">
        <v>1264</v>
      </c>
      <c r="O25" s="1070" t="s">
        <v>1265</v>
      </c>
      <c r="P25" s="1070" t="s">
        <v>1266</v>
      </c>
      <c r="Q25" s="1070" t="s">
        <v>1267</v>
      </c>
      <c r="R25" s="1070" t="s">
        <v>1268</v>
      </c>
    </row>
    <row r="26" spans="1:19" ht="14.25" customHeight="1" thickBot="1">
      <c r="A26" s="1076" t="s">
        <v>1118</v>
      </c>
      <c r="B26" s="1084" t="s">
        <v>1200</v>
      </c>
      <c r="C26" s="1070"/>
      <c r="D26" s="1070">
        <v>23900</v>
      </c>
      <c r="E26" s="1070">
        <v>23590</v>
      </c>
      <c r="F26" s="1091"/>
      <c r="L26" s="1070" t="s">
        <v>1269</v>
      </c>
      <c r="M26" s="1070" t="s">
        <v>1270</v>
      </c>
      <c r="N26" s="1070" t="s">
        <v>1271</v>
      </c>
      <c r="O26" s="1070" t="s">
        <v>1272</v>
      </c>
      <c r="P26" s="1070" t="s">
        <v>1273</v>
      </c>
      <c r="Q26" s="1070" t="s">
        <v>1274</v>
      </c>
      <c r="R26" s="1070" t="s">
        <v>1275</v>
      </c>
    </row>
    <row r="27" spans="1:19" ht="14.25" customHeight="1" thickBot="1">
      <c r="A27" s="1076" t="s">
        <v>1118</v>
      </c>
      <c r="B27" s="1084" t="s">
        <v>1210</v>
      </c>
      <c r="C27" s="1070"/>
      <c r="D27" s="1070">
        <v>22850</v>
      </c>
      <c r="E27" s="1070">
        <v>21920</v>
      </c>
      <c r="F27" s="1091"/>
      <c r="L27" s="1070" t="s">
        <v>1276</v>
      </c>
      <c r="M27" s="1070" t="s">
        <v>1277</v>
      </c>
      <c r="N27" s="1070" t="s">
        <v>1278</v>
      </c>
      <c r="O27" s="1070" t="s">
        <v>1279</v>
      </c>
      <c r="P27" s="1070" t="s">
        <v>1280</v>
      </c>
      <c r="Q27" s="1070" t="s">
        <v>1281</v>
      </c>
      <c r="R27" s="1070" t="s">
        <v>1282</v>
      </c>
    </row>
    <row r="28" spans="1:19" ht="14.25" customHeight="1" thickBot="1">
      <c r="A28" s="1093" t="s">
        <v>1118</v>
      </c>
      <c r="B28" s="1085" t="s">
        <v>1220</v>
      </c>
      <c r="C28" s="1086"/>
      <c r="D28" s="1086">
        <v>26610</v>
      </c>
      <c r="E28" s="1086">
        <v>26370</v>
      </c>
      <c r="F28" s="1087"/>
      <c r="L28" s="1070" t="s">
        <v>1283</v>
      </c>
      <c r="M28" s="1070" t="s">
        <v>1284</v>
      </c>
      <c r="N28" s="1070" t="s">
        <v>1285</v>
      </c>
      <c r="O28" s="1070" t="s">
        <v>1286</v>
      </c>
      <c r="P28" s="1070" t="s">
        <v>1287</v>
      </c>
      <c r="Q28" s="1070" t="s">
        <v>1288</v>
      </c>
    </row>
    <row r="29" spans="1:19" ht="14.25" customHeight="1" thickBot="1">
      <c r="A29" s="1076" t="s">
        <v>1289</v>
      </c>
      <c r="B29" s="1077" t="s">
        <v>1290</v>
      </c>
      <c r="C29" s="1077">
        <v>22090</v>
      </c>
      <c r="D29" s="1077">
        <v>21860</v>
      </c>
      <c r="E29" s="1077">
        <v>19380</v>
      </c>
      <c r="F29" s="1078">
        <v>6610</v>
      </c>
      <c r="M29" s="1070" t="s">
        <v>1291</v>
      </c>
      <c r="N29" s="1070" t="s">
        <v>1292</v>
      </c>
      <c r="O29" s="1070" t="s">
        <v>1293</v>
      </c>
      <c r="P29" s="1070" t="s">
        <v>1294</v>
      </c>
      <c r="Q29" s="1070" t="s">
        <v>1295</v>
      </c>
    </row>
    <row r="30" spans="1:19" ht="14.25" customHeight="1" thickBot="1">
      <c r="A30" s="1076" t="s">
        <v>1289</v>
      </c>
      <c r="B30" s="1084" t="s">
        <v>1035</v>
      </c>
      <c r="C30" s="1070">
        <v>21380</v>
      </c>
      <c r="D30" s="1070">
        <v>19930</v>
      </c>
      <c r="E30" s="1070">
        <v>19860</v>
      </c>
      <c r="F30" s="1088">
        <v>6010</v>
      </c>
      <c r="H30" s="1092"/>
      <c r="M30" s="1070" t="s">
        <v>1296</v>
      </c>
      <c r="N30" s="1070" t="s">
        <v>1297</v>
      </c>
      <c r="O30" s="1070" t="s">
        <v>1298</v>
      </c>
      <c r="P30" s="1070" t="s">
        <v>2379</v>
      </c>
      <c r="Q30" s="1070" t="s">
        <v>1299</v>
      </c>
    </row>
    <row r="31" spans="1:19" ht="14.25" customHeight="1" thickBot="1">
      <c r="A31" s="1076" t="s">
        <v>1289</v>
      </c>
      <c r="B31" s="1084" t="s">
        <v>1049</v>
      </c>
      <c r="C31" s="1070">
        <v>21670</v>
      </c>
      <c r="D31" s="1070">
        <v>20660</v>
      </c>
      <c r="E31" s="1070">
        <v>20290</v>
      </c>
      <c r="F31" s="1088">
        <v>5840</v>
      </c>
      <c r="H31" s="1092"/>
      <c r="M31" s="1070" t="s">
        <v>1300</v>
      </c>
      <c r="N31" s="1070" t="s">
        <v>1301</v>
      </c>
      <c r="O31" s="1070" t="s">
        <v>1302</v>
      </c>
      <c r="P31" s="1070" t="s">
        <v>1303</v>
      </c>
      <c r="Q31" s="1070" t="s">
        <v>1304</v>
      </c>
    </row>
    <row r="32" spans="1:19" ht="14.25" customHeight="1" thickBot="1">
      <c r="A32" s="1076" t="s">
        <v>1289</v>
      </c>
      <c r="B32" s="1084" t="s">
        <v>1062</v>
      </c>
      <c r="C32" s="1070">
        <v>22280</v>
      </c>
      <c r="D32" s="1070">
        <v>21800</v>
      </c>
      <c r="E32" s="1070">
        <v>17650</v>
      </c>
      <c r="F32" s="1088">
        <v>4690</v>
      </c>
      <c r="H32" s="1092"/>
      <c r="M32" s="1070" t="s">
        <v>1305</v>
      </c>
      <c r="N32" s="1070" t="s">
        <v>1306</v>
      </c>
      <c r="O32" s="1070" t="s">
        <v>1307</v>
      </c>
      <c r="P32" s="1070" t="s">
        <v>1308</v>
      </c>
      <c r="Q32" s="1070" t="s">
        <v>1309</v>
      </c>
    </row>
    <row r="33" spans="1:17" ht="14.25" customHeight="1" thickBot="1">
      <c r="A33" s="1076" t="s">
        <v>1289</v>
      </c>
      <c r="B33" s="1084" t="s">
        <v>1076</v>
      </c>
      <c r="C33" s="1070">
        <v>22130</v>
      </c>
      <c r="D33" s="1070">
        <v>20460</v>
      </c>
      <c r="E33" s="1070">
        <v>18500</v>
      </c>
      <c r="F33" s="1088">
        <v>5340</v>
      </c>
      <c r="H33" s="1092"/>
      <c r="M33" s="1070" t="s">
        <v>1310</v>
      </c>
      <c r="N33" s="1070" t="s">
        <v>1311</v>
      </c>
      <c r="O33" s="1070" t="s">
        <v>1312</v>
      </c>
      <c r="P33" s="1070" t="s">
        <v>1313</v>
      </c>
      <c r="Q33" s="1070" t="s">
        <v>1314</v>
      </c>
    </row>
    <row r="34" spans="1:17" ht="14.25" customHeight="1" thickBot="1">
      <c r="A34" s="1076" t="s">
        <v>1289</v>
      </c>
      <c r="B34" s="1084" t="s">
        <v>1087</v>
      </c>
      <c r="C34" s="1070">
        <v>22070</v>
      </c>
      <c r="D34" s="1070">
        <v>20110</v>
      </c>
      <c r="E34" s="1070">
        <v>18830</v>
      </c>
      <c r="F34" s="1088">
        <v>5190</v>
      </c>
      <c r="H34" s="1092"/>
      <c r="M34" s="1070" t="s">
        <v>1315</v>
      </c>
      <c r="N34" s="1070" t="s">
        <v>1316</v>
      </c>
      <c r="O34" s="1070" t="s">
        <v>1317</v>
      </c>
      <c r="P34" s="1070" t="s">
        <v>1318</v>
      </c>
      <c r="Q34" s="1070" t="s">
        <v>1319</v>
      </c>
    </row>
    <row r="35" spans="1:17" ht="14.25" customHeight="1" thickBot="1">
      <c r="A35" s="1076" t="s">
        <v>1289</v>
      </c>
      <c r="B35" s="1084" t="s">
        <v>1098</v>
      </c>
      <c r="C35" s="1070">
        <v>22240</v>
      </c>
      <c r="D35" s="1070">
        <v>19550</v>
      </c>
      <c r="E35" s="1070">
        <v>19220</v>
      </c>
      <c r="F35" s="1088">
        <v>5800</v>
      </c>
      <c r="H35" s="1092"/>
      <c r="M35" s="1070" t="s">
        <v>1320</v>
      </c>
      <c r="N35" s="1070" t="s">
        <v>1321</v>
      </c>
      <c r="O35" s="1070" t="s">
        <v>1322</v>
      </c>
      <c r="P35" s="1070" t="s">
        <v>1323</v>
      </c>
      <c r="Q35" s="1070" t="s">
        <v>1324</v>
      </c>
    </row>
    <row r="36" spans="1:17" ht="14.25" customHeight="1" thickBot="1">
      <c r="A36" s="1076" t="s">
        <v>1289</v>
      </c>
      <c r="B36" s="1084" t="s">
        <v>1109</v>
      </c>
      <c r="C36" s="1070">
        <v>19750</v>
      </c>
      <c r="D36" s="1070">
        <v>19790</v>
      </c>
      <c r="E36" s="1070">
        <v>18510</v>
      </c>
      <c r="F36" s="1088">
        <v>6520</v>
      </c>
      <c r="H36" s="1092"/>
      <c r="N36" s="1070" t="s">
        <v>1325</v>
      </c>
      <c r="O36" s="1070" t="s">
        <v>1326</v>
      </c>
      <c r="P36" s="1070" t="s">
        <v>1327</v>
      </c>
      <c r="Q36" s="1070" t="s">
        <v>1328</v>
      </c>
    </row>
    <row r="37" spans="1:17" ht="14.25" customHeight="1" thickBot="1">
      <c r="A37" s="1076" t="s">
        <v>1289</v>
      </c>
      <c r="B37" s="1084" t="s">
        <v>1121</v>
      </c>
      <c r="C37" s="1070">
        <v>22380</v>
      </c>
      <c r="D37" s="1070">
        <v>18530</v>
      </c>
      <c r="E37" s="1070">
        <v>17930</v>
      </c>
      <c r="F37" s="1088">
        <v>6270</v>
      </c>
      <c r="H37" s="1094"/>
      <c r="N37" s="1070" t="s">
        <v>1329</v>
      </c>
      <c r="O37" s="1070" t="s">
        <v>1330</v>
      </c>
      <c r="P37" s="1070" t="s">
        <v>1331</v>
      </c>
      <c r="Q37" s="1070" t="s">
        <v>1332</v>
      </c>
    </row>
    <row r="38" spans="1:17" ht="14.25" customHeight="1" thickBot="1">
      <c r="A38" s="1076" t="s">
        <v>1289</v>
      </c>
      <c r="B38" s="1084" t="s">
        <v>1131</v>
      </c>
      <c r="C38" s="1070">
        <v>20200</v>
      </c>
      <c r="D38" s="1070">
        <v>20070</v>
      </c>
      <c r="E38" s="1070">
        <v>19950</v>
      </c>
      <c r="F38" s="1088"/>
      <c r="H38" s="1095"/>
      <c r="N38" s="1070" t="s">
        <v>1333</v>
      </c>
      <c r="O38" s="1070" t="s">
        <v>1334</v>
      </c>
      <c r="P38" s="1070" t="s">
        <v>1335</v>
      </c>
      <c r="Q38" s="1070" t="s">
        <v>1336</v>
      </c>
    </row>
    <row r="39" spans="1:17" ht="14.25" customHeight="1" thickBot="1">
      <c r="A39" s="1076" t="s">
        <v>1289</v>
      </c>
      <c r="B39" s="1084" t="s">
        <v>1141</v>
      </c>
      <c r="C39" s="1070">
        <v>19300</v>
      </c>
      <c r="D39" s="1070">
        <v>20360</v>
      </c>
      <c r="E39" s="1070">
        <v>20230</v>
      </c>
      <c r="F39" s="1088"/>
      <c r="H39" s="1095"/>
      <c r="N39" s="1070" t="s">
        <v>1337</v>
      </c>
      <c r="O39" s="1070" t="s">
        <v>1338</v>
      </c>
      <c r="P39" s="1070" t="s">
        <v>1339</v>
      </c>
      <c r="Q39" s="1070" t="s">
        <v>1340</v>
      </c>
    </row>
    <row r="40" spans="1:17" ht="14.25" customHeight="1" thickBot="1">
      <c r="A40" s="1076" t="s">
        <v>1289</v>
      </c>
      <c r="B40" s="1084" t="s">
        <v>1151</v>
      </c>
      <c r="C40" s="1070">
        <v>20210</v>
      </c>
      <c r="D40" s="1070">
        <v>19060</v>
      </c>
      <c r="E40" s="1070">
        <v>18890</v>
      </c>
      <c r="F40" s="1088"/>
      <c r="H40" s="1095"/>
      <c r="N40" s="1070" t="s">
        <v>1341</v>
      </c>
      <c r="O40" s="1070" t="s">
        <v>1342</v>
      </c>
      <c r="P40" s="1070" t="s">
        <v>1343</v>
      </c>
      <c r="Q40" s="1070" t="s">
        <v>1344</v>
      </c>
    </row>
    <row r="41" spans="1:17" ht="14.25" customHeight="1" thickBot="1">
      <c r="A41" s="1076" t="s">
        <v>1289</v>
      </c>
      <c r="B41" s="1084" t="s">
        <v>1161</v>
      </c>
      <c r="C41" s="1070">
        <v>20560</v>
      </c>
      <c r="D41" s="1070">
        <v>21040</v>
      </c>
      <c r="E41" s="1070">
        <v>20740</v>
      </c>
      <c r="F41" s="1088"/>
      <c r="H41" s="1095"/>
      <c r="N41" s="1084" t="s">
        <v>1345</v>
      </c>
      <c r="O41" s="1084" t="s">
        <v>1346</v>
      </c>
      <c r="Q41" s="1084" t="s">
        <v>1347</v>
      </c>
    </row>
    <row r="42" spans="1:17" ht="14.25" customHeight="1" thickBot="1">
      <c r="A42" s="1076" t="s">
        <v>1289</v>
      </c>
      <c r="B42" s="1084" t="s">
        <v>1171</v>
      </c>
      <c r="C42" s="1070">
        <v>19280</v>
      </c>
      <c r="D42" s="1070">
        <v>22940</v>
      </c>
      <c r="E42" s="1070">
        <v>22500</v>
      </c>
      <c r="F42" s="1088"/>
      <c r="H42" s="1095"/>
      <c r="N42" s="1070" t="s">
        <v>1348</v>
      </c>
      <c r="O42" s="1070" t="s">
        <v>1349</v>
      </c>
      <c r="Q42" s="1070" t="s">
        <v>1350</v>
      </c>
    </row>
    <row r="43" spans="1:17" ht="14.25" customHeight="1" thickBot="1">
      <c r="A43" s="1076" t="s">
        <v>1289</v>
      </c>
      <c r="B43" s="1084" t="s">
        <v>1181</v>
      </c>
      <c r="C43" s="1070">
        <v>21520</v>
      </c>
      <c r="D43" s="1070">
        <v>19230</v>
      </c>
      <c r="E43" s="1070">
        <v>18540</v>
      </c>
      <c r="F43" s="1088"/>
      <c r="H43" s="1095"/>
      <c r="N43" s="1070" t="s">
        <v>1351</v>
      </c>
      <c r="O43" s="1070" t="s">
        <v>1352</v>
      </c>
      <c r="Q43" s="1070" t="s">
        <v>1353</v>
      </c>
    </row>
    <row r="44" spans="1:17" ht="14.25" customHeight="1" thickBot="1">
      <c r="A44" s="1076" t="s">
        <v>1289</v>
      </c>
      <c r="B44" s="1084" t="s">
        <v>1191</v>
      </c>
      <c r="C44" s="1070">
        <v>23260</v>
      </c>
      <c r="D44" s="1070">
        <v>21180</v>
      </c>
      <c r="E44" s="1070">
        <v>20730</v>
      </c>
      <c r="F44" s="1088"/>
      <c r="H44" s="1095"/>
      <c r="N44" s="1070" t="s">
        <v>1354</v>
      </c>
      <c r="O44" s="1070" t="s">
        <v>1355</v>
      </c>
      <c r="Q44" s="1070" t="s">
        <v>1356</v>
      </c>
    </row>
    <row r="45" spans="1:17" ht="14.25" customHeight="1" thickBot="1">
      <c r="A45" s="1076" t="s">
        <v>1289</v>
      </c>
      <c r="B45" s="1084" t="s">
        <v>1201</v>
      </c>
      <c r="C45" s="1070">
        <v>19610</v>
      </c>
      <c r="D45" s="1070">
        <v>18090</v>
      </c>
      <c r="E45" s="1070">
        <v>17970</v>
      </c>
      <c r="F45" s="1088"/>
      <c r="H45" s="1092"/>
      <c r="N45" s="1070" t="s">
        <v>1357</v>
      </c>
      <c r="O45" s="1070" t="s">
        <v>1358</v>
      </c>
      <c r="Q45" s="1070" t="s">
        <v>1359</v>
      </c>
    </row>
    <row r="46" spans="1:17" ht="14.25" customHeight="1" thickBot="1">
      <c r="A46" s="1076" t="s">
        <v>1289</v>
      </c>
      <c r="B46" s="1084" t="s">
        <v>1211</v>
      </c>
      <c r="C46" s="1070">
        <v>21660</v>
      </c>
      <c r="D46" s="1070">
        <v>19190</v>
      </c>
      <c r="E46" s="1070">
        <v>19790</v>
      </c>
      <c r="F46" s="1088"/>
      <c r="H46" s="1095"/>
      <c r="N46" s="1070" t="s">
        <v>1360</v>
      </c>
      <c r="O46" s="1070" t="s">
        <v>1361</v>
      </c>
      <c r="Q46" s="1070" t="s">
        <v>1362</v>
      </c>
    </row>
    <row r="47" spans="1:17" ht="14.25" customHeight="1" thickBot="1">
      <c r="A47" s="1076" t="s">
        <v>1289</v>
      </c>
      <c r="B47" s="1084" t="s">
        <v>1221</v>
      </c>
      <c r="C47" s="1070">
        <v>18220</v>
      </c>
      <c r="D47" s="1070"/>
      <c r="E47" s="1070">
        <v>17220</v>
      </c>
      <c r="F47" s="1088"/>
      <c r="H47" s="1095"/>
      <c r="N47" s="1070" t="s">
        <v>1363</v>
      </c>
      <c r="O47" s="1070" t="s">
        <v>1364</v>
      </c>
    </row>
    <row r="48" spans="1:17" ht="14.25" customHeight="1" thickBot="1">
      <c r="A48" s="1076" t="s">
        <v>1289</v>
      </c>
      <c r="B48" s="1085" t="s">
        <v>1230</v>
      </c>
      <c r="C48" s="1086">
        <v>19430</v>
      </c>
      <c r="D48" s="1086"/>
      <c r="E48" s="1086">
        <v>17830</v>
      </c>
      <c r="F48" s="1096"/>
      <c r="H48" s="1092"/>
      <c r="N48" s="1070" t="s">
        <v>1365</v>
      </c>
      <c r="O48" s="1070" t="s">
        <v>1366</v>
      </c>
    </row>
    <row r="49" spans="1:15" ht="14.25" customHeight="1" thickBot="1">
      <c r="A49" s="1076" t="s">
        <v>888</v>
      </c>
      <c r="B49" s="1077" t="s">
        <v>1367</v>
      </c>
      <c r="C49" s="1077">
        <v>17090</v>
      </c>
      <c r="D49" s="1077">
        <v>16950</v>
      </c>
      <c r="E49" s="1077">
        <v>16310</v>
      </c>
      <c r="F49" s="1078">
        <v>4540</v>
      </c>
      <c r="H49" s="1095"/>
      <c r="N49" s="1070" t="s">
        <v>1368</v>
      </c>
      <c r="O49" s="1070" t="s">
        <v>1369</v>
      </c>
    </row>
    <row r="50" spans="1:15" ht="14.25" customHeight="1" thickBot="1">
      <c r="A50" s="1076" t="s">
        <v>888</v>
      </c>
      <c r="B50" s="1070" t="s">
        <v>1036</v>
      </c>
      <c r="C50" s="1070">
        <v>19040</v>
      </c>
      <c r="D50" s="1070">
        <v>16960</v>
      </c>
      <c r="E50" s="1070">
        <v>14800</v>
      </c>
      <c r="F50" s="1088">
        <v>3940</v>
      </c>
      <c r="H50" s="1095"/>
    </row>
    <row r="51" spans="1:15" ht="14.25" customHeight="1" thickBot="1">
      <c r="A51" s="1076" t="s">
        <v>888</v>
      </c>
      <c r="B51" s="1070" t="s">
        <v>1050</v>
      </c>
      <c r="C51" s="1070">
        <v>17040</v>
      </c>
      <c r="D51" s="1070">
        <v>16930</v>
      </c>
      <c r="E51" s="1070">
        <v>15030</v>
      </c>
      <c r="F51" s="1088">
        <v>4120</v>
      </c>
      <c r="H51" s="1095"/>
    </row>
    <row r="52" spans="1:15" ht="14.25" customHeight="1" thickBot="1">
      <c r="A52" s="1076" t="s">
        <v>888</v>
      </c>
      <c r="B52" s="1070" t="s">
        <v>1063</v>
      </c>
      <c r="C52" s="1070">
        <v>17110</v>
      </c>
      <c r="D52" s="1070">
        <v>17750</v>
      </c>
      <c r="E52" s="1070">
        <v>17310</v>
      </c>
      <c r="F52" s="1088">
        <v>3220</v>
      </c>
      <c r="H52" s="1095"/>
    </row>
    <row r="53" spans="1:15" ht="14.25" customHeight="1" thickBot="1">
      <c r="A53" s="1076" t="s">
        <v>888</v>
      </c>
      <c r="B53" s="1070" t="s">
        <v>1077</v>
      </c>
      <c r="C53" s="1070">
        <v>17810</v>
      </c>
      <c r="D53" s="1070">
        <v>17260</v>
      </c>
      <c r="E53" s="1070">
        <v>17090</v>
      </c>
      <c r="F53" s="1088">
        <v>3520</v>
      </c>
      <c r="H53" s="1095"/>
    </row>
    <row r="54" spans="1:15" ht="14.25" customHeight="1" thickBot="1">
      <c r="A54" s="1076" t="s">
        <v>888</v>
      </c>
      <c r="B54" s="1070" t="s">
        <v>1088</v>
      </c>
      <c r="C54" s="1070">
        <v>17410</v>
      </c>
      <c r="D54" s="1070">
        <v>16780</v>
      </c>
      <c r="E54" s="1070">
        <v>16370</v>
      </c>
      <c r="F54" s="1088">
        <v>3410</v>
      </c>
      <c r="H54" s="1095"/>
    </row>
    <row r="55" spans="1:15" ht="14.25" customHeight="1" thickBot="1">
      <c r="A55" s="1076" t="s">
        <v>888</v>
      </c>
      <c r="B55" s="1070" t="s">
        <v>1099</v>
      </c>
      <c r="C55" s="1070">
        <v>16930</v>
      </c>
      <c r="D55" s="1070">
        <v>14720</v>
      </c>
      <c r="E55" s="1070">
        <v>15000</v>
      </c>
      <c r="F55" s="1088">
        <v>3710</v>
      </c>
      <c r="H55" s="1095"/>
    </row>
    <row r="56" spans="1:15" ht="14.25" customHeight="1" thickBot="1">
      <c r="A56" s="1076" t="s">
        <v>888</v>
      </c>
      <c r="B56" s="1070" t="s">
        <v>1110</v>
      </c>
      <c r="C56" s="1070">
        <v>14930</v>
      </c>
      <c r="D56" s="1070">
        <v>15850</v>
      </c>
      <c r="E56" s="1070">
        <v>14320</v>
      </c>
      <c r="F56" s="1088">
        <v>3960</v>
      </c>
      <c r="H56" s="1095"/>
    </row>
    <row r="57" spans="1:15" ht="14.25" customHeight="1" thickBot="1">
      <c r="A57" s="1076" t="s">
        <v>888</v>
      </c>
      <c r="B57" s="1070" t="s">
        <v>1122</v>
      </c>
      <c r="C57" s="1070">
        <v>16160</v>
      </c>
      <c r="D57" s="1070">
        <v>16190</v>
      </c>
      <c r="E57" s="1070">
        <v>15650</v>
      </c>
      <c r="F57" s="1088">
        <v>4200</v>
      </c>
      <c r="H57" s="1095"/>
    </row>
    <row r="58" spans="1:15" ht="14.25" customHeight="1" thickBot="1">
      <c r="A58" s="1076" t="s">
        <v>888</v>
      </c>
      <c r="B58" s="1070" t="s">
        <v>1132</v>
      </c>
      <c r="C58" s="1070">
        <v>16360</v>
      </c>
      <c r="D58" s="1070">
        <v>14050</v>
      </c>
      <c r="E58" s="1070">
        <v>16070</v>
      </c>
      <c r="F58" s="1088">
        <v>3990</v>
      </c>
      <c r="H58" s="1095"/>
    </row>
    <row r="59" spans="1:15" ht="14.25" customHeight="1" thickBot="1">
      <c r="A59" s="1076" t="s">
        <v>888</v>
      </c>
      <c r="B59" s="1070" t="s">
        <v>1142</v>
      </c>
      <c r="C59" s="1070">
        <v>14160</v>
      </c>
      <c r="D59" s="1070">
        <v>16620</v>
      </c>
      <c r="E59" s="1070">
        <v>13940</v>
      </c>
      <c r="F59" s="1088">
        <v>4260</v>
      </c>
      <c r="H59" s="1095"/>
    </row>
    <row r="60" spans="1:15" ht="14.25" customHeight="1" thickBot="1">
      <c r="A60" s="1076" t="s">
        <v>888</v>
      </c>
      <c r="B60" s="1070" t="s">
        <v>1152</v>
      </c>
      <c r="C60" s="1070">
        <v>16750</v>
      </c>
      <c r="D60" s="1070">
        <v>13910</v>
      </c>
      <c r="E60" s="1070">
        <v>16550</v>
      </c>
      <c r="F60" s="1088">
        <v>4550</v>
      </c>
      <c r="H60" s="1095"/>
    </row>
    <row r="61" spans="1:15" ht="14.25" customHeight="1" thickBot="1">
      <c r="A61" s="1076" t="s">
        <v>888</v>
      </c>
      <c r="B61" s="1070" t="s">
        <v>1162</v>
      </c>
      <c r="C61" s="1070">
        <v>14000</v>
      </c>
      <c r="D61" s="1070">
        <v>14550</v>
      </c>
      <c r="E61" s="1070">
        <v>13860</v>
      </c>
      <c r="F61" s="1097"/>
      <c r="H61" s="1095"/>
    </row>
    <row r="62" spans="1:15" ht="14.25" customHeight="1" thickBot="1">
      <c r="A62" s="1076" t="s">
        <v>888</v>
      </c>
      <c r="B62" s="1070" t="s">
        <v>1172</v>
      </c>
      <c r="C62" s="1070">
        <v>14660</v>
      </c>
      <c r="D62" s="1070">
        <v>17450</v>
      </c>
      <c r="E62" s="1070">
        <v>14470</v>
      </c>
      <c r="F62" s="1097"/>
      <c r="H62" s="1095"/>
    </row>
    <row r="63" spans="1:15" ht="14.25" customHeight="1" thickBot="1">
      <c r="A63" s="1076" t="s">
        <v>888</v>
      </c>
      <c r="B63" s="1070" t="s">
        <v>1182</v>
      </c>
      <c r="C63" s="1070">
        <v>17610</v>
      </c>
      <c r="D63" s="1070">
        <v>16500</v>
      </c>
      <c r="E63" s="1070">
        <v>17330</v>
      </c>
      <c r="F63" s="1097"/>
      <c r="H63" s="1095"/>
    </row>
    <row r="64" spans="1:15" ht="14.25" customHeight="1" thickBot="1">
      <c r="A64" s="1076" t="s">
        <v>888</v>
      </c>
      <c r="B64" s="1070" t="s">
        <v>1192</v>
      </c>
      <c r="C64" s="1070">
        <v>16590</v>
      </c>
      <c r="D64" s="1070">
        <v>15130</v>
      </c>
      <c r="E64" s="1070">
        <v>16420</v>
      </c>
      <c r="F64" s="1097"/>
      <c r="H64" s="1095"/>
    </row>
    <row r="65" spans="1:8" s="1064" customFormat="1" ht="14.25" customHeight="1" thickBot="1">
      <c r="A65" s="1076" t="s">
        <v>888</v>
      </c>
      <c r="B65" s="1070" t="s">
        <v>1202</v>
      </c>
      <c r="C65" s="1070">
        <v>15220</v>
      </c>
      <c r="D65" s="1070">
        <v>14660</v>
      </c>
      <c r="E65" s="1070">
        <v>15060</v>
      </c>
      <c r="F65" s="1088"/>
      <c r="H65" s="1095"/>
    </row>
    <row r="66" spans="1:8" s="1064" customFormat="1" ht="14.25" customHeight="1" thickBot="1">
      <c r="A66" s="1076" t="s">
        <v>888</v>
      </c>
      <c r="B66" s="1070" t="s">
        <v>1212</v>
      </c>
      <c r="C66" s="1070">
        <v>14720</v>
      </c>
      <c r="D66" s="1070">
        <v>15970</v>
      </c>
      <c r="E66" s="1070">
        <v>14610</v>
      </c>
      <c r="F66" s="1088"/>
      <c r="H66" s="1095"/>
    </row>
    <row r="67" spans="1:8" s="1064" customFormat="1" ht="14.25" customHeight="1" thickBot="1">
      <c r="A67" s="1076" t="s">
        <v>888</v>
      </c>
      <c r="B67" s="1070" t="s">
        <v>1222</v>
      </c>
      <c r="C67" s="1070">
        <v>16080</v>
      </c>
      <c r="D67" s="1070">
        <v>14840</v>
      </c>
      <c r="E67" s="1070">
        <v>15630</v>
      </c>
      <c r="F67" s="1088"/>
      <c r="H67" s="1095"/>
    </row>
    <row r="68" spans="1:8" s="1064" customFormat="1" ht="14.25" customHeight="1" thickBot="1">
      <c r="A68" s="1076" t="s">
        <v>888</v>
      </c>
      <c r="B68" s="1070" t="s">
        <v>1231</v>
      </c>
      <c r="C68" s="1070">
        <v>14940</v>
      </c>
      <c r="D68" s="1070">
        <v>18000</v>
      </c>
      <c r="E68" s="1070">
        <v>14040</v>
      </c>
      <c r="F68" s="1088"/>
      <c r="H68" s="1095"/>
    </row>
    <row r="69" spans="1:8" s="1064" customFormat="1" ht="14.25" customHeight="1" thickBot="1">
      <c r="A69" s="1076" t="s">
        <v>888</v>
      </c>
      <c r="B69" s="1070" t="s">
        <v>1240</v>
      </c>
      <c r="C69" s="1070">
        <v>18810</v>
      </c>
      <c r="D69" s="1070">
        <v>15100</v>
      </c>
      <c r="E69" s="1070">
        <v>14710</v>
      </c>
      <c r="F69" s="1088"/>
      <c r="H69" s="1095"/>
    </row>
    <row r="70" spans="1:8" s="1064" customFormat="1" ht="14.25" customHeight="1" thickBot="1">
      <c r="A70" s="1076" t="s">
        <v>888</v>
      </c>
      <c r="B70" s="1070" t="s">
        <v>1248</v>
      </c>
      <c r="C70" s="1070">
        <v>18270</v>
      </c>
      <c r="D70" s="1070"/>
      <c r="E70" s="1070"/>
      <c r="F70" s="1088"/>
      <c r="H70" s="1095"/>
    </row>
    <row r="71" spans="1:8" s="1064" customFormat="1" ht="14.25" customHeight="1" thickBot="1">
      <c r="A71" s="1076" t="s">
        <v>888</v>
      </c>
      <c r="B71" s="1070" t="s">
        <v>1255</v>
      </c>
      <c r="C71" s="1070">
        <v>15230</v>
      </c>
      <c r="D71" s="1070"/>
      <c r="E71" s="1070"/>
      <c r="F71" s="1088"/>
      <c r="H71" s="1095"/>
    </row>
    <row r="72" spans="1:8" s="1064" customFormat="1" ht="14.25" customHeight="1" thickBot="1">
      <c r="A72" s="1076" t="s">
        <v>888</v>
      </c>
      <c r="B72" s="1070" t="s">
        <v>1262</v>
      </c>
      <c r="C72" s="1070"/>
      <c r="D72" s="1070"/>
      <c r="E72" s="1070"/>
      <c r="F72" s="1088">
        <v>4120</v>
      </c>
      <c r="H72" s="1095"/>
    </row>
    <row r="73" spans="1:8" s="1064" customFormat="1" ht="14.25" customHeight="1" thickBot="1">
      <c r="A73" s="1076" t="s">
        <v>888</v>
      </c>
      <c r="B73" s="1070" t="s">
        <v>1269</v>
      </c>
      <c r="C73" s="1070"/>
      <c r="D73" s="1070"/>
      <c r="E73" s="1070"/>
      <c r="F73" s="1088">
        <v>3930</v>
      </c>
      <c r="H73" s="1095"/>
    </row>
    <row r="74" spans="1:8" s="1064" customFormat="1" ht="14.25" customHeight="1" thickBot="1">
      <c r="A74" s="1076" t="s">
        <v>888</v>
      </c>
      <c r="B74" s="1070" t="s">
        <v>1276</v>
      </c>
      <c r="C74" s="1070"/>
      <c r="D74" s="1070"/>
      <c r="E74" s="1070"/>
      <c r="F74" s="1088">
        <v>4060</v>
      </c>
      <c r="H74" s="1095"/>
    </row>
    <row r="75" spans="1:8" s="1064" customFormat="1" ht="14.25" customHeight="1" thickBot="1">
      <c r="A75" s="1076" t="s">
        <v>888</v>
      </c>
      <c r="B75" s="1086" t="s">
        <v>1283</v>
      </c>
      <c r="C75" s="1086"/>
      <c r="D75" s="1086"/>
      <c r="E75" s="1086"/>
      <c r="F75" s="1096">
        <v>3750</v>
      </c>
      <c r="H75" s="1095"/>
    </row>
    <row r="76" spans="1:8" s="1064" customFormat="1" ht="14.25" customHeight="1" thickBot="1">
      <c r="A76" s="1076" t="s">
        <v>1370</v>
      </c>
      <c r="B76" s="1077" t="s">
        <v>1371</v>
      </c>
      <c r="C76" s="1077">
        <v>14690</v>
      </c>
      <c r="D76" s="1077">
        <v>14640</v>
      </c>
      <c r="E76" s="1077">
        <v>14590</v>
      </c>
      <c r="F76" s="1078">
        <v>3060</v>
      </c>
      <c r="H76" s="1095"/>
    </row>
    <row r="77" spans="1:8" s="1064" customFormat="1" ht="14.25" customHeight="1" thickBot="1">
      <c r="A77" s="1076" t="s">
        <v>1370</v>
      </c>
      <c r="B77" s="1070" t="s">
        <v>1037</v>
      </c>
      <c r="C77" s="1070">
        <v>12550</v>
      </c>
      <c r="D77" s="1070">
        <v>12480</v>
      </c>
      <c r="E77" s="1070">
        <v>12450</v>
      </c>
      <c r="F77" s="1088">
        <v>2590</v>
      </c>
      <c r="H77" s="1095"/>
    </row>
    <row r="78" spans="1:8" s="1064" customFormat="1" ht="14.25" customHeight="1" thickBot="1">
      <c r="A78" s="1076" t="s">
        <v>1370</v>
      </c>
      <c r="B78" s="1070" t="s">
        <v>1051</v>
      </c>
      <c r="C78" s="1070">
        <v>14360</v>
      </c>
      <c r="D78" s="1070">
        <v>14320</v>
      </c>
      <c r="E78" s="1070">
        <v>12510</v>
      </c>
      <c r="F78" s="1088">
        <v>2700</v>
      </c>
      <c r="H78" s="1095"/>
    </row>
    <row r="79" spans="1:8" s="1064" customFormat="1" ht="14.25" customHeight="1" thickBot="1">
      <c r="A79" s="1076" t="s">
        <v>1370</v>
      </c>
      <c r="B79" s="1070" t="s">
        <v>1064</v>
      </c>
      <c r="C79" s="1070">
        <v>12590</v>
      </c>
      <c r="D79" s="1070">
        <v>12540</v>
      </c>
      <c r="E79" s="1070">
        <v>12350</v>
      </c>
      <c r="F79" s="1088">
        <v>2740</v>
      </c>
      <c r="H79" s="1095"/>
    </row>
    <row r="80" spans="1:8" s="1064" customFormat="1" ht="14.25" customHeight="1" thickBot="1">
      <c r="A80" s="1076" t="s">
        <v>1370</v>
      </c>
      <c r="B80" s="1070" t="s">
        <v>1078</v>
      </c>
      <c r="C80" s="1070">
        <v>12450</v>
      </c>
      <c r="D80" s="1070">
        <v>12370</v>
      </c>
      <c r="E80" s="1070">
        <v>10790</v>
      </c>
      <c r="F80" s="1088">
        <v>2290</v>
      </c>
      <c r="H80" s="1095"/>
    </row>
    <row r="81" spans="1:8" s="1064" customFormat="1" ht="14.25" customHeight="1" thickBot="1">
      <c r="A81" s="1076" t="s">
        <v>1370</v>
      </c>
      <c r="B81" s="1070" t="s">
        <v>1089</v>
      </c>
      <c r="C81" s="1070">
        <v>14210</v>
      </c>
      <c r="D81" s="1070">
        <v>14150</v>
      </c>
      <c r="E81" s="1070">
        <v>12730</v>
      </c>
      <c r="F81" s="1088">
        <v>2240</v>
      </c>
      <c r="H81" s="1095"/>
    </row>
    <row r="82" spans="1:8" s="1064" customFormat="1" ht="14.25" customHeight="1" thickBot="1">
      <c r="A82" s="1076" t="s">
        <v>1370</v>
      </c>
      <c r="B82" s="1070" t="s">
        <v>1100</v>
      </c>
      <c r="C82" s="1070">
        <v>10860</v>
      </c>
      <c r="D82" s="1070">
        <v>10820</v>
      </c>
      <c r="E82" s="1070">
        <v>14720</v>
      </c>
      <c r="F82" s="1088">
        <v>2490</v>
      </c>
      <c r="H82" s="1095"/>
    </row>
    <row r="83" spans="1:8" s="1064" customFormat="1" ht="14.25" customHeight="1" thickBot="1">
      <c r="A83" s="1076" t="s">
        <v>1370</v>
      </c>
      <c r="B83" s="1070" t="s">
        <v>1111</v>
      </c>
      <c r="C83" s="1070">
        <v>12810</v>
      </c>
      <c r="D83" s="1070">
        <v>12760</v>
      </c>
      <c r="E83" s="1070">
        <v>14830</v>
      </c>
      <c r="F83" s="1088">
        <v>2450</v>
      </c>
      <c r="H83" s="1095"/>
    </row>
    <row r="84" spans="1:8" s="1064" customFormat="1" ht="14.25" customHeight="1" thickBot="1">
      <c r="A84" s="1076" t="s">
        <v>1370</v>
      </c>
      <c r="B84" s="1070" t="s">
        <v>1123</v>
      </c>
      <c r="C84" s="1070">
        <v>14950</v>
      </c>
      <c r="D84" s="1070">
        <v>14810</v>
      </c>
      <c r="E84" s="1070">
        <v>12590</v>
      </c>
      <c r="F84" s="1088">
        <v>2540</v>
      </c>
      <c r="H84" s="1095"/>
    </row>
    <row r="85" spans="1:8" s="1064" customFormat="1" ht="14.25" customHeight="1" thickBot="1">
      <c r="A85" s="1076" t="s">
        <v>1370</v>
      </c>
      <c r="B85" s="1070" t="s">
        <v>1133</v>
      </c>
      <c r="C85" s="1070">
        <v>14960</v>
      </c>
      <c r="D85" s="1070">
        <v>14890</v>
      </c>
      <c r="E85" s="1070">
        <v>12840</v>
      </c>
      <c r="F85" s="1088">
        <v>2840</v>
      </c>
      <c r="H85" s="1095"/>
    </row>
    <row r="86" spans="1:8" s="1064" customFormat="1" ht="14.25" customHeight="1" thickBot="1">
      <c r="A86" s="1076" t="s">
        <v>1370</v>
      </c>
      <c r="B86" s="1070" t="s">
        <v>1143</v>
      </c>
      <c r="C86" s="1070">
        <v>12730</v>
      </c>
      <c r="D86" s="1070">
        <v>12660</v>
      </c>
      <c r="E86" s="1070">
        <v>13310</v>
      </c>
      <c r="F86" s="1088">
        <v>3140</v>
      </c>
      <c r="H86" s="1095"/>
    </row>
    <row r="87" spans="1:8" s="1064" customFormat="1" ht="14.25" customHeight="1" thickBot="1">
      <c r="A87" s="1076" t="s">
        <v>1370</v>
      </c>
      <c r="B87" s="1070" t="s">
        <v>1153</v>
      </c>
      <c r="C87" s="1070">
        <v>12940</v>
      </c>
      <c r="D87" s="1070">
        <v>12890</v>
      </c>
      <c r="E87" s="1070">
        <v>11580</v>
      </c>
      <c r="F87" s="1097"/>
      <c r="H87" s="1095"/>
    </row>
    <row r="88" spans="1:8" s="1064" customFormat="1" ht="14.25" customHeight="1" thickBot="1">
      <c r="A88" s="1076" t="s">
        <v>1370</v>
      </c>
      <c r="B88" s="1070" t="s">
        <v>1163</v>
      </c>
      <c r="C88" s="1070">
        <v>13430</v>
      </c>
      <c r="D88" s="1070">
        <v>13360</v>
      </c>
      <c r="E88" s="1070">
        <v>12790</v>
      </c>
      <c r="F88" s="1097"/>
      <c r="H88" s="1095"/>
    </row>
    <row r="89" spans="1:8" s="1064" customFormat="1" ht="14.25" customHeight="1" thickBot="1">
      <c r="A89" s="1076" t="s">
        <v>1370</v>
      </c>
      <c r="B89" s="1070" t="s">
        <v>1173</v>
      </c>
      <c r="C89" s="1070">
        <v>11680</v>
      </c>
      <c r="D89" s="1070">
        <v>11630</v>
      </c>
      <c r="E89" s="1070">
        <v>11320</v>
      </c>
      <c r="F89" s="1097"/>
      <c r="H89" s="1095"/>
    </row>
    <row r="90" spans="1:8" s="1064" customFormat="1" ht="14.25" customHeight="1" thickBot="1">
      <c r="A90" s="1076" t="s">
        <v>1370</v>
      </c>
      <c r="B90" s="1070" t="s">
        <v>1183</v>
      </c>
      <c r="C90" s="1070">
        <v>12890</v>
      </c>
      <c r="D90" s="1070">
        <v>12820</v>
      </c>
      <c r="E90" s="1070">
        <v>12710</v>
      </c>
      <c r="F90" s="1097"/>
      <c r="H90" s="1095"/>
    </row>
    <row r="91" spans="1:8" s="1064" customFormat="1" ht="14.25" customHeight="1" thickBot="1">
      <c r="A91" s="1076" t="s">
        <v>1370</v>
      </c>
      <c r="B91" s="1070" t="s">
        <v>1193</v>
      </c>
      <c r="C91" s="1070">
        <v>11410</v>
      </c>
      <c r="D91" s="1070">
        <v>11360</v>
      </c>
      <c r="E91" s="1070">
        <v>12670</v>
      </c>
      <c r="F91" s="1097"/>
      <c r="H91" s="1095"/>
    </row>
    <row r="92" spans="1:8" s="1064" customFormat="1" ht="14.25" customHeight="1" thickBot="1">
      <c r="A92" s="1076" t="s">
        <v>1370</v>
      </c>
      <c r="B92" s="1070" t="s">
        <v>1203</v>
      </c>
      <c r="C92" s="1070">
        <v>12770</v>
      </c>
      <c r="D92" s="1070">
        <v>12740</v>
      </c>
      <c r="E92" s="1070">
        <v>11970</v>
      </c>
      <c r="F92" s="1097"/>
      <c r="H92" s="1095"/>
    </row>
    <row r="93" spans="1:8" s="1064" customFormat="1" ht="14.25" customHeight="1" thickBot="1">
      <c r="A93" s="1076" t="s">
        <v>1370</v>
      </c>
      <c r="B93" s="1070" t="s">
        <v>1213</v>
      </c>
      <c r="C93" s="1070">
        <v>12740</v>
      </c>
      <c r="D93" s="1070">
        <v>12700</v>
      </c>
      <c r="E93" s="1070">
        <v>12540</v>
      </c>
      <c r="F93" s="1097"/>
      <c r="H93" s="1095"/>
    </row>
    <row r="94" spans="1:8" s="1064" customFormat="1" ht="14.25" customHeight="1" thickBot="1">
      <c r="A94" s="1076" t="s">
        <v>1370</v>
      </c>
      <c r="B94" s="1070" t="s">
        <v>1223</v>
      </c>
      <c r="C94" s="1070">
        <v>12020</v>
      </c>
      <c r="D94" s="1070">
        <v>11990</v>
      </c>
      <c r="E94" s="1070">
        <v>13110</v>
      </c>
      <c r="F94" s="1097"/>
      <c r="H94" s="1095"/>
    </row>
    <row r="95" spans="1:8" s="1064" customFormat="1" ht="14.25" customHeight="1" thickBot="1">
      <c r="A95" s="1076" t="s">
        <v>1370</v>
      </c>
      <c r="B95" s="1070" t="s">
        <v>1232</v>
      </c>
      <c r="C95" s="1070">
        <v>12620</v>
      </c>
      <c r="D95" s="1070">
        <v>12580</v>
      </c>
      <c r="E95" s="1070">
        <v>13160</v>
      </c>
      <c r="F95" s="1088"/>
      <c r="H95" s="1095"/>
    </row>
    <row r="96" spans="1:8" s="1064" customFormat="1" ht="14.25" customHeight="1" thickBot="1">
      <c r="A96" s="1076" t="s">
        <v>1370</v>
      </c>
      <c r="B96" s="1070" t="s">
        <v>1241</v>
      </c>
      <c r="C96" s="1070">
        <v>13200</v>
      </c>
      <c r="D96" s="1070">
        <v>13150</v>
      </c>
      <c r="E96" s="1070">
        <v>12900</v>
      </c>
      <c r="F96" s="1088"/>
      <c r="H96" s="1095"/>
    </row>
    <row r="97" spans="1:8" s="1064" customFormat="1" ht="14.25" customHeight="1" thickBot="1">
      <c r="A97" s="1076" t="s">
        <v>1370</v>
      </c>
      <c r="B97" s="1070" t="s">
        <v>1249</v>
      </c>
      <c r="C97" s="1070">
        <v>13270</v>
      </c>
      <c r="D97" s="1070">
        <v>13210</v>
      </c>
      <c r="E97" s="1070">
        <v>11080</v>
      </c>
      <c r="F97" s="1088"/>
      <c r="H97" s="1095"/>
    </row>
    <row r="98" spans="1:8" s="1064" customFormat="1" ht="14.25" customHeight="1" thickBot="1">
      <c r="A98" s="1076" t="s">
        <v>1370</v>
      </c>
      <c r="B98" s="1070" t="s">
        <v>1256</v>
      </c>
      <c r="C98" s="1070">
        <v>13010</v>
      </c>
      <c r="D98" s="1070">
        <v>12930</v>
      </c>
      <c r="E98" s="1070">
        <v>12840</v>
      </c>
      <c r="F98" s="1088"/>
      <c r="H98" s="1095"/>
    </row>
    <row r="99" spans="1:8" s="1064" customFormat="1" ht="14.25" customHeight="1" thickBot="1">
      <c r="A99" s="1076" t="s">
        <v>1370</v>
      </c>
      <c r="B99" s="1070" t="s">
        <v>1263</v>
      </c>
      <c r="C99" s="1070">
        <v>11190</v>
      </c>
      <c r="D99" s="1070">
        <v>11130</v>
      </c>
      <c r="E99" s="1070"/>
      <c r="F99" s="1088"/>
      <c r="H99" s="1095"/>
    </row>
    <row r="100" spans="1:8" s="1064" customFormat="1" ht="14.25" customHeight="1" thickBot="1">
      <c r="A100" s="1076" t="s">
        <v>1370</v>
      </c>
      <c r="B100" s="1070" t="s">
        <v>1270</v>
      </c>
      <c r="C100" s="1070">
        <v>14280</v>
      </c>
      <c r="D100" s="1070">
        <v>14180</v>
      </c>
      <c r="E100" s="1070"/>
      <c r="F100" s="1088"/>
      <c r="H100" s="1095"/>
    </row>
    <row r="101" spans="1:8" s="1064" customFormat="1" ht="14.25" customHeight="1" thickBot="1">
      <c r="A101" s="1076" t="s">
        <v>1370</v>
      </c>
      <c r="B101" s="1070" t="s">
        <v>1277</v>
      </c>
      <c r="C101" s="1070">
        <v>12960</v>
      </c>
      <c r="D101" s="1070">
        <v>12890</v>
      </c>
      <c r="E101" s="1070"/>
      <c r="F101" s="1088"/>
      <c r="H101" s="1095"/>
    </row>
    <row r="102" spans="1:8" s="1064" customFormat="1" ht="14.25" customHeight="1" thickBot="1">
      <c r="A102" s="1076" t="s">
        <v>1370</v>
      </c>
      <c r="B102" s="1070" t="s">
        <v>1284</v>
      </c>
      <c r="C102" s="1070"/>
      <c r="D102" s="1070"/>
      <c r="E102" s="1070"/>
      <c r="F102" s="1088">
        <v>3100</v>
      </c>
      <c r="H102" s="1095"/>
    </row>
    <row r="103" spans="1:8" s="1064" customFormat="1" ht="14.25" customHeight="1" thickBot="1">
      <c r="A103" s="1076" t="s">
        <v>1370</v>
      </c>
      <c r="B103" s="1070" t="s">
        <v>1291</v>
      </c>
      <c r="C103" s="1070"/>
      <c r="D103" s="1070"/>
      <c r="E103" s="1070"/>
      <c r="F103" s="1088">
        <v>2320</v>
      </c>
      <c r="H103" s="1095"/>
    </row>
    <row r="104" spans="1:8" s="1064" customFormat="1" ht="14.25" customHeight="1" thickBot="1">
      <c r="A104" s="1076" t="s">
        <v>1370</v>
      </c>
      <c r="B104" s="1070" t="s">
        <v>1296</v>
      </c>
      <c r="C104" s="1070"/>
      <c r="D104" s="1070"/>
      <c r="E104" s="1070"/>
      <c r="F104" s="1088">
        <v>2320</v>
      </c>
      <c r="H104" s="1095"/>
    </row>
    <row r="105" spans="1:8" s="1064" customFormat="1" ht="14.25" customHeight="1" thickBot="1">
      <c r="A105" s="1076" t="s">
        <v>1370</v>
      </c>
      <c r="B105" s="1070" t="s">
        <v>1300</v>
      </c>
      <c r="C105" s="1070"/>
      <c r="D105" s="1070"/>
      <c r="E105" s="1070"/>
      <c r="F105" s="1088">
        <v>2320</v>
      </c>
      <c r="H105" s="1095"/>
    </row>
    <row r="106" spans="1:8" s="1064" customFormat="1" ht="14.25" customHeight="1" thickBot="1">
      <c r="A106" s="1076" t="s">
        <v>1370</v>
      </c>
      <c r="B106" s="1070" t="s">
        <v>1305</v>
      </c>
      <c r="C106" s="1070"/>
      <c r="D106" s="1070"/>
      <c r="E106" s="1070"/>
      <c r="F106" s="1088">
        <v>2320</v>
      </c>
      <c r="H106" s="1095"/>
    </row>
    <row r="107" spans="1:8" s="1064" customFormat="1" ht="14.25" customHeight="1" thickBot="1">
      <c r="A107" s="1076" t="s">
        <v>1370</v>
      </c>
      <c r="B107" s="1070" t="s">
        <v>1310</v>
      </c>
      <c r="C107" s="1070"/>
      <c r="D107" s="1070"/>
      <c r="E107" s="1070"/>
      <c r="F107" s="1088">
        <v>2280</v>
      </c>
      <c r="H107" s="1095"/>
    </row>
    <row r="108" spans="1:8" s="1064" customFormat="1" ht="14.25" customHeight="1" thickBot="1">
      <c r="A108" s="1076" t="s">
        <v>1370</v>
      </c>
      <c r="B108" s="1070" t="s">
        <v>1315</v>
      </c>
      <c r="C108" s="1070"/>
      <c r="D108" s="1070"/>
      <c r="E108" s="1070"/>
      <c r="F108" s="1088">
        <v>2280</v>
      </c>
      <c r="H108" s="1095"/>
    </row>
    <row r="109" spans="1:8" s="1064" customFormat="1" ht="14.25" customHeight="1" thickBot="1">
      <c r="A109" s="1076" t="s">
        <v>1370</v>
      </c>
      <c r="B109" s="1086" t="s">
        <v>1320</v>
      </c>
      <c r="C109" s="1086"/>
      <c r="D109" s="1086"/>
      <c r="E109" s="1086"/>
      <c r="F109" s="1096">
        <v>2280</v>
      </c>
      <c r="H109" s="1095"/>
    </row>
    <row r="110" spans="1:8" s="1064" customFormat="1" ht="14.25" customHeight="1" thickBot="1">
      <c r="A110" s="1076" t="s">
        <v>1372</v>
      </c>
      <c r="B110" s="1077" t="s">
        <v>1373</v>
      </c>
      <c r="C110" s="1077">
        <v>10520</v>
      </c>
      <c r="D110" s="1077">
        <v>10490</v>
      </c>
      <c r="E110" s="1077">
        <v>10760</v>
      </c>
      <c r="F110" s="1078">
        <v>2160</v>
      </c>
      <c r="H110" s="1095"/>
    </row>
    <row r="111" spans="1:8" s="1064" customFormat="1" ht="14.25" customHeight="1" thickBot="1">
      <c r="A111" s="1076" t="s">
        <v>1372</v>
      </c>
      <c r="B111" s="1070" t="s">
        <v>1038</v>
      </c>
      <c r="C111" s="1070">
        <v>10090</v>
      </c>
      <c r="D111" s="1070">
        <v>10060</v>
      </c>
      <c r="E111" s="1070">
        <v>10300</v>
      </c>
      <c r="F111" s="1088">
        <v>2010</v>
      </c>
      <c r="H111" s="1095"/>
    </row>
    <row r="112" spans="1:8" s="1064" customFormat="1" ht="14.25" customHeight="1" thickBot="1">
      <c r="A112" s="1076" t="s">
        <v>1372</v>
      </c>
      <c r="B112" s="1070" t="s">
        <v>1052</v>
      </c>
      <c r="C112" s="1070">
        <v>9910</v>
      </c>
      <c r="D112" s="1070">
        <v>9850</v>
      </c>
      <c r="E112" s="1070">
        <v>9960</v>
      </c>
      <c r="F112" s="1088">
        <v>2090</v>
      </c>
      <c r="H112" s="1095"/>
    </row>
    <row r="113" spans="1:8" s="1064" customFormat="1" ht="14.25" customHeight="1" thickBot="1">
      <c r="A113" s="1076" t="s">
        <v>1372</v>
      </c>
      <c r="B113" s="1070" t="s">
        <v>1065</v>
      </c>
      <c r="C113" s="1070">
        <v>11430</v>
      </c>
      <c r="D113" s="1070">
        <v>11400</v>
      </c>
      <c r="E113" s="1070">
        <v>11710</v>
      </c>
      <c r="F113" s="1088">
        <v>2050</v>
      </c>
      <c r="H113" s="1095"/>
    </row>
    <row r="114" spans="1:8" s="1064" customFormat="1" ht="14.25" customHeight="1" thickBot="1">
      <c r="A114" s="1076" t="s">
        <v>1372</v>
      </c>
      <c r="B114" s="1070" t="s">
        <v>1079</v>
      </c>
      <c r="C114" s="1070">
        <v>11390</v>
      </c>
      <c r="D114" s="1070">
        <v>11350</v>
      </c>
      <c r="E114" s="1070">
        <v>11640</v>
      </c>
      <c r="F114" s="1088">
        <v>1620</v>
      </c>
      <c r="H114" s="1095"/>
    </row>
    <row r="115" spans="1:8" s="1064" customFormat="1" ht="14.25" customHeight="1" thickBot="1">
      <c r="A115" s="1076" t="s">
        <v>1372</v>
      </c>
      <c r="B115" s="1070" t="s">
        <v>1090</v>
      </c>
      <c r="C115" s="1070">
        <v>9930</v>
      </c>
      <c r="D115" s="1070">
        <v>9900</v>
      </c>
      <c r="E115" s="1070">
        <v>10160</v>
      </c>
      <c r="F115" s="1088">
        <v>1580</v>
      </c>
      <c r="H115" s="1095"/>
    </row>
    <row r="116" spans="1:8" s="1064" customFormat="1" ht="14.25" customHeight="1" thickBot="1">
      <c r="A116" s="1076" t="s">
        <v>1372</v>
      </c>
      <c r="B116" s="1070" t="s">
        <v>1101</v>
      </c>
      <c r="C116" s="1070">
        <v>9150</v>
      </c>
      <c r="D116" s="1070">
        <v>9120</v>
      </c>
      <c r="E116" s="1070">
        <v>9380</v>
      </c>
      <c r="F116" s="1088">
        <v>1750</v>
      </c>
      <c r="H116" s="1095"/>
    </row>
    <row r="117" spans="1:8" s="1064" customFormat="1" ht="14.25" customHeight="1" thickBot="1">
      <c r="A117" s="1076" t="s">
        <v>1372</v>
      </c>
      <c r="B117" s="1070" t="s">
        <v>1112</v>
      </c>
      <c r="C117" s="1070">
        <v>10680</v>
      </c>
      <c r="D117" s="1070">
        <v>10650</v>
      </c>
      <c r="E117" s="1070">
        <v>10970</v>
      </c>
      <c r="F117" s="1088">
        <v>1730</v>
      </c>
      <c r="H117" s="1095"/>
    </row>
    <row r="118" spans="1:8" s="1064" customFormat="1" ht="14.25" customHeight="1" thickBot="1">
      <c r="A118" s="1076" t="s">
        <v>1372</v>
      </c>
      <c r="B118" s="1070" t="s">
        <v>1124</v>
      </c>
      <c r="C118" s="1070">
        <v>10080</v>
      </c>
      <c r="D118" s="1070">
        <v>10050</v>
      </c>
      <c r="E118" s="1070">
        <v>10350</v>
      </c>
      <c r="F118" s="1088">
        <v>1920</v>
      </c>
      <c r="H118" s="1095"/>
    </row>
    <row r="119" spans="1:8" s="1064" customFormat="1" ht="14.25" customHeight="1" thickBot="1">
      <c r="A119" s="1076" t="s">
        <v>1372</v>
      </c>
      <c r="B119" s="1070" t="s">
        <v>1134</v>
      </c>
      <c r="C119" s="1070">
        <v>9450</v>
      </c>
      <c r="D119" s="1070">
        <v>9410</v>
      </c>
      <c r="E119" s="1070">
        <v>9680</v>
      </c>
      <c r="F119" s="1088">
        <v>1880</v>
      </c>
      <c r="H119" s="1095"/>
    </row>
    <row r="120" spans="1:8" s="1064" customFormat="1" ht="14.25" customHeight="1" thickBot="1">
      <c r="A120" s="1076" t="s">
        <v>1372</v>
      </c>
      <c r="B120" s="1070" t="s">
        <v>1144</v>
      </c>
      <c r="C120" s="1070">
        <v>8730</v>
      </c>
      <c r="D120" s="1070">
        <v>8700</v>
      </c>
      <c r="E120" s="1070">
        <v>8950</v>
      </c>
      <c r="F120" s="1088">
        <v>1830</v>
      </c>
      <c r="H120" s="1095"/>
    </row>
    <row r="121" spans="1:8" s="1064" customFormat="1" ht="14.25" customHeight="1" thickBot="1">
      <c r="A121" s="1076" t="s">
        <v>1372</v>
      </c>
      <c r="B121" s="1070" t="s">
        <v>1154</v>
      </c>
      <c r="C121" s="1070">
        <v>10070</v>
      </c>
      <c r="D121" s="1070">
        <v>10040</v>
      </c>
      <c r="E121" s="1070">
        <v>10270</v>
      </c>
      <c r="F121" s="1088">
        <v>1960</v>
      </c>
      <c r="H121" s="1095"/>
    </row>
    <row r="122" spans="1:8" s="1064" customFormat="1" ht="14.25" customHeight="1" thickBot="1">
      <c r="A122" s="1076" t="s">
        <v>1372</v>
      </c>
      <c r="B122" s="1070" t="s">
        <v>1164</v>
      </c>
      <c r="C122" s="1070">
        <v>10500</v>
      </c>
      <c r="D122" s="1070">
        <v>10470</v>
      </c>
      <c r="E122" s="1070">
        <v>10780</v>
      </c>
      <c r="F122" s="1088">
        <v>2180</v>
      </c>
      <c r="H122" s="1095"/>
    </row>
    <row r="123" spans="1:8" s="1064" customFormat="1" ht="14.25" customHeight="1" thickBot="1">
      <c r="A123" s="1076" t="s">
        <v>1372</v>
      </c>
      <c r="B123" s="1070" t="s">
        <v>1174</v>
      </c>
      <c r="C123" s="1070">
        <v>10390</v>
      </c>
      <c r="D123" s="1070">
        <v>10360</v>
      </c>
      <c r="E123" s="1070">
        <v>10660</v>
      </c>
      <c r="F123" s="1088">
        <v>2040</v>
      </c>
      <c r="H123" s="1095"/>
    </row>
    <row r="124" spans="1:8" s="1064" customFormat="1" ht="14.25" customHeight="1" thickBot="1">
      <c r="A124" s="1076" t="s">
        <v>1372</v>
      </c>
      <c r="B124" s="1070" t="s">
        <v>1184</v>
      </c>
      <c r="C124" s="1070">
        <v>10390</v>
      </c>
      <c r="D124" s="1070">
        <v>10360</v>
      </c>
      <c r="E124" s="1070">
        <v>10680</v>
      </c>
      <c r="F124" s="1097"/>
      <c r="H124" s="1095"/>
    </row>
    <row r="125" spans="1:8" s="1064" customFormat="1" ht="14.25" customHeight="1" thickBot="1">
      <c r="A125" s="1076" t="s">
        <v>1372</v>
      </c>
      <c r="B125" s="1070" t="s">
        <v>1194</v>
      </c>
      <c r="C125" s="1070">
        <v>10440</v>
      </c>
      <c r="D125" s="1070">
        <v>10410</v>
      </c>
      <c r="E125" s="1070">
        <v>10710</v>
      </c>
      <c r="F125" s="1097"/>
      <c r="H125" s="1095"/>
    </row>
    <row r="126" spans="1:8" s="1064" customFormat="1" ht="14.25" customHeight="1" thickBot="1">
      <c r="A126" s="1076" t="s">
        <v>1372</v>
      </c>
      <c r="B126" s="1070" t="s">
        <v>1204</v>
      </c>
      <c r="C126" s="1070">
        <v>10780</v>
      </c>
      <c r="D126" s="1070">
        <v>10750</v>
      </c>
      <c r="E126" s="1070">
        <v>11080</v>
      </c>
      <c r="F126" s="1097"/>
      <c r="H126" s="1095"/>
    </row>
    <row r="127" spans="1:8" s="1064" customFormat="1" ht="14.25" customHeight="1" thickBot="1">
      <c r="A127" s="1076" t="s">
        <v>1372</v>
      </c>
      <c r="B127" s="1070" t="s">
        <v>1214</v>
      </c>
      <c r="C127" s="1070">
        <v>10100</v>
      </c>
      <c r="D127" s="1070">
        <v>10070</v>
      </c>
      <c r="E127" s="1070">
        <v>10350</v>
      </c>
      <c r="F127" s="1097"/>
      <c r="H127" s="1095"/>
    </row>
    <row r="128" spans="1:8" s="1064" customFormat="1" ht="14.25" customHeight="1" thickBot="1">
      <c r="A128" s="1076" t="s">
        <v>1372</v>
      </c>
      <c r="B128" s="1070" t="s">
        <v>1224</v>
      </c>
      <c r="C128" s="1070">
        <v>9200</v>
      </c>
      <c r="D128" s="1070">
        <v>9160</v>
      </c>
      <c r="E128" s="1070">
        <v>9660</v>
      </c>
      <c r="F128" s="1097"/>
      <c r="H128" s="1095"/>
    </row>
    <row r="129" spans="1:8" s="1064" customFormat="1" ht="14.25" customHeight="1" thickBot="1">
      <c r="A129" s="1076" t="s">
        <v>1372</v>
      </c>
      <c r="B129" s="1070" t="s">
        <v>1233</v>
      </c>
      <c r="C129" s="1070">
        <v>10340</v>
      </c>
      <c r="D129" s="1070">
        <v>10310</v>
      </c>
      <c r="E129" s="1070">
        <v>10580</v>
      </c>
      <c r="F129" s="1097"/>
      <c r="H129" s="1095"/>
    </row>
    <row r="130" spans="1:8" s="1064" customFormat="1" ht="14.25" customHeight="1" thickBot="1">
      <c r="A130" s="1076" t="s">
        <v>1372</v>
      </c>
      <c r="B130" s="1070" t="s">
        <v>1242</v>
      </c>
      <c r="C130" s="1070">
        <v>9680</v>
      </c>
      <c r="D130" s="1070">
        <v>9660</v>
      </c>
      <c r="E130" s="1070">
        <v>9950</v>
      </c>
      <c r="F130" s="1097"/>
      <c r="H130" s="1095"/>
    </row>
    <row r="131" spans="1:8" s="1064" customFormat="1" ht="14.25" customHeight="1" thickBot="1">
      <c r="A131" s="1076" t="s">
        <v>1372</v>
      </c>
      <c r="B131" s="1070" t="s">
        <v>1250</v>
      </c>
      <c r="C131" s="1070">
        <v>9540</v>
      </c>
      <c r="D131" s="1070">
        <v>9510</v>
      </c>
      <c r="E131" s="1070">
        <v>9790</v>
      </c>
      <c r="F131" s="1097"/>
      <c r="H131" s="1095"/>
    </row>
    <row r="132" spans="1:8" s="1064" customFormat="1" ht="14.25" customHeight="1" thickBot="1">
      <c r="A132" s="1076" t="s">
        <v>1372</v>
      </c>
      <c r="B132" s="1070" t="s">
        <v>1257</v>
      </c>
      <c r="C132" s="1070">
        <v>9320</v>
      </c>
      <c r="D132" s="1070">
        <v>9290</v>
      </c>
      <c r="E132" s="1070">
        <v>9570</v>
      </c>
      <c r="F132" s="1097"/>
      <c r="H132" s="1095"/>
    </row>
    <row r="133" spans="1:8" s="1064" customFormat="1" ht="14.25" customHeight="1" thickBot="1">
      <c r="A133" s="1076" t="s">
        <v>1372</v>
      </c>
      <c r="B133" s="1070" t="s">
        <v>1264</v>
      </c>
      <c r="C133" s="1070">
        <v>10310</v>
      </c>
      <c r="D133" s="1070">
        <v>10280</v>
      </c>
      <c r="E133" s="1070">
        <v>10530</v>
      </c>
      <c r="F133" s="1097"/>
      <c r="H133" s="1095"/>
    </row>
    <row r="134" spans="1:8" s="1064" customFormat="1" ht="14.25" customHeight="1" thickBot="1">
      <c r="A134" s="1076" t="s">
        <v>1372</v>
      </c>
      <c r="B134" s="1070" t="s">
        <v>1271</v>
      </c>
      <c r="C134" s="1070">
        <v>10370</v>
      </c>
      <c r="D134" s="1070">
        <v>10310</v>
      </c>
      <c r="E134" s="1070">
        <v>10240</v>
      </c>
      <c r="F134" s="1088">
        <v>2060</v>
      </c>
      <c r="H134" s="1095"/>
    </row>
    <row r="135" spans="1:8" s="1064" customFormat="1" ht="14.25" customHeight="1" thickBot="1">
      <c r="A135" s="1076" t="s">
        <v>1372</v>
      </c>
      <c r="B135" s="1070" t="s">
        <v>1278</v>
      </c>
      <c r="C135" s="1070">
        <v>9300</v>
      </c>
      <c r="D135" s="1070">
        <v>9270</v>
      </c>
      <c r="E135" s="1070">
        <v>9350</v>
      </c>
      <c r="F135" s="1097"/>
      <c r="H135" s="1095"/>
    </row>
    <row r="136" spans="1:8" s="1064" customFormat="1" ht="14.25" customHeight="1" thickBot="1">
      <c r="A136" s="1076" t="s">
        <v>1372</v>
      </c>
      <c r="B136" s="1070" t="s">
        <v>1285</v>
      </c>
      <c r="C136" s="1070">
        <v>10160</v>
      </c>
      <c r="D136" s="1070">
        <v>10110</v>
      </c>
      <c r="E136" s="1070">
        <v>10080</v>
      </c>
      <c r="F136" s="1097"/>
      <c r="H136" s="1095"/>
    </row>
    <row r="137" spans="1:8" s="1064" customFormat="1" ht="14.25" customHeight="1" thickBot="1">
      <c r="A137" s="1076" t="s">
        <v>1372</v>
      </c>
      <c r="B137" s="1070" t="s">
        <v>1292</v>
      </c>
      <c r="C137" s="1070">
        <v>9200</v>
      </c>
      <c r="D137" s="1070">
        <v>9170</v>
      </c>
      <c r="E137" s="1070">
        <v>9450</v>
      </c>
      <c r="F137" s="1097"/>
      <c r="H137" s="1095"/>
    </row>
    <row r="138" spans="1:8" s="1064" customFormat="1" ht="14.25" customHeight="1" thickBot="1">
      <c r="A138" s="1076" t="s">
        <v>1372</v>
      </c>
      <c r="B138" s="1070" t="s">
        <v>1297</v>
      </c>
      <c r="C138" s="1070">
        <v>9690</v>
      </c>
      <c r="D138" s="1070">
        <v>9660</v>
      </c>
      <c r="E138" s="1070">
        <v>9840</v>
      </c>
      <c r="F138" s="1097"/>
      <c r="H138" s="1095"/>
    </row>
    <row r="139" spans="1:8" s="1064" customFormat="1" ht="14.25" customHeight="1" thickBot="1">
      <c r="A139" s="1076" t="s">
        <v>1372</v>
      </c>
      <c r="B139" s="1070" t="s">
        <v>1301</v>
      </c>
      <c r="C139" s="1070">
        <v>10290</v>
      </c>
      <c r="D139" s="1070">
        <v>10260</v>
      </c>
      <c r="E139" s="1070">
        <v>10550</v>
      </c>
      <c r="F139" s="1088">
        <v>1700</v>
      </c>
      <c r="H139" s="1095"/>
    </row>
    <row r="140" spans="1:8" s="1064" customFormat="1" ht="14.25" customHeight="1" thickBot="1">
      <c r="A140" s="1076" t="s">
        <v>1372</v>
      </c>
      <c r="B140" s="1070" t="s">
        <v>1306</v>
      </c>
      <c r="C140" s="1070">
        <v>9740</v>
      </c>
      <c r="D140" s="1070">
        <v>9710</v>
      </c>
      <c r="E140" s="1070">
        <v>10000</v>
      </c>
      <c r="F140" s="1088">
        <v>2000</v>
      </c>
      <c r="H140" s="1095"/>
    </row>
    <row r="141" spans="1:8" s="1064" customFormat="1" ht="14.25" customHeight="1" thickBot="1">
      <c r="A141" s="1076" t="s">
        <v>1372</v>
      </c>
      <c r="B141" s="1070" t="s">
        <v>1311</v>
      </c>
      <c r="C141" s="1070">
        <v>9810</v>
      </c>
      <c r="D141" s="1070">
        <v>9770</v>
      </c>
      <c r="E141" s="1070">
        <v>10060</v>
      </c>
      <c r="F141" s="1097"/>
      <c r="H141" s="1095"/>
    </row>
    <row r="142" spans="1:8" s="1064" customFormat="1" ht="14.25" customHeight="1" thickBot="1">
      <c r="A142" s="1076" t="s">
        <v>1372</v>
      </c>
      <c r="B142" s="1070" t="s">
        <v>1316</v>
      </c>
      <c r="C142" s="1070">
        <v>9300</v>
      </c>
      <c r="D142" s="1070">
        <v>9270</v>
      </c>
      <c r="E142" s="1070">
        <v>9530</v>
      </c>
      <c r="F142" s="1097"/>
      <c r="H142" s="1095"/>
    </row>
    <row r="143" spans="1:8" s="1064" customFormat="1" ht="14.25" customHeight="1" thickBot="1">
      <c r="A143" s="1076" t="s">
        <v>1372</v>
      </c>
      <c r="B143" s="1070" t="s">
        <v>1321</v>
      </c>
      <c r="C143" s="1070">
        <v>10080</v>
      </c>
      <c r="D143" s="1070">
        <v>10050</v>
      </c>
      <c r="E143" s="1070">
        <v>10340</v>
      </c>
      <c r="F143" s="1097"/>
      <c r="H143" s="1095"/>
    </row>
    <row r="144" spans="1:8" s="1064" customFormat="1" ht="14.25" customHeight="1" thickBot="1">
      <c r="A144" s="1076" t="s">
        <v>1372</v>
      </c>
      <c r="B144" s="1070" t="s">
        <v>1325</v>
      </c>
      <c r="C144" s="1070">
        <v>9820</v>
      </c>
      <c r="D144" s="1070">
        <v>9750</v>
      </c>
      <c r="E144" s="1070">
        <v>9900</v>
      </c>
      <c r="F144" s="1097"/>
      <c r="H144" s="1095"/>
    </row>
    <row r="145" spans="1:8" s="1064" customFormat="1" ht="14.25" customHeight="1" thickBot="1">
      <c r="A145" s="1076" t="s">
        <v>1372</v>
      </c>
      <c r="B145" s="1070" t="s">
        <v>1329</v>
      </c>
      <c r="C145" s="1070"/>
      <c r="D145" s="1070"/>
      <c r="E145" s="1070"/>
      <c r="F145" s="1088">
        <v>1740</v>
      </c>
      <c r="H145" s="1095"/>
    </row>
    <row r="146" spans="1:8" s="1064" customFormat="1" ht="14.25" customHeight="1" thickBot="1">
      <c r="A146" s="1076" t="s">
        <v>1372</v>
      </c>
      <c r="B146" s="1070" t="s">
        <v>1333</v>
      </c>
      <c r="C146" s="1070"/>
      <c r="D146" s="1070"/>
      <c r="E146" s="1070"/>
      <c r="F146" s="1088">
        <v>1740</v>
      </c>
      <c r="H146" s="1095"/>
    </row>
    <row r="147" spans="1:8" s="1064" customFormat="1" ht="14.25" customHeight="1" thickBot="1">
      <c r="A147" s="1076" t="s">
        <v>1372</v>
      </c>
      <c r="B147" s="1070" t="s">
        <v>1337</v>
      </c>
      <c r="C147" s="1070"/>
      <c r="D147" s="1070"/>
      <c r="E147" s="1070"/>
      <c r="F147" s="1088">
        <v>1740</v>
      </c>
      <c r="H147" s="1095"/>
    </row>
    <row r="148" spans="1:8" s="1064" customFormat="1" ht="14.25" customHeight="1" thickBot="1">
      <c r="A148" s="1076" t="s">
        <v>1372</v>
      </c>
      <c r="B148" s="1070" t="s">
        <v>1341</v>
      </c>
      <c r="C148" s="1070"/>
      <c r="D148" s="1070"/>
      <c r="E148" s="1070"/>
      <c r="F148" s="1088">
        <v>1740</v>
      </c>
      <c r="H148" s="1095"/>
    </row>
    <row r="149" spans="1:8" s="1064" customFormat="1" ht="14.25" customHeight="1" thickBot="1">
      <c r="A149" s="1076" t="s">
        <v>1372</v>
      </c>
      <c r="B149" s="1070" t="s">
        <v>1345</v>
      </c>
      <c r="C149" s="1070"/>
      <c r="D149" s="1070"/>
      <c r="E149" s="1070"/>
      <c r="F149" s="1088">
        <v>1740</v>
      </c>
      <c r="H149" s="1095"/>
    </row>
    <row r="150" spans="1:8" s="1064" customFormat="1" ht="14.25" customHeight="1" thickBot="1">
      <c r="A150" s="1076" t="s">
        <v>1372</v>
      </c>
      <c r="B150" s="1070" t="s">
        <v>1348</v>
      </c>
      <c r="C150" s="1070"/>
      <c r="D150" s="1070"/>
      <c r="E150" s="1070"/>
      <c r="F150" s="1088">
        <v>1610</v>
      </c>
      <c r="H150" s="1095"/>
    </row>
    <row r="151" spans="1:8" s="1064" customFormat="1" ht="14.25" customHeight="1" thickBot="1">
      <c r="A151" s="1076" t="s">
        <v>1372</v>
      </c>
      <c r="B151" s="1070" t="s">
        <v>1351</v>
      </c>
      <c r="C151" s="1070"/>
      <c r="D151" s="1070"/>
      <c r="E151" s="1070"/>
      <c r="F151" s="1088">
        <v>1610</v>
      </c>
      <c r="H151" s="1095"/>
    </row>
    <row r="152" spans="1:8" s="1064" customFormat="1" ht="14.25" customHeight="1" thickBot="1">
      <c r="A152" s="1076" t="s">
        <v>1372</v>
      </c>
      <c r="B152" s="1070" t="s">
        <v>1354</v>
      </c>
      <c r="C152" s="1070"/>
      <c r="D152" s="1070"/>
      <c r="E152" s="1070"/>
      <c r="F152" s="1088">
        <v>1610</v>
      </c>
      <c r="H152" s="1095"/>
    </row>
    <row r="153" spans="1:8" s="1064" customFormat="1" ht="14.25" customHeight="1" thickBot="1">
      <c r="A153" s="1076" t="s">
        <v>1372</v>
      </c>
      <c r="B153" s="1070" t="s">
        <v>1357</v>
      </c>
      <c r="C153" s="1070"/>
      <c r="D153" s="1070"/>
      <c r="E153" s="1070"/>
      <c r="F153" s="1088">
        <v>1610</v>
      </c>
      <c r="H153" s="1095"/>
    </row>
    <row r="154" spans="1:8" s="1064" customFormat="1" ht="14.25" customHeight="1" thickBot="1">
      <c r="A154" s="1076" t="s">
        <v>1372</v>
      </c>
      <c r="B154" s="1070" t="s">
        <v>1360</v>
      </c>
      <c r="C154" s="1070"/>
      <c r="D154" s="1070"/>
      <c r="E154" s="1070"/>
      <c r="F154" s="1088">
        <v>1610</v>
      </c>
      <c r="H154" s="1095"/>
    </row>
    <row r="155" spans="1:8" s="1064" customFormat="1" ht="14.25" customHeight="1" thickBot="1">
      <c r="A155" s="1076" t="s">
        <v>1372</v>
      </c>
      <c r="B155" s="1070" t="s">
        <v>1363</v>
      </c>
      <c r="C155" s="1070"/>
      <c r="D155" s="1070"/>
      <c r="E155" s="1070"/>
      <c r="F155" s="1088">
        <v>1800</v>
      </c>
      <c r="H155" s="1095"/>
    </row>
    <row r="156" spans="1:8" s="1064" customFormat="1" ht="14.25" customHeight="1" thickBot="1">
      <c r="A156" s="1076" t="s">
        <v>1372</v>
      </c>
      <c r="B156" s="1070" t="s">
        <v>1365</v>
      </c>
      <c r="C156" s="1070"/>
      <c r="D156" s="1070"/>
      <c r="E156" s="1070"/>
      <c r="F156" s="1088">
        <v>1910</v>
      </c>
      <c r="H156" s="1095"/>
    </row>
    <row r="157" spans="1:8" s="1064" customFormat="1" ht="14.25" customHeight="1" thickBot="1">
      <c r="A157" s="1076" t="s">
        <v>1372</v>
      </c>
      <c r="B157" s="1086" t="s">
        <v>1368</v>
      </c>
      <c r="C157" s="1086"/>
      <c r="D157" s="1086"/>
      <c r="E157" s="1086"/>
      <c r="F157" s="1096">
        <v>1500</v>
      </c>
      <c r="H157" s="1095"/>
    </row>
    <row r="158" spans="1:8" s="1064" customFormat="1" ht="14.25" customHeight="1" thickBot="1">
      <c r="A158" s="1076" t="s">
        <v>1374</v>
      </c>
      <c r="B158" s="1077" t="s">
        <v>1375</v>
      </c>
      <c r="C158" s="1077">
        <v>8170</v>
      </c>
      <c r="D158" s="1077">
        <v>8140</v>
      </c>
      <c r="E158" s="1077">
        <v>8590</v>
      </c>
      <c r="F158" s="1078">
        <v>1450</v>
      </c>
      <c r="H158" s="1095"/>
    </row>
    <row r="159" spans="1:8" s="1064" customFormat="1" ht="14.25" customHeight="1" thickBot="1">
      <c r="A159" s="1076" t="s">
        <v>1374</v>
      </c>
      <c r="B159" s="1070" t="s">
        <v>1039</v>
      </c>
      <c r="C159" s="1070">
        <v>7410</v>
      </c>
      <c r="D159" s="1070">
        <v>7370</v>
      </c>
      <c r="E159" s="1070">
        <v>8030</v>
      </c>
      <c r="F159" s="1088">
        <v>1510</v>
      </c>
      <c r="H159" s="1095"/>
    </row>
    <row r="160" spans="1:8" s="1064" customFormat="1" ht="14.25" customHeight="1" thickBot="1">
      <c r="A160" s="1076" t="s">
        <v>1374</v>
      </c>
      <c r="B160" s="1070" t="s">
        <v>1053</v>
      </c>
      <c r="C160" s="1070">
        <v>7240</v>
      </c>
      <c r="D160" s="1070">
        <v>7210</v>
      </c>
      <c r="E160" s="1070">
        <v>7860</v>
      </c>
      <c r="F160" s="1088">
        <v>1370</v>
      </c>
      <c r="H160" s="1095"/>
    </row>
    <row r="161" spans="1:8" s="1064" customFormat="1" ht="14.25" customHeight="1" thickBot="1">
      <c r="A161" s="1076" t="s">
        <v>1374</v>
      </c>
      <c r="B161" s="1070" t="s">
        <v>1066</v>
      </c>
      <c r="C161" s="1070">
        <v>7720</v>
      </c>
      <c r="D161" s="1070">
        <v>7690</v>
      </c>
      <c r="E161" s="1070">
        <v>8200</v>
      </c>
      <c r="F161" s="1088">
        <v>1190</v>
      </c>
      <c r="H161" s="1095"/>
    </row>
    <row r="162" spans="1:8" s="1064" customFormat="1" ht="14.25" customHeight="1" thickBot="1">
      <c r="A162" s="1076" t="s">
        <v>1374</v>
      </c>
      <c r="B162" s="1070" t="s">
        <v>1080</v>
      </c>
      <c r="C162" s="1070">
        <v>6900</v>
      </c>
      <c r="D162" s="1070">
        <v>6870</v>
      </c>
      <c r="E162" s="1070">
        <v>7500</v>
      </c>
      <c r="F162" s="1088">
        <v>1390</v>
      </c>
      <c r="H162" s="1095"/>
    </row>
    <row r="163" spans="1:8" s="1064" customFormat="1" ht="14.25" customHeight="1" thickBot="1">
      <c r="A163" s="1076" t="s">
        <v>1374</v>
      </c>
      <c r="B163" s="1070" t="s">
        <v>1091</v>
      </c>
      <c r="C163" s="1070">
        <v>7120</v>
      </c>
      <c r="D163" s="1070">
        <v>7090</v>
      </c>
      <c r="E163" s="1070">
        <v>7690</v>
      </c>
      <c r="F163" s="1088">
        <v>1230</v>
      </c>
      <c r="H163" s="1095"/>
    </row>
    <row r="164" spans="1:8" s="1064" customFormat="1" ht="14.25" customHeight="1" thickBot="1">
      <c r="A164" s="1076" t="s">
        <v>1374</v>
      </c>
      <c r="B164" s="1070" t="s">
        <v>1102</v>
      </c>
      <c r="C164" s="1070">
        <v>6560</v>
      </c>
      <c r="D164" s="1070">
        <v>6530</v>
      </c>
      <c r="E164" s="1070">
        <v>7110</v>
      </c>
      <c r="F164" s="1088">
        <v>1340</v>
      </c>
      <c r="H164" s="1095"/>
    </row>
    <row r="165" spans="1:8" s="1064" customFormat="1" ht="14.25" customHeight="1" thickBot="1">
      <c r="A165" s="1076" t="s">
        <v>1374</v>
      </c>
      <c r="B165" s="1070" t="s">
        <v>1113</v>
      </c>
      <c r="C165" s="1070">
        <v>7450</v>
      </c>
      <c r="D165" s="1070">
        <v>7430</v>
      </c>
      <c r="E165" s="1070">
        <v>8110</v>
      </c>
      <c r="F165" s="1088">
        <v>1290</v>
      </c>
      <c r="H165" s="1095"/>
    </row>
    <row r="166" spans="1:8" s="1064" customFormat="1" ht="14.25" customHeight="1" thickBot="1">
      <c r="A166" s="1076" t="s">
        <v>1374</v>
      </c>
      <c r="B166" s="1070" t="s">
        <v>1125</v>
      </c>
      <c r="C166" s="1070">
        <v>7490</v>
      </c>
      <c r="D166" s="1070">
        <v>7460</v>
      </c>
      <c r="E166" s="1070">
        <v>8150</v>
      </c>
      <c r="F166" s="1088">
        <v>1350</v>
      </c>
      <c r="H166" s="1095"/>
    </row>
    <row r="167" spans="1:8" s="1064" customFormat="1" ht="14.25" customHeight="1" thickBot="1">
      <c r="A167" s="1076" t="s">
        <v>1374</v>
      </c>
      <c r="B167" s="1070" t="s">
        <v>1135</v>
      </c>
      <c r="C167" s="1070">
        <v>7540</v>
      </c>
      <c r="D167" s="1070">
        <v>7510</v>
      </c>
      <c r="E167" s="1070">
        <v>8030</v>
      </c>
      <c r="F167" s="1097"/>
      <c r="H167" s="1095"/>
    </row>
    <row r="168" spans="1:8" s="1064" customFormat="1" ht="14.25" customHeight="1" thickBot="1">
      <c r="A168" s="1076" t="s">
        <v>1374</v>
      </c>
      <c r="B168" s="1070" t="s">
        <v>1145</v>
      </c>
      <c r="C168" s="1070">
        <v>7210</v>
      </c>
      <c r="D168" s="1070">
        <v>7180</v>
      </c>
      <c r="E168" s="1070">
        <v>7830</v>
      </c>
      <c r="F168" s="1097"/>
      <c r="H168" s="1095"/>
    </row>
    <row r="169" spans="1:8" s="1064" customFormat="1" ht="14.25" customHeight="1" thickBot="1">
      <c r="A169" s="1076" t="s">
        <v>1374</v>
      </c>
      <c r="B169" s="1070" t="s">
        <v>1155</v>
      </c>
      <c r="C169" s="1070">
        <v>7040</v>
      </c>
      <c r="D169" s="1070">
        <v>7020</v>
      </c>
      <c r="E169" s="1070">
        <v>7670</v>
      </c>
      <c r="F169" s="1097"/>
      <c r="H169" s="1095"/>
    </row>
    <row r="170" spans="1:8" s="1064" customFormat="1" ht="14.25" customHeight="1" thickBot="1">
      <c r="A170" s="1076" t="s">
        <v>1374</v>
      </c>
      <c r="B170" s="1070" t="s">
        <v>1165</v>
      </c>
      <c r="C170" s="1070">
        <v>8040</v>
      </c>
      <c r="D170" s="1070">
        <v>7190</v>
      </c>
      <c r="E170" s="1070">
        <v>7850</v>
      </c>
      <c r="F170" s="1097"/>
      <c r="H170" s="1095"/>
    </row>
    <row r="171" spans="1:8" s="1064" customFormat="1" ht="14.25" customHeight="1" thickBot="1">
      <c r="A171" s="1076" t="s">
        <v>1374</v>
      </c>
      <c r="B171" s="1070" t="s">
        <v>1175</v>
      </c>
      <c r="C171" s="1070">
        <v>7860</v>
      </c>
      <c r="D171" s="1070">
        <v>7720</v>
      </c>
      <c r="E171" s="1070">
        <v>8150</v>
      </c>
      <c r="F171" s="1088">
        <v>1110</v>
      </c>
      <c r="H171" s="1095"/>
    </row>
    <row r="172" spans="1:8" s="1064" customFormat="1" ht="14.25" customHeight="1" thickBot="1">
      <c r="A172" s="1076" t="s">
        <v>1374</v>
      </c>
      <c r="B172" s="1070" t="s">
        <v>1185</v>
      </c>
      <c r="C172" s="1070">
        <v>7210</v>
      </c>
      <c r="D172" s="1070">
        <v>7170</v>
      </c>
      <c r="E172" s="1070">
        <v>7320</v>
      </c>
      <c r="F172" s="1097"/>
      <c r="H172" s="1095"/>
    </row>
    <row r="173" spans="1:8" s="1064" customFormat="1" ht="14.25" customHeight="1" thickBot="1">
      <c r="A173" s="1076" t="s">
        <v>1374</v>
      </c>
      <c r="B173" s="1070" t="s">
        <v>1195</v>
      </c>
      <c r="C173" s="1070">
        <v>6860</v>
      </c>
      <c r="D173" s="1070">
        <v>6810</v>
      </c>
      <c r="E173" s="1070">
        <v>7440</v>
      </c>
      <c r="F173" s="1097"/>
      <c r="H173" s="1095"/>
    </row>
    <row r="174" spans="1:8" s="1064" customFormat="1" ht="14.25" customHeight="1" thickBot="1">
      <c r="A174" s="1076" t="s">
        <v>1374</v>
      </c>
      <c r="B174" s="1070" t="s">
        <v>1205</v>
      </c>
      <c r="C174" s="1070">
        <v>7120</v>
      </c>
      <c r="D174" s="1070">
        <v>7090</v>
      </c>
      <c r="E174" s="1070">
        <v>7500</v>
      </c>
      <c r="F174" s="1088">
        <v>1490</v>
      </c>
      <c r="H174" s="1095"/>
    </row>
    <row r="175" spans="1:8" s="1064" customFormat="1" ht="14.25" customHeight="1" thickBot="1">
      <c r="A175" s="1076" t="s">
        <v>1374</v>
      </c>
      <c r="B175" s="1070" t="s">
        <v>1215</v>
      </c>
      <c r="C175" s="1070">
        <v>7850</v>
      </c>
      <c r="D175" s="1070">
        <v>7820</v>
      </c>
      <c r="E175" s="1070">
        <v>8120</v>
      </c>
      <c r="F175" s="1088">
        <v>1530</v>
      </c>
      <c r="H175" s="1095"/>
    </row>
    <row r="176" spans="1:8" s="1064" customFormat="1" ht="14.25" customHeight="1" thickBot="1">
      <c r="A176" s="1076" t="s">
        <v>1374</v>
      </c>
      <c r="B176" s="1070" t="s">
        <v>1225</v>
      </c>
      <c r="C176" s="1070">
        <v>7620</v>
      </c>
      <c r="D176" s="1070">
        <v>7570</v>
      </c>
      <c r="E176" s="1070">
        <v>7990</v>
      </c>
      <c r="F176" s="1088">
        <v>1480</v>
      </c>
      <c r="H176" s="1095"/>
    </row>
    <row r="177" spans="1:8" s="1064" customFormat="1" ht="14.25" customHeight="1" thickBot="1">
      <c r="A177" s="1076" t="s">
        <v>1374</v>
      </c>
      <c r="B177" s="1070" t="s">
        <v>1234</v>
      </c>
      <c r="C177" s="1070">
        <v>8590</v>
      </c>
      <c r="D177" s="1070">
        <v>8570</v>
      </c>
      <c r="E177" s="1070">
        <v>8740</v>
      </c>
      <c r="F177" s="1088">
        <v>1540</v>
      </c>
      <c r="H177" s="1095"/>
    </row>
    <row r="178" spans="1:8" s="1064" customFormat="1" ht="14.25" customHeight="1" thickBot="1">
      <c r="A178" s="1076" t="s">
        <v>1374</v>
      </c>
      <c r="B178" s="1070" t="s">
        <v>1243</v>
      </c>
      <c r="C178" s="1070">
        <v>7510</v>
      </c>
      <c r="D178" s="1070">
        <v>7470</v>
      </c>
      <c r="E178" s="1070">
        <v>8090</v>
      </c>
      <c r="F178" s="1088">
        <v>1320</v>
      </c>
      <c r="H178" s="1095"/>
    </row>
    <row r="179" spans="1:8" s="1064" customFormat="1" ht="14.25" customHeight="1" thickBot="1">
      <c r="A179" s="1076" t="s">
        <v>1374</v>
      </c>
      <c r="B179" s="1070" t="s">
        <v>1251</v>
      </c>
      <c r="C179" s="1070">
        <v>6380</v>
      </c>
      <c r="D179" s="1070">
        <v>6340</v>
      </c>
      <c r="E179" s="1070">
        <v>6810</v>
      </c>
      <c r="F179" s="1097"/>
      <c r="H179" s="1095"/>
    </row>
    <row r="180" spans="1:8" s="1064" customFormat="1" ht="14.25" customHeight="1" thickBot="1">
      <c r="A180" s="1076" t="s">
        <v>1374</v>
      </c>
      <c r="B180" s="1070" t="s">
        <v>1258</v>
      </c>
      <c r="C180" s="1070">
        <v>7830</v>
      </c>
      <c r="D180" s="1070">
        <v>7800</v>
      </c>
      <c r="E180" s="1070">
        <v>7780</v>
      </c>
      <c r="F180" s="1088">
        <v>1440</v>
      </c>
      <c r="H180" s="1095"/>
    </row>
    <row r="181" spans="1:8" s="1064" customFormat="1" ht="14.25" customHeight="1" thickBot="1">
      <c r="A181" s="1076" t="s">
        <v>1374</v>
      </c>
      <c r="B181" s="1070" t="s">
        <v>1265</v>
      </c>
      <c r="C181" s="1070">
        <v>7110</v>
      </c>
      <c r="D181" s="1070">
        <v>7080</v>
      </c>
      <c r="E181" s="1070">
        <v>7730</v>
      </c>
      <c r="F181" s="1088">
        <v>1350</v>
      </c>
      <c r="H181" s="1095"/>
    </row>
    <row r="182" spans="1:8" s="1064" customFormat="1" ht="14.25" customHeight="1" thickBot="1">
      <c r="A182" s="1076" t="s">
        <v>1374</v>
      </c>
      <c r="B182" s="1070" t="s">
        <v>1272</v>
      </c>
      <c r="C182" s="1070">
        <v>7310</v>
      </c>
      <c r="D182" s="1070">
        <v>7280</v>
      </c>
      <c r="E182" s="1070">
        <v>7950</v>
      </c>
      <c r="F182" s="1088">
        <v>1220</v>
      </c>
      <c r="H182" s="1095"/>
    </row>
    <row r="183" spans="1:8" s="1064" customFormat="1" ht="14.25" customHeight="1" thickBot="1">
      <c r="A183" s="1076" t="s">
        <v>1374</v>
      </c>
      <c r="B183" s="1070" t="s">
        <v>1279</v>
      </c>
      <c r="C183" s="1070">
        <v>7470</v>
      </c>
      <c r="D183" s="1070">
        <v>7440</v>
      </c>
      <c r="E183" s="1070">
        <v>7880</v>
      </c>
      <c r="F183" s="1097"/>
      <c r="H183" s="1095"/>
    </row>
    <row r="184" spans="1:8" s="1064" customFormat="1" ht="14.25" customHeight="1" thickBot="1">
      <c r="A184" s="1076" t="s">
        <v>1374</v>
      </c>
      <c r="B184" s="1070" t="s">
        <v>1286</v>
      </c>
      <c r="C184" s="1070">
        <v>6960</v>
      </c>
      <c r="D184" s="1070">
        <v>6930</v>
      </c>
      <c r="E184" s="1070">
        <v>7570</v>
      </c>
      <c r="F184" s="1097"/>
      <c r="H184" s="1095"/>
    </row>
    <row r="185" spans="1:8" s="1064" customFormat="1" ht="14.25" customHeight="1" thickBot="1">
      <c r="A185" s="1076" t="s">
        <v>1374</v>
      </c>
      <c r="B185" s="1070" t="s">
        <v>1293</v>
      </c>
      <c r="C185" s="1070">
        <v>7260</v>
      </c>
      <c r="D185" s="1070">
        <v>7230</v>
      </c>
      <c r="E185" s="1070">
        <v>7710</v>
      </c>
      <c r="F185" s="1088">
        <v>1360</v>
      </c>
      <c r="H185" s="1095"/>
    </row>
    <row r="186" spans="1:8" s="1064" customFormat="1" ht="14.25" customHeight="1" thickBot="1">
      <c r="A186" s="1076" t="s">
        <v>1374</v>
      </c>
      <c r="B186" s="1070" t="s">
        <v>1298</v>
      </c>
      <c r="C186" s="1070"/>
      <c r="D186" s="1070"/>
      <c r="E186" s="1070"/>
      <c r="F186" s="1088">
        <v>1560</v>
      </c>
      <c r="H186" s="1095"/>
    </row>
    <row r="187" spans="1:8" s="1064" customFormat="1" ht="14.25" customHeight="1" thickBot="1">
      <c r="A187" s="1076" t="s">
        <v>1374</v>
      </c>
      <c r="B187" s="1070" t="s">
        <v>1302</v>
      </c>
      <c r="C187" s="1070"/>
      <c r="D187" s="1070"/>
      <c r="E187" s="1070"/>
      <c r="F187" s="1088">
        <v>1560</v>
      </c>
      <c r="H187" s="1095"/>
    </row>
    <row r="188" spans="1:8" s="1064" customFormat="1" ht="14.25" customHeight="1" thickBot="1">
      <c r="A188" s="1076" t="s">
        <v>1374</v>
      </c>
      <c r="B188" s="1070" t="s">
        <v>1307</v>
      </c>
      <c r="C188" s="1070"/>
      <c r="D188" s="1070"/>
      <c r="E188" s="1070"/>
      <c r="F188" s="1088">
        <v>1560</v>
      </c>
      <c r="H188" s="1095"/>
    </row>
    <row r="189" spans="1:8" s="1064" customFormat="1" ht="14.25" customHeight="1" thickBot="1">
      <c r="A189" s="1076" t="s">
        <v>1374</v>
      </c>
      <c r="B189" s="1070" t="s">
        <v>1312</v>
      </c>
      <c r="C189" s="1070"/>
      <c r="D189" s="1070"/>
      <c r="E189" s="1070"/>
      <c r="F189" s="1088">
        <v>1320</v>
      </c>
      <c r="H189" s="1095"/>
    </row>
    <row r="190" spans="1:8" s="1064" customFormat="1" ht="14.25" customHeight="1" thickBot="1">
      <c r="A190" s="1076" t="s">
        <v>1374</v>
      </c>
      <c r="B190" s="1070" t="s">
        <v>1317</v>
      </c>
      <c r="C190" s="1070"/>
      <c r="D190" s="1070"/>
      <c r="E190" s="1070"/>
      <c r="F190" s="1088">
        <v>1320</v>
      </c>
      <c r="H190" s="1095"/>
    </row>
    <row r="191" spans="1:8" s="1064" customFormat="1" ht="14.25" customHeight="1" thickBot="1">
      <c r="A191" s="1076" t="s">
        <v>1374</v>
      </c>
      <c r="B191" s="1070" t="s">
        <v>1322</v>
      </c>
      <c r="C191" s="1070"/>
      <c r="D191" s="1070"/>
      <c r="E191" s="1070"/>
      <c r="F191" s="1088">
        <v>1320</v>
      </c>
      <c r="H191" s="1095"/>
    </row>
    <row r="192" spans="1:8" s="1064" customFormat="1" ht="14.25" customHeight="1" thickBot="1">
      <c r="A192" s="1076" t="s">
        <v>1374</v>
      </c>
      <c r="B192" s="1070" t="s">
        <v>1326</v>
      </c>
      <c r="C192" s="1070"/>
      <c r="D192" s="1070"/>
      <c r="E192" s="1070"/>
      <c r="F192" s="1088">
        <v>1100</v>
      </c>
      <c r="H192" s="1095"/>
    </row>
    <row r="193" spans="1:8" s="1064" customFormat="1" ht="14.25" customHeight="1" thickBot="1">
      <c r="A193" s="1076" t="s">
        <v>1374</v>
      </c>
      <c r="B193" s="1070" t="s">
        <v>1330</v>
      </c>
      <c r="C193" s="1070"/>
      <c r="D193" s="1070"/>
      <c r="E193" s="1070"/>
      <c r="F193" s="1088">
        <v>1100</v>
      </c>
      <c r="H193" s="1095"/>
    </row>
    <row r="194" spans="1:8" s="1064" customFormat="1" ht="14.25" customHeight="1" thickBot="1">
      <c r="A194" s="1076" t="s">
        <v>1374</v>
      </c>
      <c r="B194" s="1070" t="s">
        <v>1334</v>
      </c>
      <c r="C194" s="1070"/>
      <c r="D194" s="1070"/>
      <c r="E194" s="1070"/>
      <c r="F194" s="1088">
        <v>1080</v>
      </c>
      <c r="H194" s="1095"/>
    </row>
    <row r="195" spans="1:8" s="1064" customFormat="1" ht="14.25" customHeight="1" thickBot="1">
      <c r="A195" s="1076" t="s">
        <v>1374</v>
      </c>
      <c r="B195" s="1070" t="s">
        <v>1338</v>
      </c>
      <c r="C195" s="1070"/>
      <c r="D195" s="1070"/>
      <c r="E195" s="1070"/>
      <c r="F195" s="1088">
        <v>1270</v>
      </c>
      <c r="H195" s="1095"/>
    </row>
    <row r="196" spans="1:8" s="1064" customFormat="1" ht="14.25" customHeight="1" thickBot="1">
      <c r="A196" s="1076" t="s">
        <v>1374</v>
      </c>
      <c r="B196" s="1070" t="s">
        <v>1342</v>
      </c>
      <c r="C196" s="1070"/>
      <c r="D196" s="1070"/>
      <c r="E196" s="1070"/>
      <c r="F196" s="1088">
        <v>1150</v>
      </c>
      <c r="H196" s="1095"/>
    </row>
    <row r="197" spans="1:8" s="1064" customFormat="1" ht="14.25" customHeight="1" thickBot="1">
      <c r="A197" s="1076" t="s">
        <v>1374</v>
      </c>
      <c r="B197" s="1070" t="s">
        <v>1346</v>
      </c>
      <c r="C197" s="1070"/>
      <c r="D197" s="1070"/>
      <c r="E197" s="1070"/>
      <c r="F197" s="1088">
        <v>1330</v>
      </c>
      <c r="H197" s="1095"/>
    </row>
    <row r="198" spans="1:8" s="1064" customFormat="1" ht="14.25" customHeight="1" thickBot="1">
      <c r="A198" s="1076" t="s">
        <v>1374</v>
      </c>
      <c r="B198" s="1070" t="s">
        <v>1349</v>
      </c>
      <c r="C198" s="1070"/>
      <c r="D198" s="1070"/>
      <c r="E198" s="1070"/>
      <c r="F198" s="1088">
        <v>1170</v>
      </c>
      <c r="H198" s="1095"/>
    </row>
    <row r="199" spans="1:8" s="1064" customFormat="1" ht="14.25" customHeight="1" thickBot="1">
      <c r="A199" s="1076" t="s">
        <v>1374</v>
      </c>
      <c r="B199" s="1070" t="s">
        <v>1352</v>
      </c>
      <c r="C199" s="1070"/>
      <c r="D199" s="1070"/>
      <c r="E199" s="1070"/>
      <c r="F199" s="1088">
        <v>1120</v>
      </c>
      <c r="H199" s="1095"/>
    </row>
    <row r="200" spans="1:8" s="1064" customFormat="1" ht="14.25" customHeight="1" thickBot="1">
      <c r="A200" s="1076" t="s">
        <v>1374</v>
      </c>
      <c r="B200" s="1070" t="s">
        <v>1355</v>
      </c>
      <c r="C200" s="1070"/>
      <c r="D200" s="1070"/>
      <c r="E200" s="1070"/>
      <c r="F200" s="1088">
        <v>1120</v>
      </c>
      <c r="H200" s="1095"/>
    </row>
    <row r="201" spans="1:8" s="1064" customFormat="1" ht="14.25" customHeight="1" thickBot="1">
      <c r="A201" s="1076" t="s">
        <v>1374</v>
      </c>
      <c r="B201" s="1070" t="s">
        <v>1358</v>
      </c>
      <c r="C201" s="1070"/>
      <c r="D201" s="1070"/>
      <c r="E201" s="1070"/>
      <c r="F201" s="1088">
        <v>1540</v>
      </c>
      <c r="H201" s="1095"/>
    </row>
    <row r="202" spans="1:8" s="1064" customFormat="1" ht="14.25" customHeight="1" thickBot="1">
      <c r="A202" s="1076" t="s">
        <v>1374</v>
      </c>
      <c r="B202" s="1070" t="s">
        <v>1361</v>
      </c>
      <c r="C202" s="1070"/>
      <c r="D202" s="1070"/>
      <c r="E202" s="1070"/>
      <c r="F202" s="1088">
        <v>1310</v>
      </c>
      <c r="H202" s="1095"/>
    </row>
    <row r="203" spans="1:8" s="1064" customFormat="1" ht="14.25" customHeight="1" thickBot="1">
      <c r="A203" s="1076" t="s">
        <v>1374</v>
      </c>
      <c r="B203" s="1070" t="s">
        <v>1364</v>
      </c>
      <c r="C203" s="1070"/>
      <c r="D203" s="1070"/>
      <c r="E203" s="1070"/>
      <c r="F203" s="1088">
        <v>1310</v>
      </c>
      <c r="H203" s="1095"/>
    </row>
    <row r="204" spans="1:8" s="1064" customFormat="1" ht="14.25" customHeight="1" thickBot="1">
      <c r="A204" s="1076" t="s">
        <v>1374</v>
      </c>
      <c r="B204" s="1070" t="s">
        <v>1366</v>
      </c>
      <c r="C204" s="1070"/>
      <c r="D204" s="1070"/>
      <c r="E204" s="1070"/>
      <c r="F204" s="1088">
        <v>1080</v>
      </c>
      <c r="H204" s="1095"/>
    </row>
    <row r="205" spans="1:8" s="1064" customFormat="1" ht="14.25" customHeight="1" thickBot="1">
      <c r="A205" s="1076" t="s">
        <v>1374</v>
      </c>
      <c r="B205" s="1070" t="s">
        <v>1369</v>
      </c>
      <c r="C205" s="1070"/>
      <c r="D205" s="1070"/>
      <c r="E205" s="1070"/>
      <c r="F205" s="1088">
        <v>1080</v>
      </c>
      <c r="H205" s="1095"/>
    </row>
    <row r="206" spans="1:8" s="1064" customFormat="1" ht="14.25" customHeight="1" thickBot="1">
      <c r="A206" s="1076" t="s">
        <v>1376</v>
      </c>
      <c r="B206" s="1077" t="s">
        <v>1377</v>
      </c>
      <c r="C206" s="1077">
        <v>5450</v>
      </c>
      <c r="D206" s="1077">
        <v>5430</v>
      </c>
      <c r="E206" s="1077">
        <v>5700</v>
      </c>
      <c r="F206" s="1078">
        <v>1020</v>
      </c>
      <c r="H206" s="1095"/>
    </row>
    <row r="207" spans="1:8" s="1064" customFormat="1" ht="14.25" customHeight="1" thickBot="1">
      <c r="A207" s="1076" t="s">
        <v>1376</v>
      </c>
      <c r="B207" s="1070" t="s">
        <v>1040</v>
      </c>
      <c r="C207" s="1070">
        <v>5860</v>
      </c>
      <c r="D207" s="1070">
        <v>5820</v>
      </c>
      <c r="E207" s="1070">
        <v>6050</v>
      </c>
      <c r="F207" s="1088">
        <v>1080</v>
      </c>
      <c r="H207" s="1095"/>
    </row>
    <row r="208" spans="1:8" s="1064" customFormat="1" ht="14.25" customHeight="1" thickBot="1">
      <c r="A208" s="1076" t="s">
        <v>1376</v>
      </c>
      <c r="B208" s="1070" t="s">
        <v>1054</v>
      </c>
      <c r="C208" s="1070">
        <v>4630</v>
      </c>
      <c r="D208" s="1070">
        <v>4600</v>
      </c>
      <c r="E208" s="1070">
        <v>4840</v>
      </c>
      <c r="F208" s="1088">
        <v>900</v>
      </c>
      <c r="H208" s="1095"/>
    </row>
    <row r="209" spans="1:8" s="1064" customFormat="1" ht="14.25" customHeight="1" thickBot="1">
      <c r="A209" s="1076" t="s">
        <v>1376</v>
      </c>
      <c r="B209" s="1070" t="s">
        <v>1067</v>
      </c>
      <c r="C209" s="1070">
        <v>5320</v>
      </c>
      <c r="D209" s="1070">
        <v>5270</v>
      </c>
      <c r="E209" s="1070">
        <v>5540</v>
      </c>
      <c r="F209" s="1088">
        <v>980</v>
      </c>
      <c r="H209" s="1095"/>
    </row>
    <row r="210" spans="1:8" s="1064" customFormat="1" ht="14.25" customHeight="1" thickBot="1">
      <c r="A210" s="1076" t="s">
        <v>1376</v>
      </c>
      <c r="B210" s="1070" t="s">
        <v>1081</v>
      </c>
      <c r="C210" s="1070">
        <v>5760</v>
      </c>
      <c r="D210" s="1070">
        <v>5710</v>
      </c>
      <c r="E210" s="1070">
        <v>6010</v>
      </c>
      <c r="F210" s="1088">
        <v>870</v>
      </c>
      <c r="H210" s="1095"/>
    </row>
    <row r="211" spans="1:8" s="1064" customFormat="1" ht="14.25" customHeight="1" thickBot="1">
      <c r="A211" s="1076" t="s">
        <v>1376</v>
      </c>
      <c r="B211" s="1070" t="s">
        <v>1092</v>
      </c>
      <c r="C211" s="1070">
        <v>4160</v>
      </c>
      <c r="D211" s="1070">
        <v>4100</v>
      </c>
      <c r="E211" s="1070">
        <v>4270</v>
      </c>
      <c r="F211" s="1088">
        <v>790</v>
      </c>
      <c r="H211" s="1095"/>
    </row>
    <row r="212" spans="1:8" s="1064" customFormat="1" ht="14.25" customHeight="1" thickBot="1">
      <c r="A212" s="1076" t="s">
        <v>1376</v>
      </c>
      <c r="B212" s="1070" t="s">
        <v>1103</v>
      </c>
      <c r="C212" s="1070">
        <v>4880</v>
      </c>
      <c r="D212" s="1070">
        <v>4850</v>
      </c>
      <c r="E212" s="1070">
        <v>5110</v>
      </c>
      <c r="F212" s="1088">
        <v>940</v>
      </c>
      <c r="H212" s="1095"/>
    </row>
    <row r="213" spans="1:8" s="1064" customFormat="1" ht="14.25" customHeight="1" thickBot="1">
      <c r="A213" s="1076" t="s">
        <v>1376</v>
      </c>
      <c r="B213" s="1070" t="s">
        <v>1114</v>
      </c>
      <c r="C213" s="1070">
        <v>4640</v>
      </c>
      <c r="D213" s="1070">
        <v>4590</v>
      </c>
      <c r="E213" s="1070">
        <v>4700</v>
      </c>
      <c r="F213" s="1088">
        <v>1030</v>
      </c>
      <c r="H213" s="1095"/>
    </row>
    <row r="214" spans="1:8" s="1064" customFormat="1" ht="14.25" customHeight="1" thickBot="1">
      <c r="A214" s="1076" t="s">
        <v>1376</v>
      </c>
      <c r="B214" s="1070" t="s">
        <v>1126</v>
      </c>
      <c r="C214" s="1070">
        <v>4540</v>
      </c>
      <c r="D214" s="1070">
        <v>4490</v>
      </c>
      <c r="E214" s="1070">
        <v>4610</v>
      </c>
      <c r="F214" s="1097"/>
      <c r="H214" s="1095"/>
    </row>
    <row r="215" spans="1:8" s="1064" customFormat="1" ht="14.25" customHeight="1" thickBot="1">
      <c r="A215" s="1076" t="s">
        <v>1376</v>
      </c>
      <c r="B215" s="1070" t="s">
        <v>1136</v>
      </c>
      <c r="C215" s="1070">
        <v>5280</v>
      </c>
      <c r="D215" s="1070">
        <v>5250</v>
      </c>
      <c r="E215" s="1070">
        <v>5520</v>
      </c>
      <c r="F215" s="1088">
        <v>1000</v>
      </c>
      <c r="H215" s="1095"/>
    </row>
    <row r="216" spans="1:8" s="1064" customFormat="1" ht="14.25" customHeight="1" thickBot="1">
      <c r="A216" s="1076" t="s">
        <v>1376</v>
      </c>
      <c r="B216" s="1070" t="s">
        <v>1146</v>
      </c>
      <c r="C216" s="1070">
        <v>5100</v>
      </c>
      <c r="D216" s="1070">
        <v>5050</v>
      </c>
      <c r="E216" s="1070">
        <v>5300</v>
      </c>
      <c r="F216" s="1088">
        <v>950</v>
      </c>
      <c r="H216" s="1095"/>
    </row>
    <row r="217" spans="1:8" s="1064" customFormat="1" ht="14.25" customHeight="1" thickBot="1">
      <c r="A217" s="1076" t="s">
        <v>1376</v>
      </c>
      <c r="B217" s="1070" t="s">
        <v>1156</v>
      </c>
      <c r="C217" s="1070">
        <v>5370</v>
      </c>
      <c r="D217" s="1070">
        <v>5320</v>
      </c>
      <c r="E217" s="1070">
        <v>5410</v>
      </c>
      <c r="F217" s="1088">
        <v>950</v>
      </c>
      <c r="H217" s="1095"/>
    </row>
    <row r="218" spans="1:8" s="1064" customFormat="1" ht="14.25" customHeight="1" thickBot="1">
      <c r="A218" s="1076" t="s">
        <v>1376</v>
      </c>
      <c r="B218" s="1070" t="s">
        <v>1166</v>
      </c>
      <c r="C218" s="1070">
        <v>5540</v>
      </c>
      <c r="D218" s="1070">
        <v>5480</v>
      </c>
      <c r="E218" s="1070">
        <v>5740</v>
      </c>
      <c r="F218" s="1088">
        <v>1020</v>
      </c>
      <c r="H218" s="1095"/>
    </row>
    <row r="219" spans="1:8" s="1064" customFormat="1" ht="14.25" customHeight="1" thickBot="1">
      <c r="A219" s="1076" t="s">
        <v>1376</v>
      </c>
      <c r="B219" s="1070" t="s">
        <v>1176</v>
      </c>
      <c r="C219" s="1070">
        <v>5140</v>
      </c>
      <c r="D219" s="1070">
        <v>5100</v>
      </c>
      <c r="E219" s="1070">
        <v>5350</v>
      </c>
      <c r="F219" s="1088">
        <v>1120</v>
      </c>
      <c r="H219" s="1095"/>
    </row>
    <row r="220" spans="1:8" s="1064" customFormat="1" ht="14.25" customHeight="1" thickBot="1">
      <c r="A220" s="1076" t="s">
        <v>1376</v>
      </c>
      <c r="B220" s="1070" t="s">
        <v>1186</v>
      </c>
      <c r="C220" s="1070">
        <v>5040</v>
      </c>
      <c r="D220" s="1070">
        <v>5000</v>
      </c>
      <c r="E220" s="1070">
        <v>5240</v>
      </c>
      <c r="F220" s="1088">
        <v>980</v>
      </c>
      <c r="H220" s="1095"/>
    </row>
    <row r="221" spans="1:8" s="1064" customFormat="1" ht="14.25" customHeight="1" thickBot="1">
      <c r="A221" s="1076" t="s">
        <v>1376</v>
      </c>
      <c r="B221" s="1070" t="s">
        <v>1196</v>
      </c>
      <c r="C221" s="1098"/>
      <c r="D221" s="1098"/>
      <c r="E221" s="1098"/>
      <c r="F221" s="1088">
        <v>1070</v>
      </c>
      <c r="H221" s="1095"/>
    </row>
    <row r="222" spans="1:8" s="1064" customFormat="1" ht="14.25" customHeight="1" thickBot="1">
      <c r="A222" s="1076" t="s">
        <v>1376</v>
      </c>
      <c r="B222" s="1070" t="s">
        <v>1206</v>
      </c>
      <c r="C222" s="1098"/>
      <c r="D222" s="1098"/>
      <c r="E222" s="1098"/>
      <c r="F222" s="1088">
        <v>870</v>
      </c>
      <c r="H222" s="1095"/>
    </row>
    <row r="223" spans="1:8" s="1064" customFormat="1" ht="14.25" customHeight="1" thickBot="1">
      <c r="A223" s="1076" t="s">
        <v>1376</v>
      </c>
      <c r="B223" s="1070" t="s">
        <v>1216</v>
      </c>
      <c r="C223" s="1098"/>
      <c r="D223" s="1098"/>
      <c r="E223" s="1098"/>
      <c r="F223" s="1088">
        <v>940</v>
      </c>
      <c r="H223" s="1095"/>
    </row>
    <row r="224" spans="1:8" s="1064" customFormat="1" ht="14.25" customHeight="1" thickBot="1">
      <c r="A224" s="1076" t="s">
        <v>1376</v>
      </c>
      <c r="B224" s="1070" t="s">
        <v>1226</v>
      </c>
      <c r="C224" s="1098"/>
      <c r="D224" s="1098"/>
      <c r="E224" s="1098"/>
      <c r="F224" s="1088">
        <v>990</v>
      </c>
      <c r="H224" s="1095"/>
    </row>
    <row r="225" spans="1:8" s="1064" customFormat="1" ht="14.25" customHeight="1" thickBot="1">
      <c r="A225" s="1076" t="s">
        <v>1376</v>
      </c>
      <c r="B225" s="1070" t="s">
        <v>1235</v>
      </c>
      <c r="C225" s="1070">
        <v>5730</v>
      </c>
      <c r="D225" s="1070">
        <v>5680</v>
      </c>
      <c r="E225" s="1070">
        <v>6020</v>
      </c>
      <c r="F225" s="1088">
        <v>1000</v>
      </c>
      <c r="H225" s="1095"/>
    </row>
    <row r="226" spans="1:8" s="1064" customFormat="1" ht="14.25" customHeight="1" thickBot="1">
      <c r="A226" s="1076" t="s">
        <v>1376</v>
      </c>
      <c r="B226" s="1070" t="s">
        <v>1244</v>
      </c>
      <c r="C226" s="1070">
        <v>4970</v>
      </c>
      <c r="D226" s="1070">
        <v>4940</v>
      </c>
      <c r="E226" s="1070">
        <v>5180</v>
      </c>
      <c r="F226" s="1088">
        <v>960</v>
      </c>
      <c r="H226" s="1095"/>
    </row>
    <row r="227" spans="1:8" s="1064" customFormat="1" ht="14.25" customHeight="1" thickBot="1">
      <c r="A227" s="1076" t="s">
        <v>1376</v>
      </c>
      <c r="B227" s="1070" t="s">
        <v>1252</v>
      </c>
      <c r="C227" s="1070">
        <v>5550</v>
      </c>
      <c r="D227" s="1070">
        <v>5500</v>
      </c>
      <c r="E227" s="1070">
        <v>5780</v>
      </c>
      <c r="F227" s="1088">
        <v>940</v>
      </c>
      <c r="H227" s="1095"/>
    </row>
    <row r="228" spans="1:8" s="1064" customFormat="1" ht="14.25" customHeight="1" thickBot="1">
      <c r="A228" s="1076" t="s">
        <v>1376</v>
      </c>
      <c r="B228" s="1070" t="s">
        <v>1259</v>
      </c>
      <c r="C228" s="1070">
        <v>5460</v>
      </c>
      <c r="D228" s="1070">
        <v>5420</v>
      </c>
      <c r="E228" s="1070">
        <v>5690</v>
      </c>
      <c r="F228" s="1088">
        <v>910</v>
      </c>
      <c r="H228" s="1095"/>
    </row>
    <row r="229" spans="1:8" s="1064" customFormat="1" ht="14.25" customHeight="1" thickBot="1">
      <c r="A229" s="1076" t="s">
        <v>1376</v>
      </c>
      <c r="B229" s="1070" t="s">
        <v>1266</v>
      </c>
      <c r="C229" s="1070">
        <v>5310</v>
      </c>
      <c r="D229" s="1070">
        <v>5270</v>
      </c>
      <c r="E229" s="1070">
        <v>5510</v>
      </c>
      <c r="F229" s="1097"/>
      <c r="H229" s="1095"/>
    </row>
    <row r="230" spans="1:8" s="1064" customFormat="1" ht="14.25" customHeight="1" thickBot="1">
      <c r="A230" s="1076" t="s">
        <v>1376</v>
      </c>
      <c r="B230" s="1070" t="s">
        <v>1273</v>
      </c>
      <c r="C230" s="1070">
        <v>4540</v>
      </c>
      <c r="D230" s="1070">
        <v>4500</v>
      </c>
      <c r="E230" s="1070">
        <v>4730</v>
      </c>
      <c r="F230" s="1097"/>
      <c r="H230" s="1095"/>
    </row>
    <row r="231" spans="1:8" s="1064" customFormat="1" ht="14.25" customHeight="1" thickBot="1">
      <c r="A231" s="1076" t="s">
        <v>1376</v>
      </c>
      <c r="B231" s="1070" t="s">
        <v>1280</v>
      </c>
      <c r="C231" s="1070">
        <v>4480</v>
      </c>
      <c r="D231" s="1070">
        <v>4410</v>
      </c>
      <c r="E231" s="1070">
        <v>4640</v>
      </c>
      <c r="F231" s="1097"/>
      <c r="H231" s="1095"/>
    </row>
    <row r="232" spans="1:8" s="1064" customFormat="1" ht="14.25" customHeight="1" thickBot="1">
      <c r="A232" s="1076" t="s">
        <v>1376</v>
      </c>
      <c r="B232" s="1070" t="s">
        <v>1287</v>
      </c>
      <c r="C232" s="1070">
        <v>5670</v>
      </c>
      <c r="D232" s="1070">
        <v>5600</v>
      </c>
      <c r="E232" s="1070">
        <v>5890</v>
      </c>
      <c r="F232" s="1088">
        <v>1150</v>
      </c>
      <c r="H232" s="1095"/>
    </row>
    <row r="233" spans="1:8" s="1064" customFormat="1" ht="14.25" customHeight="1" thickBot="1">
      <c r="A233" s="1076" t="s">
        <v>1376</v>
      </c>
      <c r="B233" s="1070" t="s">
        <v>1294</v>
      </c>
      <c r="C233" s="1070">
        <v>4590</v>
      </c>
      <c r="D233" s="1070">
        <v>4500</v>
      </c>
      <c r="E233" s="1070">
        <v>4600</v>
      </c>
      <c r="F233" s="1097"/>
      <c r="H233" s="1095"/>
    </row>
    <row r="234" spans="1:8" s="1064" customFormat="1" ht="14.25" customHeight="1" thickBot="1">
      <c r="A234" s="1076" t="s">
        <v>1376</v>
      </c>
      <c r="B234" s="1070" t="s">
        <v>2380</v>
      </c>
      <c r="C234" s="1070">
        <v>3990</v>
      </c>
      <c r="D234" s="1070">
        <v>3950</v>
      </c>
      <c r="E234" s="1070">
        <v>4180</v>
      </c>
      <c r="F234" s="1097"/>
      <c r="H234" s="1095"/>
    </row>
    <row r="235" spans="1:8" s="1064" customFormat="1" ht="14.25" customHeight="1" thickBot="1">
      <c r="A235" s="1076" t="s">
        <v>1376</v>
      </c>
      <c r="B235" s="1070" t="s">
        <v>1303</v>
      </c>
      <c r="C235" s="1070">
        <v>5590</v>
      </c>
      <c r="D235" s="1070">
        <v>5540</v>
      </c>
      <c r="E235" s="1070">
        <v>5810</v>
      </c>
      <c r="F235" s="1088">
        <v>970</v>
      </c>
      <c r="H235" s="1095"/>
    </row>
    <row r="236" spans="1:8" s="1064" customFormat="1" ht="14.25" customHeight="1" thickBot="1">
      <c r="A236" s="1076" t="s">
        <v>1376</v>
      </c>
      <c r="B236" s="1070" t="s">
        <v>1308</v>
      </c>
      <c r="C236" s="1070"/>
      <c r="D236" s="1070"/>
      <c r="E236" s="1070"/>
      <c r="F236" s="1088">
        <v>1020</v>
      </c>
      <c r="H236" s="1095"/>
    </row>
    <row r="237" spans="1:8" s="1064" customFormat="1" ht="14.25" customHeight="1" thickBot="1">
      <c r="A237" s="1076" t="s">
        <v>1376</v>
      </c>
      <c r="B237" s="1070" t="s">
        <v>1313</v>
      </c>
      <c r="C237" s="1070"/>
      <c r="D237" s="1070"/>
      <c r="E237" s="1070"/>
      <c r="F237" s="1088">
        <v>960</v>
      </c>
      <c r="H237" s="1095"/>
    </row>
    <row r="238" spans="1:8" s="1064" customFormat="1" ht="14.25" customHeight="1" thickBot="1">
      <c r="A238" s="1076" t="s">
        <v>1376</v>
      </c>
      <c r="B238" s="1070" t="s">
        <v>1318</v>
      </c>
      <c r="C238" s="1070"/>
      <c r="D238" s="1070"/>
      <c r="E238" s="1070"/>
      <c r="F238" s="1088">
        <v>960</v>
      </c>
      <c r="H238" s="1095"/>
    </row>
    <row r="239" spans="1:8" s="1064" customFormat="1" ht="14.25" customHeight="1" thickBot="1">
      <c r="A239" s="1076" t="s">
        <v>1376</v>
      </c>
      <c r="B239" s="1070" t="s">
        <v>1323</v>
      </c>
      <c r="C239" s="1070"/>
      <c r="D239" s="1070"/>
      <c r="E239" s="1070"/>
      <c r="F239" s="1088">
        <v>960</v>
      </c>
      <c r="H239" s="1095"/>
    </row>
    <row r="240" spans="1:8" s="1064" customFormat="1" ht="14.25" customHeight="1" thickBot="1">
      <c r="A240" s="1076" t="s">
        <v>1376</v>
      </c>
      <c r="B240" s="1070" t="s">
        <v>1327</v>
      </c>
      <c r="C240" s="1070"/>
      <c r="D240" s="1070"/>
      <c r="E240" s="1070"/>
      <c r="F240" s="1088">
        <v>990</v>
      </c>
      <c r="H240" s="1095"/>
    </row>
    <row r="241" spans="1:8" s="1064" customFormat="1" ht="14.25" customHeight="1" thickBot="1">
      <c r="A241" s="1076" t="s">
        <v>1376</v>
      </c>
      <c r="B241" s="1070" t="s">
        <v>1331</v>
      </c>
      <c r="C241" s="1070"/>
      <c r="D241" s="1070"/>
      <c r="E241" s="1070"/>
      <c r="F241" s="1088">
        <v>1000</v>
      </c>
      <c r="H241" s="1095"/>
    </row>
    <row r="242" spans="1:8" s="1064" customFormat="1" ht="14.25" customHeight="1" thickBot="1">
      <c r="A242" s="1076" t="s">
        <v>1376</v>
      </c>
      <c r="B242" s="1070" t="s">
        <v>1335</v>
      </c>
      <c r="C242" s="1070"/>
      <c r="D242" s="1070"/>
      <c r="E242" s="1070"/>
      <c r="F242" s="1088">
        <v>980</v>
      </c>
      <c r="H242" s="1095"/>
    </row>
    <row r="243" spans="1:8" s="1064" customFormat="1" ht="14.25" customHeight="1" thickBot="1">
      <c r="A243" s="1076" t="s">
        <v>1376</v>
      </c>
      <c r="B243" s="1070" t="s">
        <v>1339</v>
      </c>
      <c r="C243" s="1070"/>
      <c r="D243" s="1070"/>
      <c r="E243" s="1070"/>
      <c r="F243" s="1088">
        <v>970</v>
      </c>
      <c r="H243" s="1095"/>
    </row>
    <row r="244" spans="1:8" s="1064" customFormat="1" ht="14.25" customHeight="1" thickBot="1">
      <c r="A244" s="1076" t="s">
        <v>1376</v>
      </c>
      <c r="B244" s="1086" t="s">
        <v>1343</v>
      </c>
      <c r="C244" s="1086"/>
      <c r="D244" s="1086"/>
      <c r="E244" s="1086"/>
      <c r="F244" s="1096">
        <v>970</v>
      </c>
      <c r="H244" s="1095"/>
    </row>
    <row r="245" spans="1:8" s="1064" customFormat="1" ht="14.25" customHeight="1" thickBot="1">
      <c r="A245" s="1076" t="s">
        <v>1378</v>
      </c>
      <c r="B245" s="1077" t="s">
        <v>1379</v>
      </c>
      <c r="C245" s="1077">
        <v>4050</v>
      </c>
      <c r="D245" s="1077">
        <v>4020</v>
      </c>
      <c r="E245" s="1077">
        <v>4160</v>
      </c>
      <c r="F245" s="1078">
        <v>840</v>
      </c>
      <c r="H245" s="1095"/>
    </row>
    <row r="246" spans="1:8" s="1064" customFormat="1" ht="14.25" customHeight="1" thickBot="1">
      <c r="A246" s="1076" t="s">
        <v>1378</v>
      </c>
      <c r="B246" s="1070" t="s">
        <v>1041</v>
      </c>
      <c r="C246" s="1070">
        <v>4010</v>
      </c>
      <c r="D246" s="1070">
        <v>3960</v>
      </c>
      <c r="E246" s="1070">
        <v>4130</v>
      </c>
      <c r="F246" s="1088">
        <v>840</v>
      </c>
      <c r="H246" s="1095"/>
    </row>
    <row r="247" spans="1:8" s="1064" customFormat="1" ht="14.25" customHeight="1" thickBot="1">
      <c r="A247" s="1076" t="s">
        <v>1378</v>
      </c>
      <c r="B247" s="1070" t="s">
        <v>1380</v>
      </c>
      <c r="C247" s="1070">
        <v>3170</v>
      </c>
      <c r="D247" s="1070">
        <v>3140</v>
      </c>
      <c r="E247" s="1070">
        <v>3270</v>
      </c>
      <c r="F247" s="1088">
        <v>640</v>
      </c>
      <c r="H247" s="1095"/>
    </row>
    <row r="248" spans="1:8" s="1064" customFormat="1" ht="14.25" customHeight="1" thickBot="1">
      <c r="A248" s="1076" t="s">
        <v>1378</v>
      </c>
      <c r="B248" s="1070" t="s">
        <v>1381</v>
      </c>
      <c r="C248" s="1070">
        <v>3140</v>
      </c>
      <c r="D248" s="1070">
        <v>3120</v>
      </c>
      <c r="E248" s="1070">
        <v>3240</v>
      </c>
      <c r="F248" s="1088">
        <v>620</v>
      </c>
      <c r="H248" s="1095"/>
    </row>
    <row r="249" spans="1:8" s="1064" customFormat="1" ht="14.25" customHeight="1" thickBot="1">
      <c r="A249" s="1076" t="s">
        <v>1378</v>
      </c>
      <c r="B249" s="1070" t="s">
        <v>1082</v>
      </c>
      <c r="C249" s="1070">
        <v>3200</v>
      </c>
      <c r="D249" s="1070">
        <v>3100</v>
      </c>
      <c r="E249" s="1070">
        <v>3230</v>
      </c>
      <c r="F249" s="1088">
        <v>750</v>
      </c>
      <c r="H249" s="1095"/>
    </row>
    <row r="250" spans="1:8" s="1064" customFormat="1" ht="14.25" customHeight="1" thickBot="1">
      <c r="A250" s="1076" t="s">
        <v>1378</v>
      </c>
      <c r="B250" s="1070" t="s">
        <v>1093</v>
      </c>
      <c r="C250" s="1070">
        <v>4060</v>
      </c>
      <c r="D250" s="1070">
        <v>4000</v>
      </c>
      <c r="E250" s="1070">
        <v>4140</v>
      </c>
      <c r="F250" s="1088">
        <v>790</v>
      </c>
      <c r="H250" s="1095"/>
    </row>
    <row r="251" spans="1:8" s="1064" customFormat="1" ht="14.25" customHeight="1" thickBot="1">
      <c r="A251" s="1076" t="s">
        <v>1378</v>
      </c>
      <c r="B251" s="1070" t="s">
        <v>1104</v>
      </c>
      <c r="C251" s="1070">
        <v>3990</v>
      </c>
      <c r="D251" s="1070">
        <v>3970</v>
      </c>
      <c r="E251" s="1070">
        <v>4110</v>
      </c>
      <c r="F251" s="1088">
        <v>730</v>
      </c>
      <c r="H251" s="1095"/>
    </row>
    <row r="252" spans="1:8" s="1064" customFormat="1" ht="14.25" customHeight="1" thickBot="1">
      <c r="A252" s="1076" t="s">
        <v>1378</v>
      </c>
      <c r="B252" s="1070" t="s">
        <v>1115</v>
      </c>
      <c r="C252" s="1070">
        <v>3560</v>
      </c>
      <c r="D252" s="1070">
        <v>3530</v>
      </c>
      <c r="E252" s="1070">
        <v>3650</v>
      </c>
      <c r="F252" s="1088">
        <v>750</v>
      </c>
      <c r="H252" s="1095"/>
    </row>
    <row r="253" spans="1:8" s="1064" customFormat="1" ht="14.25" customHeight="1" thickBot="1">
      <c r="A253" s="1076" t="s">
        <v>1378</v>
      </c>
      <c r="B253" s="1070" t="s">
        <v>1127</v>
      </c>
      <c r="C253" s="1070">
        <v>3780</v>
      </c>
      <c r="D253" s="1070">
        <v>3750</v>
      </c>
      <c r="E253" s="1070">
        <v>3870</v>
      </c>
      <c r="F253" s="1088">
        <v>770</v>
      </c>
      <c r="H253" s="1095"/>
    </row>
    <row r="254" spans="1:8" s="1064" customFormat="1" ht="14.25" customHeight="1" thickBot="1">
      <c r="A254" s="1076" t="s">
        <v>1378</v>
      </c>
      <c r="B254" s="1070" t="s">
        <v>1137</v>
      </c>
      <c r="C254" s="1098"/>
      <c r="D254" s="1098"/>
      <c r="E254" s="1098"/>
      <c r="F254" s="1088">
        <v>740</v>
      </c>
      <c r="H254" s="1095"/>
    </row>
    <row r="255" spans="1:8" s="1064" customFormat="1" ht="14.25" customHeight="1" thickBot="1">
      <c r="A255" s="1076" t="s">
        <v>1378</v>
      </c>
      <c r="B255" s="1070" t="s">
        <v>1147</v>
      </c>
      <c r="C255" s="1098"/>
      <c r="D255" s="1098"/>
      <c r="E255" s="1098"/>
      <c r="F255" s="1088">
        <v>760</v>
      </c>
      <c r="H255" s="1095"/>
    </row>
    <row r="256" spans="1:8" s="1064" customFormat="1" ht="14.25" customHeight="1" thickBot="1">
      <c r="A256" s="1076" t="s">
        <v>1378</v>
      </c>
      <c r="B256" s="1070" t="s">
        <v>1157</v>
      </c>
      <c r="C256" s="1070">
        <v>3760</v>
      </c>
      <c r="D256" s="1070">
        <v>3730</v>
      </c>
      <c r="E256" s="1070">
        <v>3870</v>
      </c>
      <c r="F256" s="1088">
        <v>830</v>
      </c>
      <c r="H256" s="1095"/>
    </row>
    <row r="257" spans="1:8" s="1064" customFormat="1" ht="14.25" customHeight="1" thickBot="1">
      <c r="A257" s="1076" t="s">
        <v>1378</v>
      </c>
      <c r="B257" s="1070" t="s">
        <v>1167</v>
      </c>
      <c r="C257" s="1070">
        <v>3570</v>
      </c>
      <c r="D257" s="1070">
        <v>3540</v>
      </c>
      <c r="E257" s="1070">
        <v>3650</v>
      </c>
      <c r="F257" s="1088">
        <v>790</v>
      </c>
      <c r="H257" s="1095"/>
    </row>
    <row r="258" spans="1:8" s="1064" customFormat="1" ht="14.25" customHeight="1" thickBot="1">
      <c r="A258" s="1076" t="s">
        <v>1378</v>
      </c>
      <c r="B258" s="1070" t="s">
        <v>1177</v>
      </c>
      <c r="C258" s="1070">
        <v>3410</v>
      </c>
      <c r="D258" s="1070">
        <v>3380</v>
      </c>
      <c r="E258" s="1070">
        <v>3500</v>
      </c>
      <c r="F258" s="1088">
        <v>830</v>
      </c>
      <c r="H258" s="1095"/>
    </row>
    <row r="259" spans="1:8" s="1064" customFormat="1" ht="14.25" customHeight="1" thickBot="1">
      <c r="A259" s="1076" t="s">
        <v>1378</v>
      </c>
      <c r="B259" s="1070" t="s">
        <v>1187</v>
      </c>
      <c r="C259" s="1070">
        <v>3870</v>
      </c>
      <c r="D259" s="1070">
        <v>3840</v>
      </c>
      <c r="E259" s="1070">
        <v>3970</v>
      </c>
      <c r="F259" s="1088">
        <v>830</v>
      </c>
      <c r="H259" s="1095"/>
    </row>
    <row r="260" spans="1:8" s="1064" customFormat="1" ht="14.25" customHeight="1" thickBot="1">
      <c r="A260" s="1076" t="s">
        <v>1378</v>
      </c>
      <c r="B260" s="1070" t="s">
        <v>1197</v>
      </c>
      <c r="C260" s="1070">
        <v>3700</v>
      </c>
      <c r="D260" s="1070">
        <v>3660</v>
      </c>
      <c r="E260" s="1070">
        <v>3810</v>
      </c>
      <c r="F260" s="1088">
        <v>790</v>
      </c>
      <c r="H260" s="1095"/>
    </row>
    <row r="261" spans="1:8" s="1064" customFormat="1" ht="14.25" customHeight="1" thickBot="1">
      <c r="A261" s="1076" t="s">
        <v>1378</v>
      </c>
      <c r="B261" s="1070" t="s">
        <v>1207</v>
      </c>
      <c r="C261" s="1070">
        <v>3470</v>
      </c>
      <c r="D261" s="1070">
        <v>3430</v>
      </c>
      <c r="E261" s="1070">
        <v>3640</v>
      </c>
      <c r="F261" s="1088">
        <v>760</v>
      </c>
      <c r="H261" s="1095"/>
    </row>
    <row r="262" spans="1:8" s="1064" customFormat="1" ht="14.25" customHeight="1" thickBot="1">
      <c r="A262" s="1076" t="s">
        <v>1378</v>
      </c>
      <c r="B262" s="1070" t="s">
        <v>1217</v>
      </c>
      <c r="C262" s="1070">
        <v>3510</v>
      </c>
      <c r="D262" s="1070">
        <v>3470</v>
      </c>
      <c r="E262" s="1070">
        <v>3680</v>
      </c>
      <c r="F262" s="1097"/>
      <c r="H262" s="1095"/>
    </row>
    <row r="263" spans="1:8" s="1064" customFormat="1" ht="14.25" customHeight="1" thickBot="1">
      <c r="A263" s="1076" t="s">
        <v>1378</v>
      </c>
      <c r="B263" s="1070" t="s">
        <v>1227</v>
      </c>
      <c r="C263" s="1070">
        <v>3960</v>
      </c>
      <c r="D263" s="1070">
        <v>3930</v>
      </c>
      <c r="E263" s="1070">
        <v>4070</v>
      </c>
      <c r="F263" s="1088">
        <v>830</v>
      </c>
      <c r="H263" s="1095"/>
    </row>
    <row r="264" spans="1:8" s="1064" customFormat="1" ht="14.25" customHeight="1" thickBot="1">
      <c r="A264" s="1076" t="s">
        <v>1378</v>
      </c>
      <c r="B264" s="1070" t="s">
        <v>1236</v>
      </c>
      <c r="C264" s="1070">
        <v>4010</v>
      </c>
      <c r="D264" s="1070">
        <v>3980</v>
      </c>
      <c r="E264" s="1070">
        <v>4150</v>
      </c>
      <c r="F264" s="1088">
        <v>760</v>
      </c>
      <c r="H264" s="1095"/>
    </row>
    <row r="265" spans="1:8" s="1064" customFormat="1" ht="14.25" customHeight="1" thickBot="1">
      <c r="A265" s="1076" t="s">
        <v>1378</v>
      </c>
      <c r="B265" s="1070" t="s">
        <v>1245</v>
      </c>
      <c r="C265" s="1070">
        <v>3910</v>
      </c>
      <c r="D265" s="1070">
        <v>3890</v>
      </c>
      <c r="E265" s="1070">
        <v>4040</v>
      </c>
      <c r="F265" s="1088">
        <v>780</v>
      </c>
      <c r="H265" s="1095"/>
    </row>
    <row r="266" spans="1:8" s="1064" customFormat="1" ht="14.25" customHeight="1" thickBot="1">
      <c r="A266" s="1076" t="s">
        <v>1378</v>
      </c>
      <c r="B266" s="1070" t="s">
        <v>1253</v>
      </c>
      <c r="C266" s="1070">
        <v>3930</v>
      </c>
      <c r="D266" s="1070">
        <v>3900</v>
      </c>
      <c r="E266" s="1070">
        <v>4080</v>
      </c>
      <c r="F266" s="1088">
        <v>770</v>
      </c>
      <c r="H266" s="1095"/>
    </row>
    <row r="267" spans="1:8" s="1064" customFormat="1" ht="14.25" customHeight="1" thickBot="1">
      <c r="A267" s="1076" t="s">
        <v>1378</v>
      </c>
      <c r="B267" s="1070" t="s">
        <v>1260</v>
      </c>
      <c r="C267" s="1070">
        <v>3800</v>
      </c>
      <c r="D267" s="1070">
        <v>3780</v>
      </c>
      <c r="E267" s="1070">
        <v>3930</v>
      </c>
      <c r="F267" s="1097"/>
      <c r="H267" s="1095"/>
    </row>
    <row r="268" spans="1:8" s="1064" customFormat="1" ht="14.25" customHeight="1" thickBot="1">
      <c r="A268" s="1076" t="s">
        <v>1378</v>
      </c>
      <c r="B268" s="1070" t="s">
        <v>1267</v>
      </c>
      <c r="C268" s="1070">
        <v>3460</v>
      </c>
      <c r="D268" s="1070">
        <v>3430</v>
      </c>
      <c r="E268" s="1070">
        <v>3560</v>
      </c>
      <c r="F268" s="1088">
        <v>840</v>
      </c>
      <c r="H268" s="1095"/>
    </row>
    <row r="269" spans="1:8" s="1064" customFormat="1" ht="14.25" customHeight="1" thickBot="1">
      <c r="A269" s="1076" t="s">
        <v>1378</v>
      </c>
      <c r="B269" s="1070" t="s">
        <v>1274</v>
      </c>
      <c r="C269" s="1070">
        <v>3210</v>
      </c>
      <c r="D269" s="1070">
        <v>3190</v>
      </c>
      <c r="E269" s="1070">
        <v>3310</v>
      </c>
      <c r="F269" s="1088">
        <v>730</v>
      </c>
      <c r="H269" s="1095"/>
    </row>
    <row r="270" spans="1:8" s="1064" customFormat="1" ht="14.25" customHeight="1" thickBot="1">
      <c r="A270" s="1076" t="s">
        <v>1378</v>
      </c>
      <c r="B270" s="1070" t="s">
        <v>1281</v>
      </c>
      <c r="C270" s="1070">
        <v>3240</v>
      </c>
      <c r="D270" s="1070">
        <v>3210</v>
      </c>
      <c r="E270" s="1070">
        <v>3390</v>
      </c>
      <c r="F270" s="1088">
        <v>820</v>
      </c>
      <c r="H270" s="1095"/>
    </row>
    <row r="271" spans="1:8" s="1064" customFormat="1" ht="14.25" customHeight="1" thickBot="1">
      <c r="A271" s="1076" t="s">
        <v>1378</v>
      </c>
      <c r="B271" s="1070" t="s">
        <v>1288</v>
      </c>
      <c r="C271" s="1070">
        <v>3300</v>
      </c>
      <c r="D271" s="1070">
        <v>3270</v>
      </c>
      <c r="E271" s="1070">
        <v>3380</v>
      </c>
      <c r="F271" s="1088">
        <v>750</v>
      </c>
      <c r="H271" s="1095"/>
    </row>
    <row r="272" spans="1:8" s="1064" customFormat="1" ht="14.25" customHeight="1" thickBot="1">
      <c r="A272" s="1076" t="s">
        <v>1378</v>
      </c>
      <c r="B272" s="1070" t="s">
        <v>1295</v>
      </c>
      <c r="C272" s="1098"/>
      <c r="D272" s="1098"/>
      <c r="E272" s="1098"/>
      <c r="F272" s="1088">
        <v>740</v>
      </c>
      <c r="H272" s="1095"/>
    </row>
    <row r="273" spans="1:8" s="1064" customFormat="1" ht="14.25" customHeight="1" thickBot="1">
      <c r="A273" s="1076" t="s">
        <v>1378</v>
      </c>
      <c r="B273" s="1070" t="s">
        <v>1299</v>
      </c>
      <c r="C273" s="1070">
        <v>3130</v>
      </c>
      <c r="D273" s="1070">
        <v>3100</v>
      </c>
      <c r="E273" s="1070">
        <v>3230</v>
      </c>
      <c r="F273" s="1088">
        <v>700</v>
      </c>
      <c r="H273" s="1095"/>
    </row>
    <row r="274" spans="1:8" s="1064" customFormat="1" ht="14.25" customHeight="1" thickBot="1">
      <c r="A274" s="1076" t="s">
        <v>1378</v>
      </c>
      <c r="B274" s="1070" t="s">
        <v>1304</v>
      </c>
      <c r="C274" s="1070">
        <v>3460</v>
      </c>
      <c r="D274" s="1070">
        <v>3430</v>
      </c>
      <c r="E274" s="1070">
        <v>3560</v>
      </c>
      <c r="F274" s="1088">
        <v>690</v>
      </c>
      <c r="H274" s="1095"/>
    </row>
    <row r="275" spans="1:8" s="1064" customFormat="1" ht="14.25" customHeight="1" thickBot="1">
      <c r="A275" s="1076" t="s">
        <v>1378</v>
      </c>
      <c r="B275" s="1070" t="s">
        <v>1309</v>
      </c>
      <c r="C275" s="1070">
        <v>4040</v>
      </c>
      <c r="D275" s="1070">
        <v>4020</v>
      </c>
      <c r="E275" s="1070">
        <v>4160</v>
      </c>
      <c r="F275" s="1088">
        <v>820</v>
      </c>
      <c r="H275" s="1095"/>
    </row>
    <row r="276" spans="1:8" s="1064" customFormat="1" ht="14.25" customHeight="1" thickBot="1">
      <c r="A276" s="1076" t="s">
        <v>1378</v>
      </c>
      <c r="B276" s="1070" t="s">
        <v>1314</v>
      </c>
      <c r="C276" s="1070">
        <v>3270</v>
      </c>
      <c r="D276" s="1070">
        <v>3240</v>
      </c>
      <c r="E276" s="1070">
        <v>3350</v>
      </c>
      <c r="F276" s="1088">
        <v>680</v>
      </c>
      <c r="H276" s="1095"/>
    </row>
    <row r="277" spans="1:8" s="1064" customFormat="1" ht="14.25" customHeight="1" thickBot="1">
      <c r="A277" s="1076" t="s">
        <v>1378</v>
      </c>
      <c r="B277" s="1070" t="s">
        <v>1319</v>
      </c>
      <c r="C277" s="1070">
        <v>2930</v>
      </c>
      <c r="D277" s="1070">
        <v>2900</v>
      </c>
      <c r="E277" s="1070">
        <v>3000</v>
      </c>
      <c r="F277" s="1088">
        <v>640</v>
      </c>
      <c r="H277" s="1095"/>
    </row>
    <row r="278" spans="1:8" s="1064" customFormat="1" ht="14.25" customHeight="1" thickBot="1">
      <c r="A278" s="1076" t="s">
        <v>1378</v>
      </c>
      <c r="B278" s="1070" t="s">
        <v>1324</v>
      </c>
      <c r="C278" s="1070">
        <v>4080</v>
      </c>
      <c r="D278" s="1070">
        <v>4030</v>
      </c>
      <c r="E278" s="1070">
        <v>4140</v>
      </c>
      <c r="F278" s="1088">
        <v>850</v>
      </c>
      <c r="H278" s="1095"/>
    </row>
    <row r="279" spans="1:8" s="1064" customFormat="1" ht="14.25" customHeight="1" thickBot="1">
      <c r="A279" s="1076" t="s">
        <v>1378</v>
      </c>
      <c r="B279" s="1070" t="s">
        <v>1328</v>
      </c>
      <c r="C279" s="1070"/>
      <c r="D279" s="1070"/>
      <c r="E279" s="1070"/>
      <c r="F279" s="1088">
        <v>760</v>
      </c>
      <c r="H279" s="1095"/>
    </row>
    <row r="280" spans="1:8" s="1064" customFormat="1" ht="14.25" customHeight="1" thickBot="1">
      <c r="A280" s="1076" t="s">
        <v>1378</v>
      </c>
      <c r="B280" s="1070" t="s">
        <v>1332</v>
      </c>
      <c r="C280" s="1070"/>
      <c r="D280" s="1070"/>
      <c r="E280" s="1070"/>
      <c r="F280" s="1088">
        <v>760</v>
      </c>
      <c r="H280" s="1095"/>
    </row>
    <row r="281" spans="1:8" s="1064" customFormat="1" ht="14.25" customHeight="1" thickBot="1">
      <c r="A281" s="1076" t="s">
        <v>1378</v>
      </c>
      <c r="B281" s="1070" t="s">
        <v>1336</v>
      </c>
      <c r="C281" s="1070"/>
      <c r="D281" s="1070"/>
      <c r="E281" s="1070"/>
      <c r="F281" s="1088">
        <v>780</v>
      </c>
      <c r="H281" s="1095"/>
    </row>
    <row r="282" spans="1:8" s="1064" customFormat="1" ht="14.25" customHeight="1" thickBot="1">
      <c r="A282" s="1076" t="s">
        <v>1378</v>
      </c>
      <c r="B282" s="1070" t="s">
        <v>1340</v>
      </c>
      <c r="C282" s="1070"/>
      <c r="D282" s="1070"/>
      <c r="E282" s="1070"/>
      <c r="F282" s="1088">
        <v>730</v>
      </c>
      <c r="H282" s="1095"/>
    </row>
    <row r="283" spans="1:8" s="1064" customFormat="1" ht="14.25" customHeight="1" thickBot="1">
      <c r="A283" s="1076" t="s">
        <v>1378</v>
      </c>
      <c r="B283" s="1070" t="s">
        <v>1344</v>
      </c>
      <c r="C283" s="1070"/>
      <c r="D283" s="1070"/>
      <c r="E283" s="1070"/>
      <c r="F283" s="1088">
        <v>770</v>
      </c>
      <c r="H283" s="1095"/>
    </row>
    <row r="284" spans="1:8" s="1064" customFormat="1" ht="14.25" customHeight="1" thickBot="1">
      <c r="A284" s="1076" t="s">
        <v>1378</v>
      </c>
      <c r="B284" s="1070" t="s">
        <v>1347</v>
      </c>
      <c r="C284" s="1070"/>
      <c r="D284" s="1070"/>
      <c r="E284" s="1070"/>
      <c r="F284" s="1088">
        <v>640</v>
      </c>
      <c r="H284" s="1095"/>
    </row>
    <row r="285" spans="1:8" s="1064" customFormat="1" ht="14.25" customHeight="1" thickBot="1">
      <c r="A285" s="1076" t="s">
        <v>1378</v>
      </c>
      <c r="B285" s="1070" t="s">
        <v>1350</v>
      </c>
      <c r="C285" s="1070"/>
      <c r="D285" s="1070"/>
      <c r="E285" s="1070"/>
      <c r="F285" s="1088">
        <v>640</v>
      </c>
      <c r="H285" s="1095"/>
    </row>
    <row r="286" spans="1:8" s="1064" customFormat="1" ht="14.25" customHeight="1" thickBot="1">
      <c r="A286" s="1076" t="s">
        <v>1378</v>
      </c>
      <c r="B286" s="1070" t="s">
        <v>1353</v>
      </c>
      <c r="C286" s="1070"/>
      <c r="D286" s="1070"/>
      <c r="E286" s="1070"/>
      <c r="F286" s="1088">
        <v>850</v>
      </c>
      <c r="H286" s="1095"/>
    </row>
    <row r="287" spans="1:8" s="1064" customFormat="1" ht="14.25" customHeight="1" thickBot="1">
      <c r="A287" s="1076" t="s">
        <v>1378</v>
      </c>
      <c r="B287" s="1070" t="s">
        <v>1356</v>
      </c>
      <c r="C287" s="1070"/>
      <c r="D287" s="1070"/>
      <c r="E287" s="1070"/>
      <c r="F287" s="1088">
        <v>760</v>
      </c>
      <c r="H287" s="1095"/>
    </row>
    <row r="288" spans="1:8" s="1064" customFormat="1" ht="14.25" customHeight="1" thickBot="1">
      <c r="A288" s="1076" t="s">
        <v>1378</v>
      </c>
      <c r="B288" s="1070" t="s">
        <v>1359</v>
      </c>
      <c r="C288" s="1070"/>
      <c r="D288" s="1070"/>
      <c r="E288" s="1070"/>
      <c r="F288" s="1088">
        <v>830</v>
      </c>
      <c r="H288" s="1095"/>
    </row>
    <row r="289" spans="1:8" s="1064" customFormat="1" ht="14.25" customHeight="1" thickBot="1">
      <c r="A289" s="1076" t="s">
        <v>1378</v>
      </c>
      <c r="B289" s="1086" t="s">
        <v>1362</v>
      </c>
      <c r="C289" s="1086"/>
      <c r="D289" s="1086"/>
      <c r="E289" s="1086"/>
      <c r="F289" s="1096">
        <v>680</v>
      </c>
      <c r="H289" s="1095"/>
    </row>
    <row r="290" spans="1:8" s="1064" customFormat="1" ht="14.25" customHeight="1" thickBot="1">
      <c r="A290" s="1076" t="s">
        <v>1382</v>
      </c>
      <c r="B290" s="1077" t="s">
        <v>1383</v>
      </c>
      <c r="C290" s="1077">
        <v>2770</v>
      </c>
      <c r="D290" s="1077">
        <v>2740</v>
      </c>
      <c r="E290" s="1077">
        <v>2720</v>
      </c>
      <c r="F290" s="1099"/>
      <c r="H290" s="1095"/>
    </row>
    <row r="291" spans="1:8" s="1064" customFormat="1" ht="14.25" customHeight="1" thickBot="1">
      <c r="A291" s="1076" t="s">
        <v>1382</v>
      </c>
      <c r="B291" s="1070" t="s">
        <v>1042</v>
      </c>
      <c r="C291" s="1070">
        <v>2670</v>
      </c>
      <c r="D291" s="1070">
        <v>2640</v>
      </c>
      <c r="E291" s="1070">
        <v>2620</v>
      </c>
      <c r="F291" s="1097"/>
      <c r="H291" s="1095"/>
    </row>
    <row r="292" spans="1:8" s="1064" customFormat="1" ht="14.25" customHeight="1" thickBot="1">
      <c r="A292" s="1076" t="s">
        <v>1382</v>
      </c>
      <c r="B292" s="1070" t="s">
        <v>1384</v>
      </c>
      <c r="C292" s="1070">
        <v>2180</v>
      </c>
      <c r="D292" s="1070">
        <v>2140</v>
      </c>
      <c r="E292" s="1070">
        <v>2120</v>
      </c>
      <c r="F292" s="1088">
        <v>490</v>
      </c>
      <c r="H292" s="1095"/>
    </row>
    <row r="293" spans="1:8" s="1064" customFormat="1" ht="14.25" customHeight="1" thickBot="1">
      <c r="A293" s="1076" t="s">
        <v>1382</v>
      </c>
      <c r="B293" s="1070" t="s">
        <v>1385</v>
      </c>
      <c r="C293" s="1070"/>
      <c r="D293" s="1070"/>
      <c r="E293" s="1070"/>
      <c r="F293" s="1088">
        <v>470</v>
      </c>
      <c r="H293" s="1095"/>
    </row>
    <row r="294" spans="1:8" s="1064" customFormat="1" ht="14.25" customHeight="1" thickBot="1">
      <c r="A294" s="1076" t="s">
        <v>1382</v>
      </c>
      <c r="B294" s="1070" t="s">
        <v>1386</v>
      </c>
      <c r="C294" s="1070">
        <v>2730</v>
      </c>
      <c r="D294" s="1070">
        <v>2700</v>
      </c>
      <c r="E294" s="1070">
        <v>2680</v>
      </c>
      <c r="F294" s="1088">
        <v>490</v>
      </c>
      <c r="H294" s="1095"/>
    </row>
    <row r="295" spans="1:8" s="1064" customFormat="1" ht="14.25" customHeight="1" thickBot="1">
      <c r="A295" s="1076" t="s">
        <v>1382</v>
      </c>
      <c r="B295" s="1070" t="s">
        <v>1083</v>
      </c>
      <c r="C295" s="1070">
        <v>2380</v>
      </c>
      <c r="D295" s="1070">
        <v>2350</v>
      </c>
      <c r="E295" s="1070">
        <v>2330</v>
      </c>
      <c r="F295" s="1088">
        <v>530</v>
      </c>
      <c r="H295" s="1095"/>
    </row>
    <row r="296" spans="1:8" s="1064" customFormat="1" ht="14.25" customHeight="1" thickBot="1">
      <c r="A296" s="1076" t="s">
        <v>1382</v>
      </c>
      <c r="B296" s="1070" t="s">
        <v>1094</v>
      </c>
      <c r="C296" s="1070">
        <v>2650</v>
      </c>
      <c r="D296" s="1070">
        <v>2620</v>
      </c>
      <c r="E296" s="1070">
        <v>2590</v>
      </c>
      <c r="F296" s="1088">
        <v>590</v>
      </c>
      <c r="H296" s="1095"/>
    </row>
    <row r="297" spans="1:8" s="1064" customFormat="1" ht="14.25" customHeight="1" thickBot="1">
      <c r="A297" s="1076" t="s">
        <v>1382</v>
      </c>
      <c r="B297" s="1070" t="s">
        <v>1105</v>
      </c>
      <c r="C297" s="1070">
        <v>2700</v>
      </c>
      <c r="D297" s="1070">
        <v>2670</v>
      </c>
      <c r="E297" s="1070">
        <v>2650</v>
      </c>
      <c r="F297" s="1088">
        <v>630</v>
      </c>
      <c r="H297" s="1095"/>
    </row>
    <row r="298" spans="1:8" s="1064" customFormat="1" ht="14.25" customHeight="1" thickBot="1">
      <c r="A298" s="1076" t="s">
        <v>1382</v>
      </c>
      <c r="B298" s="1070" t="s">
        <v>1116</v>
      </c>
      <c r="C298" s="1070">
        <v>2650</v>
      </c>
      <c r="D298" s="1070">
        <v>2620</v>
      </c>
      <c r="E298" s="1070">
        <v>2590</v>
      </c>
      <c r="F298" s="1088">
        <v>640</v>
      </c>
      <c r="H298" s="1095"/>
    </row>
    <row r="299" spans="1:8" s="1064" customFormat="1" ht="14.25" customHeight="1" thickBot="1">
      <c r="A299" s="1076" t="s">
        <v>1382</v>
      </c>
      <c r="B299" s="1070" t="s">
        <v>1128</v>
      </c>
      <c r="C299" s="1070">
        <v>2500</v>
      </c>
      <c r="D299" s="1070">
        <v>2480</v>
      </c>
      <c r="E299" s="1070">
        <v>2460</v>
      </c>
      <c r="F299" s="1097"/>
      <c r="H299" s="1095"/>
    </row>
    <row r="300" spans="1:8" s="1064" customFormat="1" ht="14.25" customHeight="1" thickBot="1">
      <c r="A300" s="1076" t="s">
        <v>1382</v>
      </c>
      <c r="B300" s="1070" t="s">
        <v>1138</v>
      </c>
      <c r="C300" s="1070">
        <v>2760</v>
      </c>
      <c r="D300" s="1070">
        <v>2730</v>
      </c>
      <c r="E300" s="1070">
        <v>2700</v>
      </c>
      <c r="F300" s="1088">
        <v>630</v>
      </c>
      <c r="H300" s="1095"/>
    </row>
    <row r="301" spans="1:8" s="1064" customFormat="1" ht="14.25" customHeight="1" thickBot="1">
      <c r="A301" s="1076" t="s">
        <v>1382</v>
      </c>
      <c r="B301" s="1070" t="s">
        <v>1148</v>
      </c>
      <c r="C301" s="1070">
        <v>2510</v>
      </c>
      <c r="D301" s="1070">
        <v>2480</v>
      </c>
      <c r="E301" s="1070">
        <v>2460</v>
      </c>
      <c r="F301" s="1097"/>
      <c r="H301" s="1095"/>
    </row>
    <row r="302" spans="1:8" s="1064" customFormat="1" ht="14.25" customHeight="1" thickBot="1">
      <c r="A302" s="1076" t="s">
        <v>1382</v>
      </c>
      <c r="B302" s="1070" t="s">
        <v>1158</v>
      </c>
      <c r="C302" s="1070">
        <v>2480</v>
      </c>
      <c r="D302" s="1070">
        <v>2450</v>
      </c>
      <c r="E302" s="1070">
        <v>2420</v>
      </c>
      <c r="F302" s="1088">
        <v>600</v>
      </c>
      <c r="H302" s="1095"/>
    </row>
    <row r="303" spans="1:8" s="1064" customFormat="1" ht="14.25" customHeight="1" thickBot="1">
      <c r="A303" s="1076" t="s">
        <v>1382</v>
      </c>
      <c r="B303" s="1070" t="s">
        <v>1168</v>
      </c>
      <c r="C303" s="1070">
        <v>2270</v>
      </c>
      <c r="D303" s="1070">
        <v>2240</v>
      </c>
      <c r="E303" s="1070">
        <v>2210</v>
      </c>
      <c r="F303" s="1088">
        <v>540</v>
      </c>
      <c r="H303" s="1095"/>
    </row>
    <row r="304" spans="1:8" s="1064" customFormat="1" ht="14.25" customHeight="1" thickBot="1">
      <c r="A304" s="1076" t="s">
        <v>1382</v>
      </c>
      <c r="B304" s="1070" t="s">
        <v>1178</v>
      </c>
      <c r="C304" s="1070">
        <v>2310</v>
      </c>
      <c r="D304" s="1070">
        <v>2290</v>
      </c>
      <c r="E304" s="1070">
        <v>2270</v>
      </c>
      <c r="F304" s="1097"/>
      <c r="H304" s="1095"/>
    </row>
    <row r="305" spans="1:8" s="1064" customFormat="1" ht="14.25" customHeight="1" thickBot="1">
      <c r="A305" s="1076" t="s">
        <v>1382</v>
      </c>
      <c r="B305" s="1070" t="s">
        <v>1188</v>
      </c>
      <c r="C305" s="1070">
        <v>2490</v>
      </c>
      <c r="D305" s="1070">
        <v>2470</v>
      </c>
      <c r="E305" s="1070">
        <v>2440</v>
      </c>
      <c r="F305" s="1088">
        <v>560</v>
      </c>
      <c r="H305" s="1095"/>
    </row>
    <row r="306" spans="1:8" s="1064" customFormat="1" ht="14.25" customHeight="1" thickBot="1">
      <c r="A306" s="1076" t="s">
        <v>1382</v>
      </c>
      <c r="B306" s="1070" t="s">
        <v>1198</v>
      </c>
      <c r="C306" s="1070">
        <v>2420</v>
      </c>
      <c r="D306" s="1070">
        <v>2400</v>
      </c>
      <c r="E306" s="1070">
        <v>2380</v>
      </c>
      <c r="F306" s="1097"/>
      <c r="H306" s="1095"/>
    </row>
    <row r="307" spans="1:8" s="1064" customFormat="1" ht="14.25" customHeight="1" thickBot="1">
      <c r="A307" s="1076" t="s">
        <v>1382</v>
      </c>
      <c r="B307" s="1070" t="s">
        <v>1208</v>
      </c>
      <c r="C307" s="1070">
        <v>2770</v>
      </c>
      <c r="D307" s="1070">
        <v>2740</v>
      </c>
      <c r="E307" s="1070">
        <v>2710</v>
      </c>
      <c r="F307" s="1088">
        <v>650</v>
      </c>
      <c r="H307" s="1095"/>
    </row>
    <row r="308" spans="1:8" s="1064" customFormat="1" ht="14.25" customHeight="1" thickBot="1">
      <c r="A308" s="1076" t="s">
        <v>1382</v>
      </c>
      <c r="B308" s="1070" t="s">
        <v>1218</v>
      </c>
      <c r="C308" s="1070">
        <v>2610</v>
      </c>
      <c r="D308" s="1070">
        <v>2580</v>
      </c>
      <c r="E308" s="1070">
        <v>2550</v>
      </c>
      <c r="F308" s="1088">
        <v>580</v>
      </c>
      <c r="H308" s="1095"/>
    </row>
    <row r="309" spans="1:8" s="1064" customFormat="1" ht="14.25" customHeight="1" thickBot="1">
      <c r="A309" s="1076" t="s">
        <v>1382</v>
      </c>
      <c r="B309" s="1070" t="s">
        <v>1228</v>
      </c>
      <c r="C309" s="1070">
        <v>2690</v>
      </c>
      <c r="D309" s="1070">
        <v>2670</v>
      </c>
      <c r="E309" s="1070">
        <v>2650</v>
      </c>
      <c r="F309" s="1097"/>
      <c r="H309" s="1095"/>
    </row>
    <row r="310" spans="1:8" s="1064" customFormat="1" ht="14.25" customHeight="1" thickBot="1">
      <c r="A310" s="1076" t="s">
        <v>1382</v>
      </c>
      <c r="B310" s="1070" t="s">
        <v>1237</v>
      </c>
      <c r="C310" s="1070">
        <v>2360</v>
      </c>
      <c r="D310" s="1070">
        <v>2330</v>
      </c>
      <c r="E310" s="1070">
        <v>2310</v>
      </c>
      <c r="F310" s="1088">
        <v>560</v>
      </c>
      <c r="H310" s="1095"/>
    </row>
    <row r="311" spans="1:8" s="1064" customFormat="1" ht="14.25" customHeight="1" thickBot="1">
      <c r="A311" s="1076" t="s">
        <v>1382</v>
      </c>
      <c r="B311" s="1070" t="s">
        <v>1246</v>
      </c>
      <c r="C311" s="1070">
        <v>1970</v>
      </c>
      <c r="D311" s="1070">
        <v>1950</v>
      </c>
      <c r="E311" s="1070">
        <v>1920</v>
      </c>
      <c r="F311" s="1088">
        <v>470</v>
      </c>
      <c r="H311" s="1095"/>
    </row>
    <row r="312" spans="1:8" s="1064" customFormat="1" ht="14.25" customHeight="1" thickBot="1">
      <c r="A312" s="1076" t="s">
        <v>1382</v>
      </c>
      <c r="B312" s="1070" t="s">
        <v>1254</v>
      </c>
      <c r="C312" s="1070">
        <v>2230</v>
      </c>
      <c r="D312" s="1070">
        <v>2200</v>
      </c>
      <c r="E312" s="1070">
        <v>2170</v>
      </c>
      <c r="F312" s="1088">
        <v>460</v>
      </c>
      <c r="H312" s="1095"/>
    </row>
    <row r="313" spans="1:8" s="1064" customFormat="1" ht="14.25" customHeight="1" thickBot="1">
      <c r="A313" s="1076" t="s">
        <v>1382</v>
      </c>
      <c r="B313" s="1070" t="s">
        <v>1261</v>
      </c>
      <c r="C313" s="1070">
        <v>2770</v>
      </c>
      <c r="D313" s="1070">
        <v>2740</v>
      </c>
      <c r="E313" s="1070">
        <v>2710</v>
      </c>
      <c r="F313" s="1088">
        <v>610</v>
      </c>
      <c r="H313" s="1095"/>
    </row>
    <row r="314" spans="1:8" s="1064" customFormat="1" ht="14.25" customHeight="1" thickBot="1">
      <c r="A314" s="1076" t="s">
        <v>1382</v>
      </c>
      <c r="B314" s="1070" t="s">
        <v>1268</v>
      </c>
      <c r="C314" s="1070"/>
      <c r="D314" s="1070"/>
      <c r="E314" s="1070"/>
      <c r="F314" s="1088">
        <v>490</v>
      </c>
      <c r="H314" s="1095"/>
    </row>
    <row r="315" spans="1:8" s="1064" customFormat="1" ht="14.25" customHeight="1" thickBot="1">
      <c r="A315" s="1076" t="s">
        <v>1382</v>
      </c>
      <c r="B315" s="1070" t="s">
        <v>1275</v>
      </c>
      <c r="C315" s="1070"/>
      <c r="D315" s="1070"/>
      <c r="E315" s="1070"/>
      <c r="F315" s="1088">
        <v>520</v>
      </c>
      <c r="H315" s="1095"/>
    </row>
    <row r="316" spans="1:8" s="1064" customFormat="1" ht="14.25" customHeight="1" thickBot="1">
      <c r="A316" s="1076" t="s">
        <v>1382</v>
      </c>
      <c r="B316" s="1086" t="s">
        <v>1282</v>
      </c>
      <c r="C316" s="1086"/>
      <c r="D316" s="1086"/>
      <c r="E316" s="1086"/>
      <c r="F316" s="1096">
        <v>460</v>
      </c>
      <c r="H316" s="1095"/>
    </row>
    <row r="317" spans="1:8" s="1064" customFormat="1" ht="14.25" customHeight="1" thickBot="1">
      <c r="A317" s="1076" t="s">
        <v>880</v>
      </c>
      <c r="B317" s="1077" t="s">
        <v>1387</v>
      </c>
      <c r="C317" s="1077">
        <v>1200</v>
      </c>
      <c r="D317" s="1077">
        <v>1180</v>
      </c>
      <c r="E317" s="1077">
        <v>1160</v>
      </c>
      <c r="F317" s="1078">
        <v>370</v>
      </c>
      <c r="H317" s="1061"/>
    </row>
    <row r="318" spans="1:8" s="1064" customFormat="1" ht="14.25" customHeight="1" thickBot="1">
      <c r="A318" s="1076" t="s">
        <v>880</v>
      </c>
      <c r="B318" s="1070" t="s">
        <v>1388</v>
      </c>
      <c r="C318" s="1070">
        <v>1090</v>
      </c>
      <c r="D318" s="1070">
        <v>1060</v>
      </c>
      <c r="E318" s="1070">
        <v>1040</v>
      </c>
      <c r="F318" s="1097"/>
      <c r="H318" s="1061"/>
    </row>
    <row r="319" spans="1:8" s="1064" customFormat="1" ht="14.25" customHeight="1" thickBot="1">
      <c r="A319" s="1076" t="s">
        <v>880</v>
      </c>
      <c r="B319" s="1070" t="s">
        <v>1389</v>
      </c>
      <c r="C319" s="1070">
        <v>1520</v>
      </c>
      <c r="D319" s="1070">
        <v>1470</v>
      </c>
      <c r="E319" s="1070">
        <v>1440</v>
      </c>
      <c r="F319" s="1088">
        <v>370</v>
      </c>
      <c r="H319" s="1061"/>
    </row>
    <row r="320" spans="1:8" s="1064" customFormat="1" ht="14.25" customHeight="1" thickBot="1">
      <c r="A320" s="1076" t="s">
        <v>880</v>
      </c>
      <c r="B320" s="1070" t="s">
        <v>1070</v>
      </c>
      <c r="C320" s="1070">
        <v>1360</v>
      </c>
      <c r="D320" s="1070">
        <v>1300</v>
      </c>
      <c r="E320" s="1070">
        <v>1270</v>
      </c>
      <c r="F320" s="1097"/>
      <c r="H320" s="1061"/>
    </row>
    <row r="321" spans="1:8" s="1064" customFormat="1" ht="14.25" customHeight="1" thickBot="1">
      <c r="A321" s="1076" t="s">
        <v>880</v>
      </c>
      <c r="B321" s="1070" t="s">
        <v>1084</v>
      </c>
      <c r="C321" s="1070">
        <v>1750</v>
      </c>
      <c r="D321" s="1070">
        <v>1690</v>
      </c>
      <c r="E321" s="1070">
        <v>1660</v>
      </c>
      <c r="F321" s="1097"/>
      <c r="H321" s="1061"/>
    </row>
    <row r="322" spans="1:8" s="1064" customFormat="1" ht="14.25" customHeight="1" thickBot="1">
      <c r="A322" s="1076" t="s">
        <v>880</v>
      </c>
      <c r="B322" s="1070" t="s">
        <v>1095</v>
      </c>
      <c r="C322" s="1070">
        <v>1650</v>
      </c>
      <c r="D322" s="1070">
        <v>1610</v>
      </c>
      <c r="E322" s="1070">
        <v>1580</v>
      </c>
      <c r="F322" s="1088">
        <v>500</v>
      </c>
      <c r="H322" s="1061"/>
    </row>
    <row r="323" spans="1:8" s="1064" customFormat="1" ht="14.25" customHeight="1" thickBot="1">
      <c r="A323" s="1076" t="s">
        <v>880</v>
      </c>
      <c r="B323" s="1070" t="s">
        <v>1106</v>
      </c>
      <c r="C323" s="1070">
        <v>1780</v>
      </c>
      <c r="D323" s="1070">
        <v>1740</v>
      </c>
      <c r="E323" s="1070">
        <v>1720</v>
      </c>
      <c r="F323" s="1097"/>
      <c r="H323" s="1061"/>
    </row>
    <row r="324" spans="1:8" s="1064" customFormat="1" ht="14.25" customHeight="1" thickBot="1">
      <c r="A324" s="1076" t="s">
        <v>880</v>
      </c>
      <c r="B324" s="1070" t="s">
        <v>1117</v>
      </c>
      <c r="C324" s="1070">
        <v>1650</v>
      </c>
      <c r="D324" s="1070">
        <v>1610</v>
      </c>
      <c r="E324" s="1070">
        <v>1580</v>
      </c>
      <c r="F324" s="1097"/>
      <c r="H324" s="1061"/>
    </row>
    <row r="325" spans="1:8" s="1064" customFormat="1" ht="14.25" customHeight="1" thickBot="1">
      <c r="A325" s="1076" t="s">
        <v>880</v>
      </c>
      <c r="B325" s="1070" t="s">
        <v>1129</v>
      </c>
      <c r="C325" s="1070">
        <v>1330</v>
      </c>
      <c r="D325" s="1070">
        <v>1270</v>
      </c>
      <c r="E325" s="1070">
        <v>1240</v>
      </c>
      <c r="F325" s="1088">
        <v>430</v>
      </c>
      <c r="H325" s="1061"/>
    </row>
    <row r="326" spans="1:8" s="1064" customFormat="1" ht="14.25" customHeight="1" thickBot="1">
      <c r="A326" s="1076" t="s">
        <v>880</v>
      </c>
      <c r="B326" s="1070" t="s">
        <v>1139</v>
      </c>
      <c r="C326" s="1070">
        <v>1470</v>
      </c>
      <c r="D326" s="1070">
        <v>1430</v>
      </c>
      <c r="E326" s="1070">
        <v>1400</v>
      </c>
      <c r="F326" s="1097"/>
      <c r="H326" s="1061"/>
    </row>
    <row r="327" spans="1:8" s="1064" customFormat="1" ht="14.25" customHeight="1" thickBot="1">
      <c r="A327" s="1076" t="s">
        <v>880</v>
      </c>
      <c r="B327" s="1070" t="s">
        <v>1149</v>
      </c>
      <c r="C327" s="1070">
        <v>1420</v>
      </c>
      <c r="D327" s="1070">
        <v>1380</v>
      </c>
      <c r="E327" s="1070">
        <v>1360</v>
      </c>
      <c r="F327" s="1088">
        <v>420</v>
      </c>
      <c r="H327" s="1061"/>
    </row>
    <row r="328" spans="1:8" s="1064" customFormat="1" ht="14.25" customHeight="1" thickBot="1">
      <c r="A328" s="1076" t="s">
        <v>880</v>
      </c>
      <c r="B328" s="1070" t="s">
        <v>1159</v>
      </c>
      <c r="C328" s="1070">
        <v>1400</v>
      </c>
      <c r="D328" s="1070">
        <v>1360</v>
      </c>
      <c r="E328" s="1070">
        <v>1330</v>
      </c>
      <c r="F328" s="1088">
        <v>460</v>
      </c>
      <c r="H328" s="1061"/>
    </row>
    <row r="329" spans="1:8" s="1064" customFormat="1" ht="14.25" customHeight="1" thickBot="1">
      <c r="A329" s="1076" t="s">
        <v>880</v>
      </c>
      <c r="B329" s="1070" t="s">
        <v>1169</v>
      </c>
      <c r="C329" s="1070">
        <v>1640</v>
      </c>
      <c r="D329" s="1070">
        <v>1610</v>
      </c>
      <c r="E329" s="1070">
        <v>1580</v>
      </c>
      <c r="F329" s="1088">
        <v>410</v>
      </c>
      <c r="H329" s="1061"/>
    </row>
    <row r="330" spans="1:8" s="1064" customFormat="1" ht="14.25" customHeight="1" thickBot="1">
      <c r="A330" s="1076" t="s">
        <v>880</v>
      </c>
      <c r="B330" s="1070" t="s">
        <v>1179</v>
      </c>
      <c r="C330" s="1070">
        <v>1260</v>
      </c>
      <c r="D330" s="1070">
        <v>1220</v>
      </c>
      <c r="E330" s="1070">
        <v>1200</v>
      </c>
      <c r="F330" s="1097"/>
      <c r="H330" s="1061"/>
    </row>
    <row r="331" spans="1:8" s="1064" customFormat="1" ht="14.25" customHeight="1" thickBot="1">
      <c r="A331" s="1076" t="s">
        <v>880</v>
      </c>
      <c r="B331" s="1070" t="s">
        <v>1189</v>
      </c>
      <c r="C331" s="1070">
        <v>1620</v>
      </c>
      <c r="D331" s="1070">
        <v>1560</v>
      </c>
      <c r="E331" s="1070">
        <v>1530</v>
      </c>
      <c r="F331" s="1088">
        <v>490</v>
      </c>
      <c r="H331" s="1061"/>
    </row>
    <row r="332" spans="1:8" s="1064" customFormat="1" ht="14.25" customHeight="1" thickBot="1">
      <c r="A332" s="1076" t="s">
        <v>880</v>
      </c>
      <c r="B332" s="1070" t="s">
        <v>1199</v>
      </c>
      <c r="C332" s="1070">
        <v>1520</v>
      </c>
      <c r="D332" s="1070">
        <v>1470</v>
      </c>
      <c r="E332" s="1070">
        <v>1440</v>
      </c>
      <c r="F332" s="1088">
        <v>440</v>
      </c>
      <c r="H332" s="1061"/>
    </row>
    <row r="333" spans="1:8" s="1064" customFormat="1" ht="14.25" customHeight="1" thickBot="1">
      <c r="A333" s="1076" t="s">
        <v>880</v>
      </c>
      <c r="B333" s="1070" t="s">
        <v>1209</v>
      </c>
      <c r="C333" s="1070">
        <v>1370</v>
      </c>
      <c r="D333" s="1070">
        <v>1320</v>
      </c>
      <c r="E333" s="1070">
        <v>1300</v>
      </c>
      <c r="F333" s="1088">
        <v>460</v>
      </c>
      <c r="H333" s="1061"/>
    </row>
    <row r="334" spans="1:8" s="1064" customFormat="1" ht="14.25" customHeight="1" thickBot="1">
      <c r="A334" s="1076" t="s">
        <v>880</v>
      </c>
      <c r="B334" s="1070" t="s">
        <v>1219</v>
      </c>
      <c r="C334" s="1070">
        <v>1410</v>
      </c>
      <c r="D334" s="1070">
        <v>1340</v>
      </c>
      <c r="E334" s="1070">
        <v>1310</v>
      </c>
      <c r="F334" s="1088">
        <v>410</v>
      </c>
      <c r="H334" s="1061"/>
    </row>
    <row r="335" spans="1:8" s="1064" customFormat="1" ht="14.25" customHeight="1" thickBot="1">
      <c r="A335" s="1076" t="s">
        <v>880</v>
      </c>
      <c r="B335" s="1070" t="s">
        <v>1229</v>
      </c>
      <c r="C335" s="1070">
        <v>1260</v>
      </c>
      <c r="D335" s="1070">
        <v>1220</v>
      </c>
      <c r="E335" s="1070">
        <v>1200</v>
      </c>
      <c r="F335" s="1097"/>
      <c r="H335" s="1061"/>
    </row>
    <row r="336" spans="1:8" s="1064" customFormat="1" ht="14.25" customHeight="1" thickBot="1">
      <c r="A336" s="1076" t="s">
        <v>880</v>
      </c>
      <c r="B336" s="1070" t="s">
        <v>1238</v>
      </c>
      <c r="C336" s="1070">
        <v>1160</v>
      </c>
      <c r="D336" s="1070">
        <v>1140</v>
      </c>
      <c r="E336" s="1070">
        <v>1120</v>
      </c>
      <c r="F336" s="1088">
        <v>430</v>
      </c>
      <c r="H336" s="1061"/>
    </row>
    <row r="337" spans="1:8" s="1064" customFormat="1" ht="14.25" customHeight="1" thickBot="1">
      <c r="A337" s="1076" t="s">
        <v>880</v>
      </c>
      <c r="B337" s="1086" t="s">
        <v>1247</v>
      </c>
      <c r="C337" s="1086"/>
      <c r="D337" s="1086"/>
      <c r="E337" s="1086"/>
      <c r="F337" s="1096">
        <v>380</v>
      </c>
      <c r="H337" s="1061"/>
    </row>
    <row r="338" spans="1:8" s="1064" customFormat="1" ht="14.25" customHeight="1" thickBot="1">
      <c r="A338" s="1076" t="s">
        <v>881</v>
      </c>
      <c r="B338" s="1077" t="s">
        <v>1390</v>
      </c>
      <c r="C338" s="1077">
        <v>880</v>
      </c>
      <c r="D338" s="1077">
        <v>850</v>
      </c>
      <c r="E338" s="1077">
        <v>830</v>
      </c>
      <c r="F338" s="1099"/>
      <c r="H338" s="1061"/>
    </row>
    <row r="339" spans="1:8" s="1064" customFormat="1" ht="14.25" customHeight="1" thickBot="1">
      <c r="A339" s="1076" t="s">
        <v>881</v>
      </c>
      <c r="B339" s="1070" t="s">
        <v>1391</v>
      </c>
      <c r="C339" s="1070">
        <v>830</v>
      </c>
      <c r="D339" s="1070">
        <v>800</v>
      </c>
      <c r="E339" s="1070">
        <v>780</v>
      </c>
      <c r="F339" s="1097"/>
      <c r="H339" s="1061"/>
    </row>
    <row r="340" spans="1:8" s="1064" customFormat="1" ht="14.25" customHeight="1" thickBot="1">
      <c r="A340" s="1076" t="s">
        <v>881</v>
      </c>
      <c r="B340" s="1070" t="s">
        <v>1392</v>
      </c>
      <c r="C340" s="1070">
        <v>980</v>
      </c>
      <c r="D340" s="1070">
        <v>950</v>
      </c>
      <c r="E340" s="1070">
        <v>920</v>
      </c>
      <c r="F340" s="1097"/>
      <c r="H340" s="1061"/>
    </row>
    <row r="341" spans="1:8" s="1064" customFormat="1" ht="14.25" customHeight="1" thickBot="1">
      <c r="A341" s="1076" t="s">
        <v>881</v>
      </c>
      <c r="B341" s="1070" t="s">
        <v>1393</v>
      </c>
      <c r="C341" s="1070">
        <v>760</v>
      </c>
      <c r="D341" s="1070">
        <v>720</v>
      </c>
      <c r="E341" s="1070">
        <v>690</v>
      </c>
      <c r="F341" s="1088">
        <v>350</v>
      </c>
      <c r="H341" s="1061"/>
    </row>
    <row r="342" spans="1:8" s="1064" customFormat="1" ht="14.25" customHeight="1" thickBot="1">
      <c r="A342" s="1076" t="s">
        <v>881</v>
      </c>
      <c r="B342" s="1070" t="s">
        <v>1085</v>
      </c>
      <c r="C342" s="1070">
        <v>910</v>
      </c>
      <c r="D342" s="1070">
        <v>870</v>
      </c>
      <c r="E342" s="1070">
        <v>850</v>
      </c>
      <c r="F342" s="1088">
        <v>370</v>
      </c>
      <c r="H342" s="1061"/>
    </row>
    <row r="343" spans="1:8" s="1064" customFormat="1" ht="14.25" customHeight="1" thickBot="1">
      <c r="A343" s="1076" t="s">
        <v>881</v>
      </c>
      <c r="B343" s="1070" t="s">
        <v>1096</v>
      </c>
      <c r="C343" s="1070">
        <v>800</v>
      </c>
      <c r="D343" s="1070">
        <v>760</v>
      </c>
      <c r="E343" s="1070">
        <v>730</v>
      </c>
      <c r="F343" s="1088">
        <v>340</v>
      </c>
      <c r="H343" s="1061"/>
    </row>
    <row r="344" spans="1:8" s="1064" customFormat="1" ht="14.25" customHeight="1" thickBot="1">
      <c r="A344" s="1076" t="s">
        <v>881</v>
      </c>
      <c r="B344" s="1086" t="s">
        <v>1107</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845</v>
      </c>
      <c r="B1" s="1009"/>
      <c r="C1" s="1009"/>
      <c r="D1" s="1009"/>
      <c r="E1" s="1009"/>
      <c r="F1" s="1009"/>
      <c r="G1" s="1009"/>
      <c r="H1" s="1009"/>
      <c r="I1" s="1009"/>
      <c r="J1" s="1009"/>
      <c r="K1" s="1009"/>
      <c r="L1" s="1009"/>
      <c r="M1" s="1009"/>
      <c r="N1" s="1009"/>
    </row>
    <row r="2" spans="1:14">
      <c r="A2" s="1011" t="s">
        <v>846</v>
      </c>
      <c r="B2" s="1012" t="s">
        <v>847</v>
      </c>
      <c r="C2" s="1012" t="s">
        <v>848</v>
      </c>
      <c r="D2" s="1012" t="s">
        <v>849</v>
      </c>
      <c r="E2" s="1012" t="s">
        <v>850</v>
      </c>
      <c r="F2" s="1012" t="s">
        <v>851</v>
      </c>
      <c r="G2" s="1012" t="s">
        <v>852</v>
      </c>
      <c r="H2" s="1013" t="s">
        <v>853</v>
      </c>
      <c r="I2" s="1013" t="s">
        <v>854</v>
      </c>
      <c r="J2" s="1014" t="s">
        <v>855</v>
      </c>
      <c r="K2" s="1014" t="s">
        <v>856</v>
      </c>
      <c r="L2" s="1014" t="s">
        <v>857</v>
      </c>
      <c r="M2" s="1014" t="s">
        <v>858</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867</v>
      </c>
      <c r="B103" s="1009"/>
      <c r="C103" s="1009"/>
      <c r="D103" s="1009"/>
      <c r="E103" s="1009"/>
      <c r="F103" s="1009"/>
      <c r="G103" s="1009"/>
      <c r="H103" s="1009"/>
      <c r="I103" s="1009"/>
      <c r="J103" s="1009"/>
      <c r="K103" s="1009"/>
      <c r="L103" s="1009"/>
      <c r="M103" s="1009"/>
      <c r="N103" s="1009"/>
    </row>
    <row r="104" spans="1:14" ht="14.25">
      <c r="A104" s="1011" t="s">
        <v>846</v>
      </c>
      <c r="B104" s="1012" t="s">
        <v>847</v>
      </c>
      <c r="C104" s="1012" t="s">
        <v>848</v>
      </c>
      <c r="D104" s="1012" t="s">
        <v>849</v>
      </c>
      <c r="E104" s="1012" t="s">
        <v>850</v>
      </c>
      <c r="F104" s="1012" t="s">
        <v>851</v>
      </c>
      <c r="G104" s="1012" t="s">
        <v>852</v>
      </c>
      <c r="H104" s="1013" t="s">
        <v>853</v>
      </c>
      <c r="I104" s="1013" t="s">
        <v>854</v>
      </c>
      <c r="J104" s="1014" t="s">
        <v>855</v>
      </c>
      <c r="K104" s="1014" t="s">
        <v>856</v>
      </c>
      <c r="L104" s="1014" t="s">
        <v>857</v>
      </c>
      <c r="M104" s="1014" t="s">
        <v>858</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868</v>
      </c>
      <c r="B205" s="1009"/>
      <c r="C205" s="1009"/>
      <c r="D205" s="1009"/>
      <c r="E205" s="1009"/>
      <c r="F205" s="1009"/>
      <c r="G205" s="1009"/>
      <c r="H205" s="1009"/>
      <c r="I205" s="1009"/>
      <c r="J205" s="1009"/>
      <c r="K205" s="1009"/>
      <c r="L205" s="1009"/>
      <c r="M205" s="1009"/>
    </row>
    <row r="206" spans="1:13">
      <c r="A206" s="1011" t="s">
        <v>869</v>
      </c>
      <c r="B206" s="1012" t="s">
        <v>870</v>
      </c>
      <c r="C206" s="1012" t="s">
        <v>871</v>
      </c>
      <c r="D206" s="1012" t="s">
        <v>872</v>
      </c>
      <c r="E206" s="1012" t="s">
        <v>873</v>
      </c>
      <c r="F206" s="1012" t="s">
        <v>874</v>
      </c>
      <c r="G206" s="1012" t="s">
        <v>875</v>
      </c>
      <c r="H206" s="1013" t="s">
        <v>876</v>
      </c>
      <c r="I206" s="1013" t="s">
        <v>877</v>
      </c>
      <c r="J206" s="1014" t="s">
        <v>878</v>
      </c>
      <c r="K206" s="1014" t="s">
        <v>879</v>
      </c>
      <c r="L206" s="1014" t="s">
        <v>880</v>
      </c>
      <c r="M206" s="1014" t="s">
        <v>881</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882</v>
      </c>
      <c r="B307" s="1009"/>
      <c r="C307" s="1009"/>
      <c r="D307" s="1009"/>
      <c r="E307" s="1009"/>
      <c r="F307" s="1009"/>
      <c r="G307" s="1009"/>
      <c r="H307" s="1009"/>
      <c r="I307" s="1009"/>
      <c r="J307" s="1009"/>
      <c r="K307" s="1009"/>
      <c r="L307" s="1009"/>
      <c r="M307" s="1009"/>
    </row>
    <row r="308" spans="1:13">
      <c r="A308" s="1011" t="s">
        <v>869</v>
      </c>
      <c r="B308" s="1012" t="s">
        <v>870</v>
      </c>
      <c r="C308" s="1012" t="s">
        <v>871</v>
      </c>
      <c r="D308" s="1012" t="s">
        <v>872</v>
      </c>
      <c r="E308" s="1012" t="s">
        <v>873</v>
      </c>
      <c r="F308" s="1012" t="s">
        <v>874</v>
      </c>
      <c r="G308" s="1012" t="s">
        <v>875</v>
      </c>
      <c r="H308" s="1013" t="s">
        <v>876</v>
      </c>
      <c r="I308" s="1013" t="s">
        <v>877</v>
      </c>
      <c r="J308" s="1014" t="s">
        <v>878</v>
      </c>
      <c r="K308" s="1014" t="s">
        <v>879</v>
      </c>
      <c r="L308" s="1014" t="s">
        <v>880</v>
      </c>
      <c r="M308" s="1014" t="s">
        <v>881</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6" t="s">
        <v>2036</v>
      </c>
      <c r="B1" s="3466"/>
    </row>
    <row r="2" spans="1:6" ht="14.25" thickBot="1">
      <c r="A2" s="1836"/>
      <c r="B2" s="1836"/>
    </row>
    <row r="3" spans="1:6" ht="14.25" thickBot="1">
      <c r="A3" s="1836"/>
      <c r="B3" s="1836"/>
      <c r="C3" s="1837" t="s">
        <v>2037</v>
      </c>
      <c r="D3" s="1837" t="s">
        <v>2038</v>
      </c>
      <c r="E3" s="1837" t="s">
        <v>2039</v>
      </c>
      <c r="F3" s="1837" t="s">
        <v>2040</v>
      </c>
    </row>
    <row r="4" spans="1:6" ht="14.25" thickBot="1">
      <c r="A4" s="1838" t="s">
        <v>2041</v>
      </c>
      <c r="B4" s="1839" t="s">
        <v>2042</v>
      </c>
      <c r="C4" s="1837"/>
      <c r="D4" s="1837"/>
      <c r="E4" s="1837"/>
      <c r="F4" s="1837"/>
    </row>
    <row r="5" spans="1:6" ht="14.25" thickBot="1">
      <c r="A5" s="1840" t="s">
        <v>2043</v>
      </c>
      <c r="B5" s="1841" t="s">
        <v>2044</v>
      </c>
      <c r="C5" s="1842">
        <v>8.8999999999999996E-2</v>
      </c>
      <c r="D5" s="1842">
        <v>7.3999999999999996E-2</v>
      </c>
      <c r="E5" s="1842">
        <v>7.4999999999999997E-2</v>
      </c>
      <c r="F5" s="1843">
        <v>0.1</v>
      </c>
    </row>
    <row r="6" spans="1:6" ht="14.25" thickBot="1">
      <c r="A6" s="1840" t="s">
        <v>1059</v>
      </c>
      <c r="B6" s="1844" t="s">
        <v>2045</v>
      </c>
      <c r="C6" s="1845">
        <v>0.1</v>
      </c>
      <c r="D6" s="1845">
        <v>9.0999999999999998E-2</v>
      </c>
      <c r="E6" s="1845">
        <v>9.0999999999999998E-2</v>
      </c>
      <c r="F6" s="1846">
        <v>0.1</v>
      </c>
    </row>
    <row r="7" spans="1:6" ht="14.25" thickBot="1">
      <c r="A7" s="1840" t="s">
        <v>1059</v>
      </c>
      <c r="B7" s="1847" t="s">
        <v>1047</v>
      </c>
      <c r="C7" s="1845">
        <v>8.5999999999999993E-2</v>
      </c>
      <c r="D7" s="1845">
        <v>9.6000000000000002E-2</v>
      </c>
      <c r="E7" s="1845">
        <v>7.5999999999999998E-2</v>
      </c>
      <c r="F7" s="1846">
        <v>0.1</v>
      </c>
    </row>
    <row r="8" spans="1:6" ht="14.25" thickBot="1">
      <c r="A8" s="1840" t="s">
        <v>1059</v>
      </c>
      <c r="B8" s="1844" t="s">
        <v>1060</v>
      </c>
      <c r="C8" s="1845">
        <v>9.9000000000000005E-2</v>
      </c>
      <c r="D8" s="1845">
        <v>9.8000000000000004E-2</v>
      </c>
      <c r="E8" s="1845">
        <v>9.8000000000000004E-2</v>
      </c>
      <c r="F8" s="1846">
        <v>0.1</v>
      </c>
    </row>
    <row r="9" spans="1:6" ht="14.25" thickBot="1">
      <c r="A9" s="1848" t="s">
        <v>1059</v>
      </c>
      <c r="B9" s="1849" t="s">
        <v>1074</v>
      </c>
      <c r="C9" s="1850">
        <v>0.05</v>
      </c>
      <c r="D9" s="1851"/>
      <c r="E9" s="1851"/>
      <c r="F9" s="1852"/>
    </row>
    <row r="10" spans="1:6" ht="14.25" thickBot="1">
      <c r="A10" s="1840" t="s">
        <v>1118</v>
      </c>
      <c r="B10" s="1841" t="s">
        <v>2046</v>
      </c>
      <c r="C10" s="1842">
        <v>8.8999999999999996E-2</v>
      </c>
      <c r="D10" s="1842">
        <v>7.2999999999999995E-2</v>
      </c>
      <c r="E10" s="1842">
        <v>8.2000000000000003E-2</v>
      </c>
      <c r="F10" s="1843">
        <v>0.1</v>
      </c>
    </row>
    <row r="11" spans="1:6" ht="14.25" thickBot="1">
      <c r="A11" s="1840" t="s">
        <v>1118</v>
      </c>
      <c r="B11" s="1847" t="s">
        <v>1034</v>
      </c>
      <c r="C11" s="1845">
        <v>8.8999999999999996E-2</v>
      </c>
      <c r="D11" s="1845">
        <v>7.2999999999999995E-2</v>
      </c>
      <c r="E11" s="1845">
        <v>8.2000000000000003E-2</v>
      </c>
      <c r="F11" s="1846">
        <v>0.1</v>
      </c>
    </row>
    <row r="12" spans="1:6" ht="14.25" thickBot="1">
      <c r="A12" s="1840" t="s">
        <v>1118</v>
      </c>
      <c r="B12" s="1847" t="s">
        <v>1048</v>
      </c>
      <c r="C12" s="1845">
        <v>6.0999999999999999E-2</v>
      </c>
      <c r="D12" s="1845">
        <v>7.0999999999999994E-2</v>
      </c>
      <c r="E12" s="1845">
        <v>9.6000000000000002E-2</v>
      </c>
      <c r="F12" s="1846">
        <v>0.1</v>
      </c>
    </row>
    <row r="13" spans="1:6" ht="14.25" thickBot="1">
      <c r="A13" s="1840" t="s">
        <v>1118</v>
      </c>
      <c r="B13" s="1847" t="s">
        <v>1061</v>
      </c>
      <c r="C13" s="1845">
        <v>6.9000000000000006E-2</v>
      </c>
      <c r="D13" s="1845">
        <v>6.5000000000000002E-2</v>
      </c>
      <c r="E13" s="1845">
        <v>6.6000000000000003E-2</v>
      </c>
      <c r="F13" s="1846">
        <v>0.1</v>
      </c>
    </row>
    <row r="14" spans="1:6" ht="14.25" thickBot="1">
      <c r="A14" s="1840" t="s">
        <v>1118</v>
      </c>
      <c r="B14" s="1847" t="s">
        <v>1075</v>
      </c>
      <c r="C14" s="1845">
        <v>0.1</v>
      </c>
      <c r="D14" s="1845">
        <v>6.5000000000000002E-2</v>
      </c>
      <c r="E14" s="1845">
        <v>7.0000000000000007E-2</v>
      </c>
      <c r="F14" s="1846">
        <v>0.1</v>
      </c>
    </row>
    <row r="15" spans="1:6" ht="14.25" thickBot="1">
      <c r="A15" s="1840" t="s">
        <v>1118</v>
      </c>
      <c r="B15" s="1847" t="s">
        <v>1086</v>
      </c>
      <c r="C15" s="1845">
        <v>9.8000000000000004E-2</v>
      </c>
      <c r="D15" s="1845">
        <v>8.8999999999999996E-2</v>
      </c>
      <c r="E15" s="1845">
        <v>8.8999999999999996E-2</v>
      </c>
      <c r="F15" s="1846">
        <v>0.1</v>
      </c>
    </row>
    <row r="16" spans="1:6" ht="14.25" thickBot="1">
      <c r="A16" s="1840" t="s">
        <v>1118</v>
      </c>
      <c r="B16" s="1847" t="s">
        <v>1097</v>
      </c>
      <c r="C16" s="1845">
        <v>7.0000000000000007E-2</v>
      </c>
      <c r="D16" s="1845">
        <v>9.2999999999999999E-2</v>
      </c>
      <c r="E16" s="1845">
        <v>9.6000000000000002E-2</v>
      </c>
      <c r="F16" s="1846">
        <v>0.1</v>
      </c>
    </row>
    <row r="17" spans="1:6" ht="14.25" thickBot="1">
      <c r="A17" s="1840" t="s">
        <v>1118</v>
      </c>
      <c r="B17" s="1847" t="s">
        <v>1108</v>
      </c>
      <c r="C17" s="1845">
        <v>9.5000000000000001E-2</v>
      </c>
      <c r="D17" s="1845">
        <v>0.1</v>
      </c>
      <c r="E17" s="1845">
        <v>0.1</v>
      </c>
      <c r="F17" s="1853"/>
    </row>
    <row r="18" spans="1:6" ht="14.25" thickBot="1">
      <c r="A18" s="1840" t="s">
        <v>1118</v>
      </c>
      <c r="B18" s="1847" t="s">
        <v>1120</v>
      </c>
      <c r="C18" s="1845">
        <v>7.3999999999999996E-2</v>
      </c>
      <c r="D18" s="1845">
        <v>9.9000000000000005E-2</v>
      </c>
      <c r="E18" s="1845">
        <v>0.1</v>
      </c>
      <c r="F18" s="1853"/>
    </row>
    <row r="19" spans="1:6" ht="14.25" thickBot="1">
      <c r="A19" s="1840" t="s">
        <v>1118</v>
      </c>
      <c r="B19" s="1847" t="s">
        <v>1130</v>
      </c>
      <c r="C19" s="1845">
        <v>9.9000000000000005E-2</v>
      </c>
      <c r="D19" s="1845">
        <v>7.5999999999999998E-2</v>
      </c>
      <c r="E19" s="1845">
        <v>8.6999999999999994E-2</v>
      </c>
      <c r="F19" s="1853"/>
    </row>
    <row r="20" spans="1:6" ht="14.25" thickBot="1">
      <c r="A20" s="1840" t="s">
        <v>1118</v>
      </c>
      <c r="B20" s="1847" t="s">
        <v>1140</v>
      </c>
      <c r="C20" s="1845">
        <v>9.8000000000000004E-2</v>
      </c>
      <c r="D20" s="1845">
        <v>8.5000000000000006E-2</v>
      </c>
      <c r="E20" s="1845">
        <v>8.2000000000000003E-2</v>
      </c>
      <c r="F20" s="1853"/>
    </row>
    <row r="21" spans="1:6" ht="14.25" thickBot="1">
      <c r="A21" s="1840" t="s">
        <v>1118</v>
      </c>
      <c r="B21" s="1847" t="s">
        <v>1150</v>
      </c>
      <c r="C21" s="1845">
        <v>6.6000000000000003E-2</v>
      </c>
      <c r="D21" s="1845">
        <v>6.4000000000000001E-2</v>
      </c>
      <c r="E21" s="1845">
        <v>6.5000000000000002E-2</v>
      </c>
      <c r="F21" s="1853"/>
    </row>
    <row r="22" spans="1:6" ht="14.25" thickBot="1">
      <c r="A22" s="1840" t="s">
        <v>1118</v>
      </c>
      <c r="B22" s="1847" t="s">
        <v>2047</v>
      </c>
      <c r="C22" s="1845">
        <v>0.08</v>
      </c>
      <c r="D22" s="1845">
        <v>9.8000000000000004E-2</v>
      </c>
      <c r="E22" s="1845">
        <v>9.8000000000000004E-2</v>
      </c>
      <c r="F22" s="1853"/>
    </row>
    <row r="23" spans="1:6" ht="14.25" thickBot="1">
      <c r="A23" s="1840" t="s">
        <v>1118</v>
      </c>
      <c r="B23" s="1847" t="s">
        <v>1170</v>
      </c>
      <c r="C23" s="1845">
        <v>9.9000000000000005E-2</v>
      </c>
      <c r="D23" s="1845">
        <v>9.8000000000000004E-2</v>
      </c>
      <c r="E23" s="1845">
        <v>9.0999999999999998E-2</v>
      </c>
      <c r="F23" s="1853"/>
    </row>
    <row r="24" spans="1:6" ht="14.25" thickBot="1">
      <c r="A24" s="1840" t="s">
        <v>1118</v>
      </c>
      <c r="B24" s="1847" t="s">
        <v>1180</v>
      </c>
      <c r="C24" s="1845">
        <v>8.8999999999999996E-2</v>
      </c>
      <c r="D24" s="1845">
        <v>9.7000000000000003E-2</v>
      </c>
      <c r="E24" s="1845">
        <v>7.0000000000000007E-2</v>
      </c>
      <c r="F24" s="1853"/>
    </row>
    <row r="25" spans="1:6" ht="14.25" thickBot="1">
      <c r="A25" s="1840" t="s">
        <v>1118</v>
      </c>
      <c r="B25" s="1847" t="s">
        <v>1190</v>
      </c>
      <c r="C25" s="1845">
        <v>8.8999999999999996E-2</v>
      </c>
      <c r="D25" s="1845">
        <v>0.1</v>
      </c>
      <c r="E25" s="1845">
        <v>8.1000000000000003E-2</v>
      </c>
      <c r="F25" s="1853"/>
    </row>
    <row r="26" spans="1:6" ht="14.25" thickBot="1">
      <c r="A26" s="1840" t="s">
        <v>1118</v>
      </c>
      <c r="B26" s="1847" t="s">
        <v>1200</v>
      </c>
      <c r="C26" s="1854"/>
      <c r="D26" s="1845">
        <v>9.6000000000000002E-2</v>
      </c>
      <c r="E26" s="1845">
        <v>9.2999999999999999E-2</v>
      </c>
      <c r="F26" s="1853"/>
    </row>
    <row r="27" spans="1:6" ht="14.25" thickBot="1">
      <c r="A27" s="1840" t="s">
        <v>1118</v>
      </c>
      <c r="B27" s="1847" t="s">
        <v>1210</v>
      </c>
      <c r="C27" s="1854"/>
      <c r="D27" s="1845">
        <v>7.5999999999999998E-2</v>
      </c>
      <c r="E27" s="1845">
        <v>9.1999999999999998E-2</v>
      </c>
      <c r="F27" s="1853"/>
    </row>
    <row r="28" spans="1:6" ht="14.25" thickBot="1">
      <c r="A28" s="1848" t="s">
        <v>1118</v>
      </c>
      <c r="B28" s="1849" t="s">
        <v>1220</v>
      </c>
      <c r="C28" s="1851"/>
      <c r="D28" s="1850">
        <v>7.5999999999999998E-2</v>
      </c>
      <c r="E28" s="1850">
        <v>9.1999999999999998E-2</v>
      </c>
      <c r="F28" s="1852"/>
    </row>
    <row r="29" spans="1:6" ht="14.25" thickBot="1">
      <c r="A29" s="1840" t="s">
        <v>1289</v>
      </c>
      <c r="B29" s="1841" t="s">
        <v>2048</v>
      </c>
      <c r="C29" s="1842">
        <v>6.4000000000000001E-2</v>
      </c>
      <c r="D29" s="1842">
        <v>6.5000000000000002E-2</v>
      </c>
      <c r="E29" s="1842">
        <v>6.9000000000000006E-2</v>
      </c>
      <c r="F29" s="1843">
        <v>0.1</v>
      </c>
    </row>
    <row r="30" spans="1:6" ht="14.25" thickBot="1">
      <c r="A30" s="1840" t="s">
        <v>1289</v>
      </c>
      <c r="B30" s="1847" t="s">
        <v>1035</v>
      </c>
      <c r="C30" s="1845">
        <v>6.4000000000000001E-2</v>
      </c>
      <c r="D30" s="1845">
        <v>9.9000000000000005E-2</v>
      </c>
      <c r="E30" s="1845">
        <v>0.1</v>
      </c>
      <c r="F30" s="1846">
        <v>0.1</v>
      </c>
    </row>
    <row r="31" spans="1:6" ht="14.25" thickBot="1">
      <c r="A31" s="1840" t="s">
        <v>1289</v>
      </c>
      <c r="B31" s="1847" t="s">
        <v>1049</v>
      </c>
      <c r="C31" s="1845">
        <v>0.1</v>
      </c>
      <c r="D31" s="1845">
        <v>9.5000000000000001E-2</v>
      </c>
      <c r="E31" s="1845">
        <v>8.8999999999999996E-2</v>
      </c>
      <c r="F31" s="1846">
        <v>0.1</v>
      </c>
    </row>
    <row r="32" spans="1:6" ht="14.25" thickBot="1">
      <c r="A32" s="1840" t="s">
        <v>1289</v>
      </c>
      <c r="B32" s="1847" t="s">
        <v>1062</v>
      </c>
      <c r="C32" s="1845">
        <v>0.05</v>
      </c>
      <c r="D32" s="1845">
        <v>0.05</v>
      </c>
      <c r="E32" s="1845">
        <v>8.7999999999999995E-2</v>
      </c>
      <c r="F32" s="1846">
        <v>0.1</v>
      </c>
    </row>
    <row r="33" spans="1:6" ht="14.25" thickBot="1">
      <c r="A33" s="1840" t="s">
        <v>1289</v>
      </c>
      <c r="B33" s="1847" t="s">
        <v>1076</v>
      </c>
      <c r="C33" s="1845">
        <v>7.4999999999999997E-2</v>
      </c>
      <c r="D33" s="1845">
        <v>9.4E-2</v>
      </c>
      <c r="E33" s="1845">
        <v>9.7000000000000003E-2</v>
      </c>
      <c r="F33" s="1846">
        <v>0.1</v>
      </c>
    </row>
    <row r="34" spans="1:6" ht="14.25" thickBot="1">
      <c r="A34" s="1840" t="s">
        <v>1289</v>
      </c>
      <c r="B34" s="1847" t="s">
        <v>1087</v>
      </c>
      <c r="C34" s="1845">
        <v>9.8000000000000004E-2</v>
      </c>
      <c r="D34" s="1845">
        <v>8.5999999999999993E-2</v>
      </c>
      <c r="E34" s="1845">
        <v>9.7000000000000003E-2</v>
      </c>
      <c r="F34" s="1846">
        <v>0.1</v>
      </c>
    </row>
    <row r="35" spans="1:6" ht="14.25" thickBot="1">
      <c r="A35" s="1840" t="s">
        <v>1289</v>
      </c>
      <c r="B35" s="1847" t="s">
        <v>1098</v>
      </c>
      <c r="C35" s="1845">
        <v>5.8999999999999997E-2</v>
      </c>
      <c r="D35" s="1845">
        <v>6.5000000000000002E-2</v>
      </c>
      <c r="E35" s="1845">
        <v>7.0000000000000007E-2</v>
      </c>
      <c r="F35" s="1846">
        <v>0.1</v>
      </c>
    </row>
    <row r="36" spans="1:6" ht="14.25" thickBot="1">
      <c r="A36" s="1840" t="s">
        <v>1289</v>
      </c>
      <c r="B36" s="1847" t="s">
        <v>1109</v>
      </c>
      <c r="C36" s="1845">
        <v>6.3E-2</v>
      </c>
      <c r="D36" s="1845">
        <v>0.1</v>
      </c>
      <c r="E36" s="1845">
        <v>0.1</v>
      </c>
      <c r="F36" s="1846">
        <v>0.1</v>
      </c>
    </row>
    <row r="37" spans="1:6" ht="14.25" thickBot="1">
      <c r="A37" s="1840" t="s">
        <v>1289</v>
      </c>
      <c r="B37" s="1847" t="s">
        <v>1121</v>
      </c>
      <c r="C37" s="1845">
        <v>7.3999999999999996E-2</v>
      </c>
      <c r="D37" s="1845">
        <v>0.1</v>
      </c>
      <c r="E37" s="1845">
        <v>0.1</v>
      </c>
      <c r="F37" s="1846">
        <v>0.1</v>
      </c>
    </row>
    <row r="38" spans="1:6" ht="14.25" thickBot="1">
      <c r="A38" s="1840" t="s">
        <v>1289</v>
      </c>
      <c r="B38" s="1847" t="s">
        <v>1131</v>
      </c>
      <c r="C38" s="1845">
        <v>0.1</v>
      </c>
      <c r="D38" s="1845">
        <v>9.6000000000000002E-2</v>
      </c>
      <c r="E38" s="1845">
        <v>9.6000000000000002E-2</v>
      </c>
      <c r="F38" s="1853"/>
    </row>
    <row r="39" spans="1:6" ht="14.25" thickBot="1">
      <c r="A39" s="1840" t="s">
        <v>1289</v>
      </c>
      <c r="B39" s="1847" t="s">
        <v>1141</v>
      </c>
      <c r="C39" s="1845">
        <v>0.1</v>
      </c>
      <c r="D39" s="1845">
        <v>9.6000000000000002E-2</v>
      </c>
      <c r="E39" s="1845">
        <v>9.6000000000000002E-2</v>
      </c>
      <c r="F39" s="1853"/>
    </row>
    <row r="40" spans="1:6" ht="14.25" thickBot="1">
      <c r="A40" s="1840" t="s">
        <v>1289</v>
      </c>
      <c r="B40" s="1847" t="s">
        <v>1151</v>
      </c>
      <c r="C40" s="1845">
        <v>9.6000000000000002E-2</v>
      </c>
      <c r="D40" s="1845">
        <v>0.1</v>
      </c>
      <c r="E40" s="1845">
        <v>9.9000000000000005E-2</v>
      </c>
      <c r="F40" s="1853"/>
    </row>
    <row r="41" spans="1:6" ht="14.25" thickBot="1">
      <c r="A41" s="1840" t="s">
        <v>1289</v>
      </c>
      <c r="B41" s="1847" t="s">
        <v>1161</v>
      </c>
      <c r="C41" s="1845">
        <v>9.6000000000000002E-2</v>
      </c>
      <c r="D41" s="1845">
        <v>9.8000000000000004E-2</v>
      </c>
      <c r="E41" s="1845">
        <v>9.8000000000000004E-2</v>
      </c>
      <c r="F41" s="1853"/>
    </row>
    <row r="42" spans="1:6" ht="14.25" thickBot="1">
      <c r="A42" s="1840" t="s">
        <v>1289</v>
      </c>
      <c r="B42" s="1847" t="s">
        <v>1171</v>
      </c>
      <c r="C42" s="1845">
        <v>0.1</v>
      </c>
      <c r="D42" s="1845">
        <v>8.7999999999999995E-2</v>
      </c>
      <c r="E42" s="1845">
        <v>0.1</v>
      </c>
      <c r="F42" s="1853"/>
    </row>
    <row r="43" spans="1:6" ht="14.25" thickBot="1">
      <c r="A43" s="1840" t="s">
        <v>1289</v>
      </c>
      <c r="B43" s="1847" t="s">
        <v>1181</v>
      </c>
      <c r="C43" s="1845">
        <v>9.8000000000000004E-2</v>
      </c>
      <c r="D43" s="1845">
        <v>9.7000000000000003E-2</v>
      </c>
      <c r="E43" s="1845">
        <v>9.6000000000000002E-2</v>
      </c>
      <c r="F43" s="1853"/>
    </row>
    <row r="44" spans="1:6" ht="14.25" thickBot="1">
      <c r="A44" s="1840" t="s">
        <v>1289</v>
      </c>
      <c r="B44" s="1847" t="s">
        <v>1191</v>
      </c>
      <c r="C44" s="1845">
        <v>8.5999999999999993E-2</v>
      </c>
      <c r="D44" s="1845">
        <v>7.9000000000000001E-2</v>
      </c>
      <c r="E44" s="1845">
        <v>7.0999999999999994E-2</v>
      </c>
      <c r="F44" s="1853"/>
    </row>
    <row r="45" spans="1:6" ht="14.25" thickBot="1">
      <c r="A45" s="1840" t="s">
        <v>1289</v>
      </c>
      <c r="B45" s="1847" t="s">
        <v>1201</v>
      </c>
      <c r="C45" s="1845">
        <v>9.8000000000000004E-2</v>
      </c>
      <c r="D45" s="1845">
        <v>9.6000000000000002E-2</v>
      </c>
      <c r="E45" s="1845">
        <v>9.6000000000000002E-2</v>
      </c>
      <c r="F45" s="1853"/>
    </row>
    <row r="46" spans="1:6" ht="14.25" thickBot="1">
      <c r="A46" s="1840" t="s">
        <v>1289</v>
      </c>
      <c r="B46" s="1847" t="s">
        <v>1211</v>
      </c>
      <c r="C46" s="1845">
        <v>8.5999999999999993E-2</v>
      </c>
      <c r="D46" s="1845">
        <v>9.8000000000000004E-2</v>
      </c>
      <c r="E46" s="1845">
        <v>8.7999999999999995E-2</v>
      </c>
      <c r="F46" s="1853"/>
    </row>
    <row r="47" spans="1:6" ht="14.25" thickBot="1">
      <c r="A47" s="1840" t="s">
        <v>1289</v>
      </c>
      <c r="B47" s="1847" t="s">
        <v>1221</v>
      </c>
      <c r="C47" s="1845">
        <v>9.6000000000000002E-2</v>
      </c>
      <c r="D47" s="1854"/>
      <c r="E47" s="1845">
        <v>6.9000000000000006E-2</v>
      </c>
      <c r="F47" s="1853"/>
    </row>
    <row r="48" spans="1:6" ht="14.25" thickBot="1">
      <c r="A48" s="1848" t="s">
        <v>1289</v>
      </c>
      <c r="B48" s="1849" t="s">
        <v>1230</v>
      </c>
      <c r="C48" s="1850">
        <v>9.8000000000000004E-2</v>
      </c>
      <c r="D48" s="1851"/>
      <c r="E48" s="1850">
        <v>9.5000000000000001E-2</v>
      </c>
      <c r="F48" s="1852"/>
    </row>
    <row r="49" spans="1:6" ht="14.25" thickBot="1">
      <c r="A49" s="1840" t="s">
        <v>888</v>
      </c>
      <c r="B49" s="1841" t="s">
        <v>2049</v>
      </c>
      <c r="C49" s="1842">
        <v>9.7000000000000003E-2</v>
      </c>
      <c r="D49" s="1842">
        <v>9.5000000000000001E-2</v>
      </c>
      <c r="E49" s="1842">
        <v>9.7000000000000003E-2</v>
      </c>
      <c r="F49" s="1843">
        <v>0.1</v>
      </c>
    </row>
    <row r="50" spans="1:6" ht="14.25" thickBot="1">
      <c r="A50" s="1840" t="s">
        <v>888</v>
      </c>
      <c r="B50" s="1844" t="s">
        <v>1036</v>
      </c>
      <c r="C50" s="1845">
        <v>7.4999999999999997E-2</v>
      </c>
      <c r="D50" s="1845">
        <v>9.5000000000000001E-2</v>
      </c>
      <c r="E50" s="1845">
        <v>0.1</v>
      </c>
      <c r="F50" s="1846">
        <v>0.1</v>
      </c>
    </row>
    <row r="51" spans="1:6" ht="14.25" thickBot="1">
      <c r="A51" s="1840" t="s">
        <v>888</v>
      </c>
      <c r="B51" s="1844" t="s">
        <v>1050</v>
      </c>
      <c r="C51" s="1845">
        <v>9.8000000000000004E-2</v>
      </c>
      <c r="D51" s="1845">
        <v>8.8999999999999996E-2</v>
      </c>
      <c r="E51" s="1845">
        <v>0.1</v>
      </c>
      <c r="F51" s="1846">
        <v>0.1</v>
      </c>
    </row>
    <row r="52" spans="1:6" ht="14.25" thickBot="1">
      <c r="A52" s="1840" t="s">
        <v>888</v>
      </c>
      <c r="B52" s="1844" t="s">
        <v>1063</v>
      </c>
      <c r="C52" s="1845">
        <v>9.8000000000000004E-2</v>
      </c>
      <c r="D52" s="1845">
        <v>9.7000000000000003E-2</v>
      </c>
      <c r="E52" s="1845">
        <v>8.1000000000000003E-2</v>
      </c>
      <c r="F52" s="1846">
        <v>0.1</v>
      </c>
    </row>
    <row r="53" spans="1:6" ht="14.25" thickBot="1">
      <c r="A53" s="1840" t="s">
        <v>888</v>
      </c>
      <c r="B53" s="1844" t="s">
        <v>1077</v>
      </c>
      <c r="C53" s="1845">
        <v>9.7000000000000003E-2</v>
      </c>
      <c r="D53" s="1845">
        <v>7.5999999999999998E-2</v>
      </c>
      <c r="E53" s="1845">
        <v>7.0999999999999994E-2</v>
      </c>
      <c r="F53" s="1846">
        <v>0.1</v>
      </c>
    </row>
    <row r="54" spans="1:6" ht="14.25" thickBot="1">
      <c r="A54" s="1840" t="s">
        <v>888</v>
      </c>
      <c r="B54" s="1844" t="s">
        <v>1088</v>
      </c>
      <c r="C54" s="1845">
        <v>7.5999999999999998E-2</v>
      </c>
      <c r="D54" s="1845">
        <v>0.1</v>
      </c>
      <c r="E54" s="1845">
        <v>9.9000000000000005E-2</v>
      </c>
      <c r="F54" s="1846">
        <v>0.1</v>
      </c>
    </row>
    <row r="55" spans="1:6" ht="14.25" thickBot="1">
      <c r="A55" s="1840" t="s">
        <v>888</v>
      </c>
      <c r="B55" s="1844" t="s">
        <v>1099</v>
      </c>
      <c r="C55" s="1845">
        <v>0.1</v>
      </c>
      <c r="D55" s="1845">
        <v>0.1</v>
      </c>
      <c r="E55" s="1845">
        <v>9.6000000000000002E-2</v>
      </c>
      <c r="F55" s="1846">
        <v>0.1</v>
      </c>
    </row>
    <row r="56" spans="1:6" ht="14.25" thickBot="1">
      <c r="A56" s="1840" t="s">
        <v>888</v>
      </c>
      <c r="B56" s="1844" t="s">
        <v>1110</v>
      </c>
      <c r="C56" s="1845">
        <v>0.1</v>
      </c>
      <c r="D56" s="1845">
        <v>9.6000000000000002E-2</v>
      </c>
      <c r="E56" s="1845">
        <v>5.1999999999999998E-2</v>
      </c>
      <c r="F56" s="1846">
        <v>0.1</v>
      </c>
    </row>
    <row r="57" spans="1:6" ht="14.25" thickBot="1">
      <c r="A57" s="1840" t="s">
        <v>888</v>
      </c>
      <c r="B57" s="1844" t="s">
        <v>1122</v>
      </c>
      <c r="C57" s="1845">
        <v>9.7000000000000003E-2</v>
      </c>
      <c r="D57" s="1845">
        <v>9.6000000000000002E-2</v>
      </c>
      <c r="E57" s="1845">
        <v>9.6000000000000002E-2</v>
      </c>
      <c r="F57" s="1846">
        <v>0.1</v>
      </c>
    </row>
    <row r="58" spans="1:6" ht="14.25" thickBot="1">
      <c r="A58" s="1840" t="s">
        <v>888</v>
      </c>
      <c r="B58" s="1844" t="s">
        <v>1132</v>
      </c>
      <c r="C58" s="1845">
        <v>9.6000000000000002E-2</v>
      </c>
      <c r="D58" s="1845">
        <v>9.9000000000000005E-2</v>
      </c>
      <c r="E58" s="1845">
        <v>9.6000000000000002E-2</v>
      </c>
      <c r="F58" s="1846">
        <v>0.1</v>
      </c>
    </row>
    <row r="59" spans="1:6" ht="14.25" thickBot="1">
      <c r="A59" s="1840" t="s">
        <v>888</v>
      </c>
      <c r="B59" s="1844" t="s">
        <v>1142</v>
      </c>
      <c r="C59" s="1845">
        <v>7.1999999999999995E-2</v>
      </c>
      <c r="D59" s="1845">
        <v>9.6000000000000002E-2</v>
      </c>
      <c r="E59" s="1845">
        <v>7.0999999999999994E-2</v>
      </c>
      <c r="F59" s="1846">
        <v>0.1</v>
      </c>
    </row>
    <row r="60" spans="1:6" ht="14.25" thickBot="1">
      <c r="A60" s="1840" t="s">
        <v>888</v>
      </c>
      <c r="B60" s="1844" t="s">
        <v>1152</v>
      </c>
      <c r="C60" s="1845">
        <v>9.6000000000000002E-2</v>
      </c>
      <c r="D60" s="1845">
        <v>8.8999999999999996E-2</v>
      </c>
      <c r="E60" s="1845">
        <v>9.6000000000000002E-2</v>
      </c>
      <c r="F60" s="1846">
        <v>0.1</v>
      </c>
    </row>
    <row r="61" spans="1:6" ht="14.25" thickBot="1">
      <c r="A61" s="1840" t="s">
        <v>888</v>
      </c>
      <c r="B61" s="1844" t="s">
        <v>1162</v>
      </c>
      <c r="C61" s="1845">
        <v>8.8999999999999996E-2</v>
      </c>
      <c r="D61" s="1845">
        <v>9.8000000000000004E-2</v>
      </c>
      <c r="E61" s="1845">
        <v>8.7999999999999995E-2</v>
      </c>
      <c r="F61" s="1853"/>
    </row>
    <row r="62" spans="1:6" ht="14.25" thickBot="1">
      <c r="A62" s="1840" t="s">
        <v>888</v>
      </c>
      <c r="B62" s="1844" t="s">
        <v>1172</v>
      </c>
      <c r="C62" s="1845">
        <v>9.8000000000000004E-2</v>
      </c>
      <c r="D62" s="1845">
        <v>9.2999999999999999E-2</v>
      </c>
      <c r="E62" s="1845">
        <v>9.7000000000000003E-2</v>
      </c>
      <c r="F62" s="1853"/>
    </row>
    <row r="63" spans="1:6" ht="14.25" thickBot="1">
      <c r="A63" s="1840" t="s">
        <v>888</v>
      </c>
      <c r="B63" s="1844" t="s">
        <v>1182</v>
      </c>
      <c r="C63" s="1845">
        <v>9.6000000000000002E-2</v>
      </c>
      <c r="D63" s="1845">
        <v>9.8000000000000004E-2</v>
      </c>
      <c r="E63" s="1845">
        <v>0.09</v>
      </c>
      <c r="F63" s="1853"/>
    </row>
    <row r="64" spans="1:6" ht="14.25" thickBot="1">
      <c r="A64" s="1840" t="s">
        <v>888</v>
      </c>
      <c r="B64" s="1844" t="s">
        <v>1192</v>
      </c>
      <c r="C64" s="1845">
        <v>9.9000000000000005E-2</v>
      </c>
      <c r="D64" s="1845">
        <v>9.7000000000000003E-2</v>
      </c>
      <c r="E64" s="1845">
        <v>9.9000000000000005E-2</v>
      </c>
      <c r="F64" s="1853"/>
    </row>
    <row r="65" spans="1:6" ht="14.25" thickBot="1">
      <c r="A65" s="1840" t="s">
        <v>888</v>
      </c>
      <c r="B65" s="1844" t="s">
        <v>1202</v>
      </c>
      <c r="C65" s="1845">
        <v>9.8000000000000004E-2</v>
      </c>
      <c r="D65" s="1845">
        <v>9.6000000000000002E-2</v>
      </c>
      <c r="E65" s="1845">
        <v>9.6000000000000002E-2</v>
      </c>
      <c r="F65" s="1853"/>
    </row>
    <row r="66" spans="1:6" ht="14.25" thickBot="1">
      <c r="A66" s="1840" t="s">
        <v>888</v>
      </c>
      <c r="B66" s="1844" t="s">
        <v>1212</v>
      </c>
      <c r="C66" s="1845">
        <v>9.6000000000000002E-2</v>
      </c>
      <c r="D66" s="1845">
        <v>9.1999999999999998E-2</v>
      </c>
      <c r="E66" s="1845">
        <v>9.6000000000000002E-2</v>
      </c>
      <c r="F66" s="1853"/>
    </row>
    <row r="67" spans="1:6" ht="14.25" thickBot="1">
      <c r="A67" s="1840" t="s">
        <v>888</v>
      </c>
      <c r="B67" s="1844" t="s">
        <v>1222</v>
      </c>
      <c r="C67" s="1845">
        <v>9.4E-2</v>
      </c>
      <c r="D67" s="1845">
        <v>0.1</v>
      </c>
      <c r="E67" s="1845">
        <v>8.7999999999999995E-2</v>
      </c>
      <c r="F67" s="1853"/>
    </row>
    <row r="68" spans="1:6" ht="14.25" thickBot="1">
      <c r="A68" s="1840" t="s">
        <v>888</v>
      </c>
      <c r="B68" s="1844" t="s">
        <v>1231</v>
      </c>
      <c r="C68" s="1845">
        <v>0.1</v>
      </c>
      <c r="D68" s="1845">
        <v>8.7999999999999995E-2</v>
      </c>
      <c r="E68" s="1845">
        <v>9.7000000000000003E-2</v>
      </c>
      <c r="F68" s="1853"/>
    </row>
    <row r="69" spans="1:6" ht="14.25" thickBot="1">
      <c r="A69" s="1840" t="s">
        <v>888</v>
      </c>
      <c r="B69" s="1844" t="s">
        <v>1240</v>
      </c>
      <c r="C69" s="1845">
        <v>6.4000000000000001E-2</v>
      </c>
      <c r="D69" s="1845">
        <v>0.1</v>
      </c>
      <c r="E69" s="1845">
        <v>0.1</v>
      </c>
      <c r="F69" s="1853"/>
    </row>
    <row r="70" spans="1:6" ht="14.25" thickBot="1">
      <c r="A70" s="1840" t="s">
        <v>888</v>
      </c>
      <c r="B70" s="1844" t="s">
        <v>1248</v>
      </c>
      <c r="C70" s="1845">
        <v>9.0999999999999998E-2</v>
      </c>
      <c r="D70" s="1854"/>
      <c r="E70" s="1854"/>
      <c r="F70" s="1853"/>
    </row>
    <row r="71" spans="1:6" ht="14.25" thickBot="1">
      <c r="A71" s="1840" t="s">
        <v>888</v>
      </c>
      <c r="B71" s="1844" t="s">
        <v>1255</v>
      </c>
      <c r="C71" s="1845">
        <v>0.1</v>
      </c>
      <c r="D71" s="1854"/>
      <c r="E71" s="1854"/>
      <c r="F71" s="1853"/>
    </row>
    <row r="72" spans="1:6" ht="14.25" thickBot="1">
      <c r="A72" s="1840" t="s">
        <v>888</v>
      </c>
      <c r="B72" s="1844" t="s">
        <v>2050</v>
      </c>
      <c r="C72" s="1854"/>
      <c r="D72" s="1854"/>
      <c r="E72" s="1854"/>
      <c r="F72" s="1846">
        <v>0.05</v>
      </c>
    </row>
    <row r="73" spans="1:6" ht="14.25" thickBot="1">
      <c r="A73" s="1840" t="s">
        <v>888</v>
      </c>
      <c r="B73" s="1844" t="s">
        <v>2051</v>
      </c>
      <c r="C73" s="1854"/>
      <c r="D73" s="1854"/>
      <c r="E73" s="1854"/>
      <c r="F73" s="1846">
        <v>0.05</v>
      </c>
    </row>
    <row r="74" spans="1:6" ht="14.25" thickBot="1">
      <c r="A74" s="1840" t="s">
        <v>888</v>
      </c>
      <c r="B74" s="1844" t="s">
        <v>2052</v>
      </c>
      <c r="C74" s="1854"/>
      <c r="D74" s="1854"/>
      <c r="E74" s="1854"/>
      <c r="F74" s="1846">
        <v>0.05</v>
      </c>
    </row>
    <row r="75" spans="1:6" ht="14.25" thickBot="1">
      <c r="A75" s="1848" t="s">
        <v>888</v>
      </c>
      <c r="B75" s="1855" t="s">
        <v>2053</v>
      </c>
      <c r="C75" s="1851"/>
      <c r="D75" s="1851"/>
      <c r="E75" s="1851"/>
      <c r="F75" s="1856">
        <v>0.05</v>
      </c>
    </row>
    <row r="76" spans="1:6" ht="14.25" thickBot="1">
      <c r="A76" s="1840" t="s">
        <v>1370</v>
      </c>
      <c r="B76" s="1841" t="s">
        <v>2054</v>
      </c>
      <c r="C76" s="1842">
        <v>0.1</v>
      </c>
      <c r="D76" s="1842">
        <v>0.1</v>
      </c>
      <c r="E76" s="1842">
        <v>0.1</v>
      </c>
      <c r="F76" s="1843">
        <v>0.1</v>
      </c>
    </row>
    <row r="77" spans="1:6" ht="14.25" thickBot="1">
      <c r="A77" s="1840" t="s">
        <v>1370</v>
      </c>
      <c r="B77" s="1844" t="s">
        <v>1037</v>
      </c>
      <c r="C77" s="1845">
        <v>8.7999999999999995E-2</v>
      </c>
      <c r="D77" s="1845">
        <v>8.6999999999999994E-2</v>
      </c>
      <c r="E77" s="1845">
        <v>7.9000000000000001E-2</v>
      </c>
      <c r="F77" s="1846">
        <v>0.1</v>
      </c>
    </row>
    <row r="78" spans="1:6" ht="14.25" thickBot="1">
      <c r="A78" s="1840" t="s">
        <v>1370</v>
      </c>
      <c r="B78" s="1844" t="s">
        <v>1051</v>
      </c>
      <c r="C78" s="1845">
        <v>8.6999999999999994E-2</v>
      </c>
      <c r="D78" s="1845">
        <v>8.4000000000000005E-2</v>
      </c>
      <c r="E78" s="1845">
        <v>9.6000000000000002E-2</v>
      </c>
      <c r="F78" s="1846">
        <v>0.1</v>
      </c>
    </row>
    <row r="79" spans="1:6" ht="14.25" thickBot="1">
      <c r="A79" s="1840" t="s">
        <v>1370</v>
      </c>
      <c r="B79" s="1844" t="s">
        <v>1064</v>
      </c>
      <c r="C79" s="1845">
        <v>9.8000000000000004E-2</v>
      </c>
      <c r="D79" s="1845">
        <v>9.8000000000000004E-2</v>
      </c>
      <c r="E79" s="1845">
        <v>9.0999999999999998E-2</v>
      </c>
      <c r="F79" s="1846">
        <v>0.1</v>
      </c>
    </row>
    <row r="80" spans="1:6" ht="14.25" thickBot="1">
      <c r="A80" s="1840" t="s">
        <v>1370</v>
      </c>
      <c r="B80" s="1844" t="s">
        <v>1078</v>
      </c>
      <c r="C80" s="1845">
        <v>9.6000000000000002E-2</v>
      </c>
      <c r="D80" s="1845">
        <v>9.6000000000000002E-2</v>
      </c>
      <c r="E80" s="1845">
        <v>0.1</v>
      </c>
      <c r="F80" s="1846">
        <v>0.1</v>
      </c>
    </row>
    <row r="81" spans="1:6" ht="14.25" thickBot="1">
      <c r="A81" s="1840" t="s">
        <v>1370</v>
      </c>
      <c r="B81" s="1844" t="s">
        <v>1089</v>
      </c>
      <c r="C81" s="1845">
        <v>9.9000000000000005E-2</v>
      </c>
      <c r="D81" s="1845">
        <v>9.9000000000000005E-2</v>
      </c>
      <c r="E81" s="1845">
        <v>9.8000000000000004E-2</v>
      </c>
      <c r="F81" s="1846">
        <v>0.1</v>
      </c>
    </row>
    <row r="82" spans="1:6" ht="14.25" thickBot="1">
      <c r="A82" s="1840" t="s">
        <v>1370</v>
      </c>
      <c r="B82" s="1844" t="s">
        <v>1100</v>
      </c>
      <c r="C82" s="1845">
        <v>9.9000000000000005E-2</v>
      </c>
      <c r="D82" s="1845">
        <v>9.9000000000000005E-2</v>
      </c>
      <c r="E82" s="1845">
        <v>9.7000000000000003E-2</v>
      </c>
      <c r="F82" s="1846">
        <v>0.1</v>
      </c>
    </row>
    <row r="83" spans="1:6" ht="14.25" thickBot="1">
      <c r="A83" s="1840" t="s">
        <v>1370</v>
      </c>
      <c r="B83" s="1844" t="s">
        <v>1111</v>
      </c>
      <c r="C83" s="1845">
        <v>9.8000000000000004E-2</v>
      </c>
      <c r="D83" s="1845">
        <v>9.8000000000000004E-2</v>
      </c>
      <c r="E83" s="1845">
        <v>9.8000000000000004E-2</v>
      </c>
      <c r="F83" s="1846">
        <v>0.1</v>
      </c>
    </row>
    <row r="84" spans="1:6" ht="14.25" thickBot="1">
      <c r="A84" s="1840" t="s">
        <v>1370</v>
      </c>
      <c r="B84" s="1844" t="s">
        <v>1123</v>
      </c>
      <c r="C84" s="1845">
        <v>9.9000000000000005E-2</v>
      </c>
      <c r="D84" s="1845">
        <v>9.9000000000000005E-2</v>
      </c>
      <c r="E84" s="1845">
        <v>9.9000000000000005E-2</v>
      </c>
      <c r="F84" s="1846">
        <v>0.1</v>
      </c>
    </row>
    <row r="85" spans="1:6" ht="14.25" thickBot="1">
      <c r="A85" s="1840" t="s">
        <v>1370</v>
      </c>
      <c r="B85" s="1844" t="s">
        <v>1133</v>
      </c>
      <c r="C85" s="1845">
        <v>9.9000000000000005E-2</v>
      </c>
      <c r="D85" s="1845">
        <v>9.9000000000000005E-2</v>
      </c>
      <c r="E85" s="1845">
        <v>9.9000000000000005E-2</v>
      </c>
      <c r="F85" s="1846">
        <v>0.1</v>
      </c>
    </row>
    <row r="86" spans="1:6" ht="14.25" thickBot="1">
      <c r="A86" s="1840" t="s">
        <v>1370</v>
      </c>
      <c r="B86" s="1844" t="s">
        <v>1143</v>
      </c>
      <c r="C86" s="1845">
        <v>0.1</v>
      </c>
      <c r="D86" s="1845">
        <v>0.1</v>
      </c>
      <c r="E86" s="1845">
        <v>7.6999999999999999E-2</v>
      </c>
      <c r="F86" s="1846">
        <v>0.1</v>
      </c>
    </row>
    <row r="87" spans="1:6" ht="14.25" thickBot="1">
      <c r="A87" s="1840" t="s">
        <v>1370</v>
      </c>
      <c r="B87" s="1844" t="s">
        <v>1153</v>
      </c>
      <c r="C87" s="1845">
        <v>0.1</v>
      </c>
      <c r="D87" s="1845">
        <v>0.1</v>
      </c>
      <c r="E87" s="1845">
        <v>9.8000000000000004E-2</v>
      </c>
      <c r="F87" s="1853"/>
    </row>
    <row r="88" spans="1:6" ht="14.25" thickBot="1">
      <c r="A88" s="1840" t="s">
        <v>1370</v>
      </c>
      <c r="B88" s="1844" t="s">
        <v>1163</v>
      </c>
      <c r="C88" s="1845">
        <v>9.1999999999999998E-2</v>
      </c>
      <c r="D88" s="1845">
        <v>8.5000000000000006E-2</v>
      </c>
      <c r="E88" s="1845">
        <v>9.6000000000000002E-2</v>
      </c>
      <c r="F88" s="1853"/>
    </row>
    <row r="89" spans="1:6" ht="14.25" thickBot="1">
      <c r="A89" s="1840" t="s">
        <v>1370</v>
      </c>
      <c r="B89" s="1844" t="s">
        <v>1173</v>
      </c>
      <c r="C89" s="1845">
        <v>0.1</v>
      </c>
      <c r="D89" s="1845">
        <v>0.1</v>
      </c>
      <c r="E89" s="1845">
        <v>9.7000000000000003E-2</v>
      </c>
      <c r="F89" s="1853"/>
    </row>
    <row r="90" spans="1:6" ht="14.25" thickBot="1">
      <c r="A90" s="1840" t="s">
        <v>1370</v>
      </c>
      <c r="B90" s="1844" t="s">
        <v>1183</v>
      </c>
      <c r="C90" s="1845">
        <v>9.8000000000000004E-2</v>
      </c>
      <c r="D90" s="1845">
        <v>9.8000000000000004E-2</v>
      </c>
      <c r="E90" s="1845">
        <v>8.7999999999999995E-2</v>
      </c>
      <c r="F90" s="1853"/>
    </row>
    <row r="91" spans="1:6" ht="14.25" thickBot="1">
      <c r="A91" s="1840" t="s">
        <v>1370</v>
      </c>
      <c r="B91" s="1844" t="s">
        <v>1193</v>
      </c>
      <c r="C91" s="1845">
        <v>9.9000000000000005E-2</v>
      </c>
      <c r="D91" s="1845">
        <v>9.9000000000000005E-2</v>
      </c>
      <c r="E91" s="1845">
        <v>9.0999999999999998E-2</v>
      </c>
      <c r="F91" s="1853"/>
    </row>
    <row r="92" spans="1:6" ht="14.25" thickBot="1">
      <c r="A92" s="1840" t="s">
        <v>1370</v>
      </c>
      <c r="B92" s="1844" t="s">
        <v>1203</v>
      </c>
      <c r="C92" s="1845">
        <v>9.6000000000000002E-2</v>
      </c>
      <c r="D92" s="1845">
        <v>9.6000000000000002E-2</v>
      </c>
      <c r="E92" s="1845">
        <v>7.2999999999999995E-2</v>
      </c>
      <c r="F92" s="1853"/>
    </row>
    <row r="93" spans="1:6" ht="14.25" thickBot="1">
      <c r="A93" s="1840" t="s">
        <v>1370</v>
      </c>
      <c r="B93" s="1844" t="s">
        <v>1213</v>
      </c>
      <c r="C93" s="1845">
        <v>9.6000000000000002E-2</v>
      </c>
      <c r="D93" s="1845">
        <v>9.6000000000000002E-2</v>
      </c>
      <c r="E93" s="1845">
        <v>9.9000000000000005E-2</v>
      </c>
      <c r="F93" s="1853"/>
    </row>
    <row r="94" spans="1:6" ht="14.25" thickBot="1">
      <c r="A94" s="1840" t="s">
        <v>1370</v>
      </c>
      <c r="B94" s="1844" t="s">
        <v>1223</v>
      </c>
      <c r="C94" s="1845">
        <v>7.5999999999999998E-2</v>
      </c>
      <c r="D94" s="1845">
        <v>7.3999999999999996E-2</v>
      </c>
      <c r="E94" s="1845">
        <v>9.7000000000000003E-2</v>
      </c>
      <c r="F94" s="1853"/>
    </row>
    <row r="95" spans="1:6" ht="14.25" thickBot="1">
      <c r="A95" s="1840" t="s">
        <v>1370</v>
      </c>
      <c r="B95" s="1844" t="s">
        <v>1232</v>
      </c>
      <c r="C95" s="1845">
        <v>9.9000000000000005E-2</v>
      </c>
      <c r="D95" s="1845">
        <v>9.4E-2</v>
      </c>
      <c r="E95" s="1845">
        <v>9.6000000000000002E-2</v>
      </c>
      <c r="F95" s="1853"/>
    </row>
    <row r="96" spans="1:6" ht="14.25" thickBot="1">
      <c r="A96" s="1840" t="s">
        <v>1370</v>
      </c>
      <c r="B96" s="1844" t="s">
        <v>1241</v>
      </c>
      <c r="C96" s="1845">
        <v>9.9000000000000005E-2</v>
      </c>
      <c r="D96" s="1845">
        <v>9.9000000000000005E-2</v>
      </c>
      <c r="E96" s="1845">
        <v>9.9000000000000005E-2</v>
      </c>
      <c r="F96" s="1853"/>
    </row>
    <row r="97" spans="1:6" ht="14.25" thickBot="1">
      <c r="A97" s="1840" t="s">
        <v>1370</v>
      </c>
      <c r="B97" s="1844" t="s">
        <v>1249</v>
      </c>
      <c r="C97" s="1845">
        <v>9.8000000000000004E-2</v>
      </c>
      <c r="D97" s="1845">
        <v>9.8000000000000004E-2</v>
      </c>
      <c r="E97" s="1845">
        <v>9.7000000000000003E-2</v>
      </c>
      <c r="F97" s="1853"/>
    </row>
    <row r="98" spans="1:6" ht="14.25" thickBot="1">
      <c r="A98" s="1840" t="s">
        <v>1370</v>
      </c>
      <c r="B98" s="1844" t="s">
        <v>1256</v>
      </c>
      <c r="C98" s="1845">
        <v>0.1</v>
      </c>
      <c r="D98" s="1845">
        <v>0.1</v>
      </c>
      <c r="E98" s="1845">
        <v>9.7000000000000003E-2</v>
      </c>
      <c r="F98" s="1853"/>
    </row>
    <row r="99" spans="1:6" ht="14.25" thickBot="1">
      <c r="A99" s="1840" t="s">
        <v>1370</v>
      </c>
      <c r="B99" s="1844" t="s">
        <v>1263</v>
      </c>
      <c r="C99" s="1845">
        <v>0.1</v>
      </c>
      <c r="D99" s="1845">
        <v>0.1</v>
      </c>
      <c r="E99" s="1854"/>
      <c r="F99" s="1853"/>
    </row>
    <row r="100" spans="1:6" ht="14.25" thickBot="1">
      <c r="A100" s="1840" t="s">
        <v>1370</v>
      </c>
      <c r="B100" s="1844" t="s">
        <v>1270</v>
      </c>
      <c r="C100" s="1845">
        <v>0.09</v>
      </c>
      <c r="D100" s="1845">
        <v>8.8999999999999996E-2</v>
      </c>
      <c r="E100" s="1854"/>
      <c r="F100" s="1853"/>
    </row>
    <row r="101" spans="1:6" ht="14.25" thickBot="1">
      <c r="A101" s="1840" t="s">
        <v>1370</v>
      </c>
      <c r="B101" s="1844" t="s">
        <v>1277</v>
      </c>
      <c r="C101" s="1845">
        <v>9.8000000000000004E-2</v>
      </c>
      <c r="D101" s="1845">
        <v>9.7000000000000003E-2</v>
      </c>
      <c r="E101" s="1854"/>
      <c r="F101" s="1853"/>
    </row>
    <row r="102" spans="1:6" ht="14.25" thickBot="1">
      <c r="A102" s="1840" t="s">
        <v>1370</v>
      </c>
      <c r="B102" s="1844" t="s">
        <v>2055</v>
      </c>
      <c r="C102" s="1854"/>
      <c r="D102" s="1854"/>
      <c r="E102" s="1854"/>
      <c r="F102" s="1846">
        <v>0.05</v>
      </c>
    </row>
    <row r="103" spans="1:6" ht="24.75" thickBot="1">
      <c r="A103" s="1840" t="s">
        <v>1370</v>
      </c>
      <c r="B103" s="1844" t="s">
        <v>2056</v>
      </c>
      <c r="C103" s="1854"/>
      <c r="D103" s="1854"/>
      <c r="E103" s="1854"/>
      <c r="F103" s="1846">
        <v>0.05</v>
      </c>
    </row>
    <row r="104" spans="1:6" ht="14.25" thickBot="1">
      <c r="A104" s="1840" t="s">
        <v>1370</v>
      </c>
      <c r="B104" s="1844" t="s">
        <v>2057</v>
      </c>
      <c r="C104" s="1854"/>
      <c r="D104" s="1854"/>
      <c r="E104" s="1854"/>
      <c r="F104" s="1846">
        <v>0.05</v>
      </c>
    </row>
    <row r="105" spans="1:6" ht="14.25" thickBot="1">
      <c r="A105" s="1840" t="s">
        <v>1370</v>
      </c>
      <c r="B105" s="1844" t="s">
        <v>2058</v>
      </c>
      <c r="C105" s="1854"/>
      <c r="D105" s="1854"/>
      <c r="E105" s="1854"/>
      <c r="F105" s="1846">
        <v>0.05</v>
      </c>
    </row>
    <row r="106" spans="1:6" ht="14.25" thickBot="1">
      <c r="A106" s="1840" t="s">
        <v>1370</v>
      </c>
      <c r="B106" s="1844" t="s">
        <v>2059</v>
      </c>
      <c r="C106" s="1854"/>
      <c r="D106" s="1854"/>
      <c r="E106" s="1854"/>
      <c r="F106" s="1846">
        <v>0.05</v>
      </c>
    </row>
    <row r="107" spans="1:6" ht="24.75" thickBot="1">
      <c r="A107" s="1840" t="s">
        <v>1370</v>
      </c>
      <c r="B107" s="1844" t="s">
        <v>2060</v>
      </c>
      <c r="C107" s="1854"/>
      <c r="D107" s="1854"/>
      <c r="E107" s="1854"/>
      <c r="F107" s="1846">
        <v>0.05</v>
      </c>
    </row>
    <row r="108" spans="1:6" ht="24.75" thickBot="1">
      <c r="A108" s="1840" t="s">
        <v>1370</v>
      </c>
      <c r="B108" s="1844" t="s">
        <v>2061</v>
      </c>
      <c r="C108" s="1854"/>
      <c r="D108" s="1854"/>
      <c r="E108" s="1854"/>
      <c r="F108" s="1846">
        <v>0.05</v>
      </c>
    </row>
    <row r="109" spans="1:6" ht="24.75" thickBot="1">
      <c r="A109" s="1848" t="s">
        <v>1370</v>
      </c>
      <c r="B109" s="1855" t="s">
        <v>2062</v>
      </c>
      <c r="C109" s="1851"/>
      <c r="D109" s="1851"/>
      <c r="E109" s="1851"/>
      <c r="F109" s="1856">
        <v>0.05</v>
      </c>
    </row>
    <row r="110" spans="1:6" ht="14.25" thickBot="1">
      <c r="A110" s="1840" t="s">
        <v>1372</v>
      </c>
      <c r="B110" s="1841" t="s">
        <v>2063</v>
      </c>
      <c r="C110" s="1842">
        <v>0.129</v>
      </c>
      <c r="D110" s="1842">
        <v>0.129</v>
      </c>
      <c r="E110" s="1842">
        <v>0.126</v>
      </c>
      <c r="F110" s="1843">
        <v>0.13</v>
      </c>
    </row>
    <row r="111" spans="1:6" ht="14.25" thickBot="1">
      <c r="A111" s="1840" t="s">
        <v>1372</v>
      </c>
      <c r="B111" s="1844" t="s">
        <v>1038</v>
      </c>
      <c r="C111" s="1845">
        <v>0.11</v>
      </c>
      <c r="D111" s="1845">
        <v>0.11</v>
      </c>
      <c r="E111" s="1845">
        <v>9.9000000000000005E-2</v>
      </c>
      <c r="F111" s="1846">
        <v>0.128</v>
      </c>
    </row>
    <row r="112" spans="1:6" ht="14.25" thickBot="1">
      <c r="A112" s="1840" t="s">
        <v>1372</v>
      </c>
      <c r="B112" s="1844" t="s">
        <v>1052</v>
      </c>
      <c r="C112" s="1845">
        <v>0.125</v>
      </c>
      <c r="D112" s="1845">
        <v>0.125</v>
      </c>
      <c r="E112" s="1845">
        <v>0.12</v>
      </c>
      <c r="F112" s="1846">
        <v>0.125</v>
      </c>
    </row>
    <row r="113" spans="1:6" ht="14.25" thickBot="1">
      <c r="A113" s="1840" t="s">
        <v>1372</v>
      </c>
      <c r="B113" s="1844" t="s">
        <v>1065</v>
      </c>
      <c r="C113" s="1845">
        <v>0.13</v>
      </c>
      <c r="D113" s="1845">
        <v>0.13</v>
      </c>
      <c r="E113" s="1845">
        <v>0.13</v>
      </c>
      <c r="F113" s="1846">
        <v>0.13</v>
      </c>
    </row>
    <row r="114" spans="1:6" ht="14.25" thickBot="1">
      <c r="A114" s="1840" t="s">
        <v>1372</v>
      </c>
      <c r="B114" s="1844" t="s">
        <v>1079</v>
      </c>
      <c r="C114" s="1845">
        <v>0.123</v>
      </c>
      <c r="D114" s="1845">
        <v>0.123</v>
      </c>
      <c r="E114" s="1845">
        <v>0.12</v>
      </c>
      <c r="F114" s="1846">
        <v>0.13</v>
      </c>
    </row>
    <row r="115" spans="1:6" ht="14.25" thickBot="1">
      <c r="A115" s="1840" t="s">
        <v>1372</v>
      </c>
      <c r="B115" s="1844" t="s">
        <v>1090</v>
      </c>
      <c r="C115" s="1845">
        <v>0.125</v>
      </c>
      <c r="D115" s="1845">
        <v>0.125</v>
      </c>
      <c r="E115" s="1845">
        <v>0.11700000000000001</v>
      </c>
      <c r="F115" s="1846">
        <v>0.13</v>
      </c>
    </row>
    <row r="116" spans="1:6" ht="14.25" thickBot="1">
      <c r="A116" s="1840" t="s">
        <v>1372</v>
      </c>
      <c r="B116" s="1844" t="s">
        <v>1101</v>
      </c>
      <c r="C116" s="1845">
        <v>0.11700000000000001</v>
      </c>
      <c r="D116" s="1845">
        <v>0.11700000000000001</v>
      </c>
      <c r="E116" s="1845">
        <v>8.7999999999999995E-2</v>
      </c>
      <c r="F116" s="1846">
        <v>0.13</v>
      </c>
    </row>
    <row r="117" spans="1:6" ht="14.25" thickBot="1">
      <c r="A117" s="1840" t="s">
        <v>1372</v>
      </c>
      <c r="B117" s="1844" t="s">
        <v>1112</v>
      </c>
      <c r="C117" s="1845">
        <v>0.13</v>
      </c>
      <c r="D117" s="1845">
        <v>0.13</v>
      </c>
      <c r="E117" s="1845">
        <v>0.129</v>
      </c>
      <c r="F117" s="1846">
        <v>0.13</v>
      </c>
    </row>
    <row r="118" spans="1:6" ht="14.25" thickBot="1">
      <c r="A118" s="1840" t="s">
        <v>1372</v>
      </c>
      <c r="B118" s="1844" t="s">
        <v>1124</v>
      </c>
      <c r="C118" s="1845">
        <v>0.123</v>
      </c>
      <c r="D118" s="1845">
        <v>0.123</v>
      </c>
      <c r="E118" s="1845">
        <v>0.11600000000000001</v>
      </c>
      <c r="F118" s="1846">
        <v>0.13</v>
      </c>
    </row>
    <row r="119" spans="1:6" ht="14.25" thickBot="1">
      <c r="A119" s="1840" t="s">
        <v>1372</v>
      </c>
      <c r="B119" s="1844" t="s">
        <v>1134</v>
      </c>
      <c r="C119" s="1845">
        <v>0.127</v>
      </c>
      <c r="D119" s="1845">
        <v>0.127</v>
      </c>
      <c r="E119" s="1845">
        <v>0.124</v>
      </c>
      <c r="F119" s="1846">
        <v>0.13</v>
      </c>
    </row>
    <row r="120" spans="1:6" ht="14.25" thickBot="1">
      <c r="A120" s="1840" t="s">
        <v>1372</v>
      </c>
      <c r="B120" s="1844" t="s">
        <v>1144</v>
      </c>
      <c r="C120" s="1845">
        <v>0.125</v>
      </c>
      <c r="D120" s="1845">
        <v>0.125</v>
      </c>
      <c r="E120" s="1845">
        <v>0.122</v>
      </c>
      <c r="F120" s="1846">
        <v>0.13</v>
      </c>
    </row>
    <row r="121" spans="1:6" ht="14.25" thickBot="1">
      <c r="A121" s="1840" t="s">
        <v>1372</v>
      </c>
      <c r="B121" s="1844" t="s">
        <v>1154</v>
      </c>
      <c r="C121" s="1845">
        <v>0.13</v>
      </c>
      <c r="D121" s="1845">
        <v>0.13</v>
      </c>
      <c r="E121" s="1845">
        <v>0.13</v>
      </c>
      <c r="F121" s="1846">
        <v>0.13</v>
      </c>
    </row>
    <row r="122" spans="1:6" ht="14.25" thickBot="1">
      <c r="A122" s="1840" t="s">
        <v>1372</v>
      </c>
      <c r="B122" s="1844" t="s">
        <v>1164</v>
      </c>
      <c r="C122" s="1845">
        <v>0.13</v>
      </c>
      <c r="D122" s="1845">
        <v>0.13</v>
      </c>
      <c r="E122" s="1845">
        <v>0.125</v>
      </c>
      <c r="F122" s="1846">
        <v>0.13</v>
      </c>
    </row>
    <row r="123" spans="1:6" ht="14.25" thickBot="1">
      <c r="A123" s="1840" t="s">
        <v>1372</v>
      </c>
      <c r="B123" s="1844" t="s">
        <v>1174</v>
      </c>
      <c r="C123" s="1845">
        <v>0.129</v>
      </c>
      <c r="D123" s="1845">
        <v>0.129</v>
      </c>
      <c r="E123" s="1845">
        <v>0.123</v>
      </c>
      <c r="F123" s="1846">
        <v>0.13</v>
      </c>
    </row>
    <row r="124" spans="1:6" ht="14.25" thickBot="1">
      <c r="A124" s="1840" t="s">
        <v>1372</v>
      </c>
      <c r="B124" s="1844" t="s">
        <v>1184</v>
      </c>
      <c r="C124" s="1845">
        <v>0.10199999999999999</v>
      </c>
      <c r="D124" s="1845">
        <v>0.10100000000000001</v>
      </c>
      <c r="E124" s="1845">
        <v>0.08</v>
      </c>
      <c r="F124" s="1853"/>
    </row>
    <row r="125" spans="1:6" ht="14.25" thickBot="1">
      <c r="A125" s="1840" t="s">
        <v>1372</v>
      </c>
      <c r="B125" s="1844" t="s">
        <v>1194</v>
      </c>
      <c r="C125" s="1845">
        <v>0.13</v>
      </c>
      <c r="D125" s="1845">
        <v>0.13</v>
      </c>
      <c r="E125" s="1845">
        <v>0.129</v>
      </c>
      <c r="F125" s="1853"/>
    </row>
    <row r="126" spans="1:6" ht="14.25" thickBot="1">
      <c r="A126" s="1840" t="s">
        <v>1372</v>
      </c>
      <c r="B126" s="1844" t="s">
        <v>1204</v>
      </c>
      <c r="C126" s="1845">
        <v>0.13</v>
      </c>
      <c r="D126" s="1845">
        <v>0.13</v>
      </c>
      <c r="E126" s="1845">
        <v>0.126</v>
      </c>
      <c r="F126" s="1853"/>
    </row>
    <row r="127" spans="1:6" ht="14.25" thickBot="1">
      <c r="A127" s="1840" t="s">
        <v>1372</v>
      </c>
      <c r="B127" s="1844" t="s">
        <v>1214</v>
      </c>
      <c r="C127" s="1845">
        <v>0.125</v>
      </c>
      <c r="D127" s="1845">
        <v>0.125</v>
      </c>
      <c r="E127" s="1845">
        <v>0.121</v>
      </c>
      <c r="F127" s="1853"/>
    </row>
    <row r="128" spans="1:6" ht="14.25" thickBot="1">
      <c r="A128" s="1840" t="s">
        <v>1372</v>
      </c>
      <c r="B128" s="1844" t="s">
        <v>1224</v>
      </c>
      <c r="C128" s="1845">
        <v>0.12</v>
      </c>
      <c r="D128" s="1845">
        <v>0.12</v>
      </c>
      <c r="E128" s="1845">
        <v>0.105</v>
      </c>
      <c r="F128" s="1853"/>
    </row>
    <row r="129" spans="1:6" ht="14.25" thickBot="1">
      <c r="A129" s="1840" t="s">
        <v>1372</v>
      </c>
      <c r="B129" s="1844" t="s">
        <v>1233</v>
      </c>
      <c r="C129" s="1845">
        <v>0.13</v>
      </c>
      <c r="D129" s="1845">
        <v>0.13</v>
      </c>
      <c r="E129" s="1845">
        <v>0.126</v>
      </c>
      <c r="F129" s="1853"/>
    </row>
    <row r="130" spans="1:6" ht="14.25" thickBot="1">
      <c r="A130" s="1840" t="s">
        <v>1372</v>
      </c>
      <c r="B130" s="1844" t="s">
        <v>1242</v>
      </c>
      <c r="C130" s="1845">
        <v>0.125</v>
      </c>
      <c r="D130" s="1845">
        <v>0.125</v>
      </c>
      <c r="E130" s="1845">
        <v>0.122</v>
      </c>
      <c r="F130" s="1853"/>
    </row>
    <row r="131" spans="1:6" ht="14.25" thickBot="1">
      <c r="A131" s="1840" t="s">
        <v>1372</v>
      </c>
      <c r="B131" s="1844" t="s">
        <v>1250</v>
      </c>
      <c r="C131" s="1845">
        <v>0.127</v>
      </c>
      <c r="D131" s="1845">
        <v>0.126</v>
      </c>
      <c r="E131" s="1845">
        <v>0.123</v>
      </c>
      <c r="F131" s="1853"/>
    </row>
    <row r="132" spans="1:6" ht="14.25" thickBot="1">
      <c r="A132" s="1840" t="s">
        <v>1372</v>
      </c>
      <c r="B132" s="1844" t="s">
        <v>1257</v>
      </c>
      <c r="C132" s="1845">
        <v>9.0999999999999998E-2</v>
      </c>
      <c r="D132" s="1845">
        <v>0.121</v>
      </c>
      <c r="E132" s="1845">
        <v>9.9000000000000005E-2</v>
      </c>
      <c r="F132" s="1853"/>
    </row>
    <row r="133" spans="1:6" ht="14.25" thickBot="1">
      <c r="A133" s="1840" t="s">
        <v>1372</v>
      </c>
      <c r="B133" s="1844" t="s">
        <v>1264</v>
      </c>
      <c r="C133" s="1845">
        <v>0.13</v>
      </c>
      <c r="D133" s="1845">
        <v>0.13</v>
      </c>
      <c r="E133" s="1845">
        <v>0.129</v>
      </c>
      <c r="F133" s="1853"/>
    </row>
    <row r="134" spans="1:6" ht="14.25" thickBot="1">
      <c r="A134" s="1840" t="s">
        <v>1372</v>
      </c>
      <c r="B134" s="1844" t="s">
        <v>2064</v>
      </c>
      <c r="C134" s="1845">
        <v>6.8000000000000005E-2</v>
      </c>
      <c r="D134" s="1845">
        <v>6.5000000000000002E-2</v>
      </c>
      <c r="E134" s="1845">
        <v>6.5000000000000002E-2</v>
      </c>
      <c r="F134" s="1846">
        <v>0.13</v>
      </c>
    </row>
    <row r="135" spans="1:6" ht="14.25" thickBot="1">
      <c r="A135" s="1840" t="s">
        <v>1372</v>
      </c>
      <c r="B135" s="1844" t="s">
        <v>1278</v>
      </c>
      <c r="C135" s="1845">
        <v>0.123</v>
      </c>
      <c r="D135" s="1845">
        <v>0.123</v>
      </c>
      <c r="E135" s="1845">
        <v>0.11</v>
      </c>
      <c r="F135" s="1853"/>
    </row>
    <row r="136" spans="1:6" ht="14.25" thickBot="1">
      <c r="A136" s="1840" t="s">
        <v>1372</v>
      </c>
      <c r="B136" s="1844" t="s">
        <v>1285</v>
      </c>
      <c r="C136" s="1845">
        <v>0.13</v>
      </c>
      <c r="D136" s="1845">
        <v>0.13</v>
      </c>
      <c r="E136" s="1845">
        <v>0.125</v>
      </c>
      <c r="F136" s="1853"/>
    </row>
    <row r="137" spans="1:6" ht="14.25" thickBot="1">
      <c r="A137" s="1840" t="s">
        <v>1372</v>
      </c>
      <c r="B137" s="1844" t="s">
        <v>1292</v>
      </c>
      <c r="C137" s="1845">
        <v>0.121</v>
      </c>
      <c r="D137" s="1845">
        <v>0.122</v>
      </c>
      <c r="E137" s="1845">
        <v>0.115</v>
      </c>
      <c r="F137" s="1853"/>
    </row>
    <row r="138" spans="1:6" ht="14.25" thickBot="1">
      <c r="A138" s="1840" t="s">
        <v>1372</v>
      </c>
      <c r="B138" s="1844" t="s">
        <v>2065</v>
      </c>
      <c r="C138" s="1845">
        <v>0.105</v>
      </c>
      <c r="D138" s="1845">
        <v>0.125</v>
      </c>
      <c r="E138" s="1845">
        <v>0.112</v>
      </c>
      <c r="F138" s="1853"/>
    </row>
    <row r="139" spans="1:6" ht="14.25" thickBot="1">
      <c r="A139" s="1840" t="s">
        <v>1372</v>
      </c>
      <c r="B139" s="1844" t="s">
        <v>2066</v>
      </c>
      <c r="C139" s="1845">
        <v>0.127</v>
      </c>
      <c r="D139" s="1845">
        <v>0.127</v>
      </c>
      <c r="E139" s="1845">
        <v>0.122</v>
      </c>
      <c r="F139" s="1846">
        <v>0.13</v>
      </c>
    </row>
    <row r="140" spans="1:6" ht="14.25" thickBot="1">
      <c r="A140" s="1840" t="s">
        <v>1372</v>
      </c>
      <c r="B140" s="1844" t="s">
        <v>2067</v>
      </c>
      <c r="C140" s="1845">
        <v>0.125</v>
      </c>
      <c r="D140" s="1845">
        <v>0.125</v>
      </c>
      <c r="E140" s="1845">
        <v>0.11899999999999999</v>
      </c>
      <c r="F140" s="1846">
        <v>0.13</v>
      </c>
    </row>
    <row r="141" spans="1:6" ht="14.25" thickBot="1">
      <c r="A141" s="1840" t="s">
        <v>1372</v>
      </c>
      <c r="B141" s="1844" t="s">
        <v>1311</v>
      </c>
      <c r="C141" s="1845">
        <v>0.125</v>
      </c>
      <c r="D141" s="1845">
        <v>0.125</v>
      </c>
      <c r="E141" s="1845">
        <v>0.11700000000000001</v>
      </c>
      <c r="F141" s="1853"/>
    </row>
    <row r="142" spans="1:6" ht="14.25" thickBot="1">
      <c r="A142" s="1840" t="s">
        <v>1372</v>
      </c>
      <c r="B142" s="1844" t="s">
        <v>1316</v>
      </c>
      <c r="C142" s="1845">
        <v>0.125</v>
      </c>
      <c r="D142" s="1845">
        <v>0.125</v>
      </c>
      <c r="E142" s="1845">
        <v>0.115</v>
      </c>
      <c r="F142" s="1853"/>
    </row>
    <row r="143" spans="1:6" ht="14.25" thickBot="1">
      <c r="A143" s="1840" t="s">
        <v>1372</v>
      </c>
      <c r="B143" s="1844" t="s">
        <v>1321</v>
      </c>
      <c r="C143" s="1845">
        <v>0.121</v>
      </c>
      <c r="D143" s="1845">
        <v>0.121</v>
      </c>
      <c r="E143" s="1845">
        <v>0.108</v>
      </c>
      <c r="F143" s="1853"/>
    </row>
    <row r="144" spans="1:6" ht="14.25" thickBot="1">
      <c r="A144" s="1840" t="s">
        <v>1372</v>
      </c>
      <c r="B144" s="1857" t="s">
        <v>2068</v>
      </c>
      <c r="C144" s="1858">
        <v>0.126</v>
      </c>
      <c r="D144" s="1858">
        <v>0.126</v>
      </c>
      <c r="E144" s="1858">
        <v>0.121</v>
      </c>
      <c r="F144" s="1853"/>
    </row>
    <row r="145" spans="1:6" ht="14.25" thickBot="1">
      <c r="A145" s="1848" t="s">
        <v>1372</v>
      </c>
      <c r="B145" s="1859" t="s">
        <v>2069</v>
      </c>
      <c r="C145" s="1860"/>
      <c r="D145" s="1860"/>
      <c r="E145" s="1860"/>
      <c r="F145" s="1861">
        <v>0.05</v>
      </c>
    </row>
    <row r="146" spans="1:6" ht="24.75" thickBot="1">
      <c r="A146" s="1862" t="s">
        <v>1372</v>
      </c>
      <c r="B146" s="1847" t="s">
        <v>2070</v>
      </c>
      <c r="C146" s="1854"/>
      <c r="D146" s="1854"/>
      <c r="E146" s="1854"/>
      <c r="F146" s="1863">
        <v>0.05</v>
      </c>
    </row>
    <row r="147" spans="1:6" ht="24.75" thickBot="1">
      <c r="A147" s="1840" t="s">
        <v>1372</v>
      </c>
      <c r="B147" s="1844" t="s">
        <v>2071</v>
      </c>
      <c r="C147" s="1854"/>
      <c r="D147" s="1854"/>
      <c r="E147" s="1854"/>
      <c r="F147" s="1846">
        <v>0.05</v>
      </c>
    </row>
    <row r="148" spans="1:6" ht="24.75" thickBot="1">
      <c r="A148" s="1840" t="s">
        <v>1372</v>
      </c>
      <c r="B148" s="1844" t="s">
        <v>2072</v>
      </c>
      <c r="C148" s="1854"/>
      <c r="D148" s="1854"/>
      <c r="E148" s="1854"/>
      <c r="F148" s="1846">
        <v>0.05</v>
      </c>
    </row>
    <row r="149" spans="1:6" ht="24.75" thickBot="1">
      <c r="A149" s="1840" t="s">
        <v>1372</v>
      </c>
      <c r="B149" s="1844" t="s">
        <v>2073</v>
      </c>
      <c r="C149" s="1854"/>
      <c r="D149" s="1854"/>
      <c r="E149" s="1854"/>
      <c r="F149" s="1846">
        <v>0.05</v>
      </c>
    </row>
    <row r="150" spans="1:6" ht="24.75" thickBot="1">
      <c r="A150" s="1840" t="s">
        <v>1372</v>
      </c>
      <c r="B150" s="1844" t="s">
        <v>2074</v>
      </c>
      <c r="C150" s="1854"/>
      <c r="D150" s="1854"/>
      <c r="E150" s="1854"/>
      <c r="F150" s="1846">
        <v>0.05</v>
      </c>
    </row>
    <row r="151" spans="1:6" ht="24.75" thickBot="1">
      <c r="A151" s="1840" t="s">
        <v>1372</v>
      </c>
      <c r="B151" s="1844" t="s">
        <v>2075</v>
      </c>
      <c r="C151" s="1854"/>
      <c r="D151" s="1854"/>
      <c r="E151" s="1854"/>
      <c r="F151" s="1846">
        <v>0.05</v>
      </c>
    </row>
    <row r="152" spans="1:6" ht="24.75" thickBot="1">
      <c r="A152" s="1840" t="s">
        <v>1372</v>
      </c>
      <c r="B152" s="1844" t="s">
        <v>1354</v>
      </c>
      <c r="C152" s="1854"/>
      <c r="D152" s="1854"/>
      <c r="E152" s="1854"/>
      <c r="F152" s="1846">
        <v>0.05</v>
      </c>
    </row>
    <row r="153" spans="1:6" ht="14.25" thickBot="1">
      <c r="A153" s="1840" t="s">
        <v>1372</v>
      </c>
      <c r="B153" s="1844" t="s">
        <v>2076</v>
      </c>
      <c r="C153" s="1854"/>
      <c r="D153" s="1854"/>
      <c r="E153" s="1854"/>
      <c r="F153" s="1846">
        <v>0.05</v>
      </c>
    </row>
    <row r="154" spans="1:6" ht="14.25" thickBot="1">
      <c r="A154" s="1840" t="s">
        <v>1372</v>
      </c>
      <c r="B154" s="1844" t="s">
        <v>2077</v>
      </c>
      <c r="C154" s="1854"/>
      <c r="D154" s="1854"/>
      <c r="E154" s="1854"/>
      <c r="F154" s="1846">
        <v>0.05</v>
      </c>
    </row>
    <row r="155" spans="1:6" ht="24.75" thickBot="1">
      <c r="A155" s="1840" t="s">
        <v>1372</v>
      </c>
      <c r="B155" s="1844" t="s">
        <v>2078</v>
      </c>
      <c r="C155" s="1854"/>
      <c r="D155" s="1854"/>
      <c r="E155" s="1854"/>
      <c r="F155" s="1846">
        <v>0.05</v>
      </c>
    </row>
    <row r="156" spans="1:6" ht="24.75" thickBot="1">
      <c r="A156" s="1840" t="s">
        <v>1372</v>
      </c>
      <c r="B156" s="1844" t="s">
        <v>2079</v>
      </c>
      <c r="C156" s="1854"/>
      <c r="D156" s="1854"/>
      <c r="E156" s="1854"/>
      <c r="F156" s="1846">
        <v>0.05</v>
      </c>
    </row>
    <row r="157" spans="1:6" ht="14.25" thickBot="1">
      <c r="A157" s="1848" t="s">
        <v>1372</v>
      </c>
      <c r="B157" s="1855" t="s">
        <v>2080</v>
      </c>
      <c r="C157" s="1851"/>
      <c r="D157" s="1851"/>
      <c r="E157" s="1851"/>
      <c r="F157" s="1856">
        <v>0.05</v>
      </c>
    </row>
    <row r="158" spans="1:6" ht="14.25" thickBot="1">
      <c r="A158" s="1840" t="s">
        <v>1374</v>
      </c>
      <c r="B158" s="1841" t="s">
        <v>2081</v>
      </c>
      <c r="C158" s="1842">
        <v>0.13</v>
      </c>
      <c r="D158" s="1842">
        <v>0.13</v>
      </c>
      <c r="E158" s="1842">
        <v>0.13</v>
      </c>
      <c r="F158" s="1843">
        <v>0.13</v>
      </c>
    </row>
    <row r="159" spans="1:6" ht="14.25" thickBot="1">
      <c r="A159" s="1840" t="s">
        <v>1374</v>
      </c>
      <c r="B159" s="1844" t="s">
        <v>1039</v>
      </c>
      <c r="C159" s="1845">
        <v>0.13</v>
      </c>
      <c r="D159" s="1845">
        <v>0.13</v>
      </c>
      <c r="E159" s="1845">
        <v>0.13</v>
      </c>
      <c r="F159" s="1846">
        <v>0.13</v>
      </c>
    </row>
    <row r="160" spans="1:6" ht="14.25" thickBot="1">
      <c r="A160" s="1840" t="s">
        <v>1374</v>
      </c>
      <c r="B160" s="1844" t="s">
        <v>1053</v>
      </c>
      <c r="C160" s="1845">
        <v>0.13</v>
      </c>
      <c r="D160" s="1845">
        <v>0.13</v>
      </c>
      <c r="E160" s="1845">
        <v>0.129</v>
      </c>
      <c r="F160" s="1846">
        <v>0.13</v>
      </c>
    </row>
    <row r="161" spans="1:6" ht="14.25" thickBot="1">
      <c r="A161" s="1840" t="s">
        <v>1374</v>
      </c>
      <c r="B161" s="1844" t="s">
        <v>1066</v>
      </c>
      <c r="C161" s="1845">
        <v>0.128</v>
      </c>
      <c r="D161" s="1845">
        <v>0.128</v>
      </c>
      <c r="E161" s="1845">
        <v>0.125</v>
      </c>
      <c r="F161" s="1846">
        <v>0.13</v>
      </c>
    </row>
    <row r="162" spans="1:6" ht="14.25" thickBot="1">
      <c r="A162" s="1840" t="s">
        <v>1374</v>
      </c>
      <c r="B162" s="1844" t="s">
        <v>1080</v>
      </c>
      <c r="C162" s="1845">
        <v>0.122</v>
      </c>
      <c r="D162" s="1845">
        <v>0.122</v>
      </c>
      <c r="E162" s="1845">
        <v>0.126</v>
      </c>
      <c r="F162" s="1846">
        <v>0.122</v>
      </c>
    </row>
    <row r="163" spans="1:6" ht="14.25" thickBot="1">
      <c r="A163" s="1840" t="s">
        <v>1374</v>
      </c>
      <c r="B163" s="1844" t="s">
        <v>1091</v>
      </c>
      <c r="C163" s="1845">
        <v>0.13</v>
      </c>
      <c r="D163" s="1845">
        <v>0.13</v>
      </c>
      <c r="E163" s="1845">
        <v>0.125</v>
      </c>
      <c r="F163" s="1846">
        <v>0.13</v>
      </c>
    </row>
    <row r="164" spans="1:6" ht="14.25" thickBot="1">
      <c r="A164" s="1840" t="s">
        <v>1374</v>
      </c>
      <c r="B164" s="1844" t="s">
        <v>1102</v>
      </c>
      <c r="C164" s="1845">
        <v>0.13</v>
      </c>
      <c r="D164" s="1845">
        <v>0.13</v>
      </c>
      <c r="E164" s="1845">
        <v>0.13</v>
      </c>
      <c r="F164" s="1846">
        <v>0.13</v>
      </c>
    </row>
    <row r="165" spans="1:6" ht="14.25" thickBot="1">
      <c r="A165" s="1840" t="s">
        <v>1374</v>
      </c>
      <c r="B165" s="1844" t="s">
        <v>1113</v>
      </c>
      <c r="C165" s="1845">
        <v>0.13</v>
      </c>
      <c r="D165" s="1845">
        <v>0.13</v>
      </c>
      <c r="E165" s="1845">
        <v>0.124</v>
      </c>
      <c r="F165" s="1846">
        <v>0.13</v>
      </c>
    </row>
    <row r="166" spans="1:6" ht="14.25" thickBot="1">
      <c r="A166" s="1840" t="s">
        <v>1374</v>
      </c>
      <c r="B166" s="1844" t="s">
        <v>1125</v>
      </c>
      <c r="C166" s="1845">
        <v>0.13</v>
      </c>
      <c r="D166" s="1845">
        <v>0.13</v>
      </c>
      <c r="E166" s="1845">
        <v>0.13</v>
      </c>
      <c r="F166" s="1846">
        <v>0.13</v>
      </c>
    </row>
    <row r="167" spans="1:6" ht="14.25" thickBot="1">
      <c r="A167" s="1840" t="s">
        <v>1374</v>
      </c>
      <c r="B167" s="1844" t="s">
        <v>1135</v>
      </c>
      <c r="C167" s="1845">
        <v>0.125</v>
      </c>
      <c r="D167" s="1845">
        <v>0.125</v>
      </c>
      <c r="E167" s="1845">
        <v>0.121</v>
      </c>
      <c r="F167" s="1853"/>
    </row>
    <row r="168" spans="1:6" ht="14.25" thickBot="1">
      <c r="A168" s="1840" t="s">
        <v>1374</v>
      </c>
      <c r="B168" s="1844" t="s">
        <v>1145</v>
      </c>
      <c r="C168" s="1845">
        <v>0.13</v>
      </c>
      <c r="D168" s="1845">
        <v>0.13</v>
      </c>
      <c r="E168" s="1845">
        <v>0.126</v>
      </c>
      <c r="F168" s="1853"/>
    </row>
    <row r="169" spans="1:6" ht="14.25" thickBot="1">
      <c r="A169" s="1840" t="s">
        <v>1374</v>
      </c>
      <c r="B169" s="1844" t="s">
        <v>1155</v>
      </c>
      <c r="C169" s="1845">
        <v>0.128</v>
      </c>
      <c r="D169" s="1845">
        <v>0.129</v>
      </c>
      <c r="E169" s="1845">
        <v>0.13</v>
      </c>
      <c r="F169" s="1853"/>
    </row>
    <row r="170" spans="1:6" ht="14.25" thickBot="1">
      <c r="A170" s="1840" t="s">
        <v>1374</v>
      </c>
      <c r="B170" s="1844" t="s">
        <v>1165</v>
      </c>
      <c r="C170" s="1845">
        <v>0.14099999999999999</v>
      </c>
      <c r="D170" s="1845">
        <v>0.13</v>
      </c>
      <c r="E170" s="1845">
        <v>0.125</v>
      </c>
      <c r="F170" s="1853"/>
    </row>
    <row r="171" spans="1:6" ht="14.25" thickBot="1">
      <c r="A171" s="1840" t="s">
        <v>1374</v>
      </c>
      <c r="B171" s="1844" t="s">
        <v>2082</v>
      </c>
      <c r="C171" s="1845">
        <v>0.127</v>
      </c>
      <c r="D171" s="1845">
        <v>0.126</v>
      </c>
      <c r="E171" s="1845">
        <v>0.126</v>
      </c>
      <c r="F171" s="1846">
        <v>0.11799999999999999</v>
      </c>
    </row>
    <row r="172" spans="1:6" ht="14.25" thickBot="1">
      <c r="A172" s="1840" t="s">
        <v>1374</v>
      </c>
      <c r="B172" s="1844" t="s">
        <v>2083</v>
      </c>
      <c r="C172" s="1845">
        <v>0.13</v>
      </c>
      <c r="D172" s="1845">
        <v>0.13</v>
      </c>
      <c r="E172" s="1845">
        <v>0.13</v>
      </c>
      <c r="F172" s="1853"/>
    </row>
    <row r="173" spans="1:6" ht="14.25" thickBot="1">
      <c r="A173" s="1840" t="s">
        <v>1374</v>
      </c>
      <c r="B173" s="1844" t="s">
        <v>1195</v>
      </c>
      <c r="C173" s="1845">
        <v>0.13</v>
      </c>
      <c r="D173" s="1845">
        <v>0.13</v>
      </c>
      <c r="E173" s="1845">
        <v>0.13</v>
      </c>
      <c r="F173" s="1853"/>
    </row>
    <row r="174" spans="1:6" ht="14.25" thickBot="1">
      <c r="A174" s="1840" t="s">
        <v>1374</v>
      </c>
      <c r="B174" s="1844" t="s">
        <v>2084</v>
      </c>
      <c r="C174" s="1845">
        <v>0.13</v>
      </c>
      <c r="D174" s="1845">
        <v>0.13</v>
      </c>
      <c r="E174" s="1845">
        <v>0.13</v>
      </c>
      <c r="F174" s="1846">
        <v>0.13</v>
      </c>
    </row>
    <row r="175" spans="1:6" ht="14.25" thickBot="1">
      <c r="A175" s="1840" t="s">
        <v>1374</v>
      </c>
      <c r="B175" s="1844" t="s">
        <v>2085</v>
      </c>
      <c r="C175" s="1845">
        <v>0.13</v>
      </c>
      <c r="D175" s="1845">
        <v>0.13</v>
      </c>
      <c r="E175" s="1845">
        <v>0.13</v>
      </c>
      <c r="F175" s="1846">
        <v>0.13</v>
      </c>
    </row>
    <row r="176" spans="1:6" ht="14.25" thickBot="1">
      <c r="A176" s="1840" t="s">
        <v>1374</v>
      </c>
      <c r="B176" s="1844" t="s">
        <v>1225</v>
      </c>
      <c r="C176" s="1845">
        <v>0.13</v>
      </c>
      <c r="D176" s="1845">
        <v>0.13</v>
      </c>
      <c r="E176" s="1845">
        <v>0.13</v>
      </c>
      <c r="F176" s="1846">
        <v>0.13</v>
      </c>
    </row>
    <row r="177" spans="1:6" ht="14.25" thickBot="1">
      <c r="A177" s="1840" t="s">
        <v>1374</v>
      </c>
      <c r="B177" s="1844" t="s">
        <v>2086</v>
      </c>
      <c r="C177" s="1845">
        <v>0.13</v>
      </c>
      <c r="D177" s="1845">
        <v>0.13</v>
      </c>
      <c r="E177" s="1845">
        <v>0.13</v>
      </c>
      <c r="F177" s="1846">
        <v>0.13</v>
      </c>
    </row>
    <row r="178" spans="1:6" ht="14.25" thickBot="1">
      <c r="A178" s="1840" t="s">
        <v>1374</v>
      </c>
      <c r="B178" s="1844" t="s">
        <v>1243</v>
      </c>
      <c r="C178" s="1845">
        <v>0.13</v>
      </c>
      <c r="D178" s="1845">
        <v>0.13</v>
      </c>
      <c r="E178" s="1845">
        <v>0.13</v>
      </c>
      <c r="F178" s="1846">
        <v>0.127</v>
      </c>
    </row>
    <row r="179" spans="1:6" ht="14.25" thickBot="1">
      <c r="A179" s="1840" t="s">
        <v>1374</v>
      </c>
      <c r="B179" s="1844" t="s">
        <v>1251</v>
      </c>
      <c r="C179" s="1845">
        <v>0.13</v>
      </c>
      <c r="D179" s="1845">
        <v>0.13</v>
      </c>
      <c r="E179" s="1845">
        <v>0.13</v>
      </c>
      <c r="F179" s="1853"/>
    </row>
    <row r="180" spans="1:6" ht="14.25" thickBot="1">
      <c r="A180" s="1840" t="s">
        <v>1374</v>
      </c>
      <c r="B180" s="1844" t="s">
        <v>2087</v>
      </c>
      <c r="C180" s="1845">
        <v>0.13</v>
      </c>
      <c r="D180" s="1845">
        <v>0.13</v>
      </c>
      <c r="E180" s="1845">
        <v>0.125</v>
      </c>
      <c r="F180" s="1846">
        <v>0.13</v>
      </c>
    </row>
    <row r="181" spans="1:6" ht="14.25" thickBot="1">
      <c r="A181" s="1840" t="s">
        <v>1374</v>
      </c>
      <c r="B181" s="1844" t="s">
        <v>1265</v>
      </c>
      <c r="C181" s="1845">
        <v>0.122</v>
      </c>
      <c r="D181" s="1845">
        <v>0.123</v>
      </c>
      <c r="E181" s="1845">
        <v>0.126</v>
      </c>
      <c r="F181" s="1846">
        <v>0.121</v>
      </c>
    </row>
    <row r="182" spans="1:6" ht="14.25" thickBot="1">
      <c r="A182" s="1840" t="s">
        <v>1374</v>
      </c>
      <c r="B182" s="1844" t="s">
        <v>1272</v>
      </c>
      <c r="C182" s="1845">
        <v>0.125</v>
      </c>
      <c r="D182" s="1845">
        <v>0.125</v>
      </c>
      <c r="E182" s="1845">
        <v>0.11700000000000001</v>
      </c>
      <c r="F182" s="1846">
        <v>0.13</v>
      </c>
    </row>
    <row r="183" spans="1:6" ht="14.25" thickBot="1">
      <c r="A183" s="1840" t="s">
        <v>1374</v>
      </c>
      <c r="B183" s="1844" t="s">
        <v>1279</v>
      </c>
      <c r="C183" s="1845">
        <v>0.127</v>
      </c>
      <c r="D183" s="1845">
        <v>0.127</v>
      </c>
      <c r="E183" s="1845">
        <v>0.128</v>
      </c>
      <c r="F183" s="1853"/>
    </row>
    <row r="184" spans="1:6" ht="14.25" thickBot="1">
      <c r="A184" s="1840" t="s">
        <v>1374</v>
      </c>
      <c r="B184" s="1844" t="s">
        <v>1286</v>
      </c>
      <c r="C184" s="1845">
        <v>0.125</v>
      </c>
      <c r="D184" s="1845">
        <v>0.125</v>
      </c>
      <c r="E184" s="1845">
        <v>0.127</v>
      </c>
      <c r="F184" s="1853"/>
    </row>
    <row r="185" spans="1:6" ht="14.25" thickBot="1">
      <c r="A185" s="1840" t="s">
        <v>1374</v>
      </c>
      <c r="B185" s="1844" t="s">
        <v>2088</v>
      </c>
      <c r="C185" s="1845">
        <v>0.127</v>
      </c>
      <c r="D185" s="1845">
        <v>0.127</v>
      </c>
      <c r="E185" s="1845">
        <v>0.128</v>
      </c>
      <c r="F185" s="1846">
        <v>0.13</v>
      </c>
    </row>
    <row r="186" spans="1:6" ht="24.75" thickBot="1">
      <c r="A186" s="1840" t="s">
        <v>1374</v>
      </c>
      <c r="B186" s="1844" t="s">
        <v>2089</v>
      </c>
      <c r="C186" s="1854"/>
      <c r="D186" s="1854"/>
      <c r="E186" s="1854"/>
      <c r="F186" s="1846">
        <v>0.05</v>
      </c>
    </row>
    <row r="187" spans="1:6" ht="14.25" thickBot="1">
      <c r="A187" s="1840" t="s">
        <v>1374</v>
      </c>
      <c r="B187" s="1844" t="s">
        <v>2090</v>
      </c>
      <c r="C187" s="1854"/>
      <c r="D187" s="1854"/>
      <c r="E187" s="1854"/>
      <c r="F187" s="1846">
        <v>0.05</v>
      </c>
    </row>
    <row r="188" spans="1:6" ht="14.25" thickBot="1">
      <c r="A188" s="1840" t="s">
        <v>1374</v>
      </c>
      <c r="B188" s="1844" t="s">
        <v>2091</v>
      </c>
      <c r="C188" s="1854"/>
      <c r="D188" s="1854"/>
      <c r="E188" s="1854"/>
      <c r="F188" s="1846">
        <v>0.05</v>
      </c>
    </row>
    <row r="189" spans="1:6" ht="24.75" thickBot="1">
      <c r="A189" s="1840" t="s">
        <v>1374</v>
      </c>
      <c r="B189" s="1844" t="s">
        <v>2092</v>
      </c>
      <c r="C189" s="1854"/>
      <c r="D189" s="1854"/>
      <c r="E189" s="1854"/>
      <c r="F189" s="1846">
        <v>0.05</v>
      </c>
    </row>
    <row r="190" spans="1:6" ht="24.75" thickBot="1">
      <c r="A190" s="1840" t="s">
        <v>1374</v>
      </c>
      <c r="B190" s="1844" t="s">
        <v>2093</v>
      </c>
      <c r="C190" s="1854"/>
      <c r="D190" s="1854"/>
      <c r="E190" s="1854"/>
      <c r="F190" s="1846">
        <v>0.05</v>
      </c>
    </row>
    <row r="191" spans="1:6" ht="24.75" thickBot="1">
      <c r="A191" s="1840" t="s">
        <v>1374</v>
      </c>
      <c r="B191" s="1844" t="s">
        <v>2094</v>
      </c>
      <c r="C191" s="1854"/>
      <c r="D191" s="1854"/>
      <c r="E191" s="1854"/>
      <c r="F191" s="1846">
        <v>0.05</v>
      </c>
    </row>
    <row r="192" spans="1:6" ht="24.75" thickBot="1">
      <c r="A192" s="1840" t="s">
        <v>1374</v>
      </c>
      <c r="B192" s="1844" t="s">
        <v>2095</v>
      </c>
      <c r="C192" s="1854"/>
      <c r="D192" s="1854"/>
      <c r="E192" s="1854"/>
      <c r="F192" s="1846">
        <v>0.05</v>
      </c>
    </row>
    <row r="193" spans="1:6" ht="24.75" thickBot="1">
      <c r="A193" s="1840" t="s">
        <v>1374</v>
      </c>
      <c r="B193" s="1844" t="s">
        <v>2096</v>
      </c>
      <c r="C193" s="1854"/>
      <c r="D193" s="1854"/>
      <c r="E193" s="1854"/>
      <c r="F193" s="1846">
        <v>0.05</v>
      </c>
    </row>
    <row r="194" spans="1:6" ht="24.75" thickBot="1">
      <c r="A194" s="1840" t="s">
        <v>1374</v>
      </c>
      <c r="B194" s="1844" t="s">
        <v>2097</v>
      </c>
      <c r="C194" s="1854"/>
      <c r="D194" s="1854"/>
      <c r="E194" s="1854"/>
      <c r="F194" s="1846">
        <v>0.05</v>
      </c>
    </row>
    <row r="195" spans="1:6" ht="14.25" thickBot="1">
      <c r="A195" s="1840" t="s">
        <v>1374</v>
      </c>
      <c r="B195" s="1844" t="s">
        <v>2098</v>
      </c>
      <c r="C195" s="1854"/>
      <c r="D195" s="1854"/>
      <c r="E195" s="1854"/>
      <c r="F195" s="1846">
        <v>0.05</v>
      </c>
    </row>
    <row r="196" spans="1:6" ht="24.75" thickBot="1">
      <c r="A196" s="1840" t="s">
        <v>1374</v>
      </c>
      <c r="B196" s="1844" t="s">
        <v>2099</v>
      </c>
      <c r="C196" s="1854"/>
      <c r="D196" s="1854"/>
      <c r="E196" s="1854"/>
      <c r="F196" s="1846">
        <v>0.05</v>
      </c>
    </row>
    <row r="197" spans="1:6" ht="24.75" thickBot="1">
      <c r="A197" s="1840" t="s">
        <v>1374</v>
      </c>
      <c r="B197" s="1844" t="s">
        <v>2100</v>
      </c>
      <c r="C197" s="1854"/>
      <c r="D197" s="1854"/>
      <c r="E197" s="1854"/>
      <c r="F197" s="1846">
        <v>0.05</v>
      </c>
    </row>
    <row r="198" spans="1:6" ht="24.75" thickBot="1">
      <c r="A198" s="1840" t="s">
        <v>1374</v>
      </c>
      <c r="B198" s="1844" t="s">
        <v>2101</v>
      </c>
      <c r="C198" s="1854"/>
      <c r="D198" s="1854"/>
      <c r="E198" s="1854"/>
      <c r="F198" s="1846">
        <v>0.05</v>
      </c>
    </row>
    <row r="199" spans="1:6" ht="24.75" thickBot="1">
      <c r="A199" s="1840" t="s">
        <v>1374</v>
      </c>
      <c r="B199" s="1844" t="s">
        <v>2102</v>
      </c>
      <c r="C199" s="1854"/>
      <c r="D199" s="1854"/>
      <c r="E199" s="1854"/>
      <c r="F199" s="1846">
        <v>0.05</v>
      </c>
    </row>
    <row r="200" spans="1:6" ht="24.75" thickBot="1">
      <c r="A200" s="1840" t="s">
        <v>1374</v>
      </c>
      <c r="B200" s="1844" t="s">
        <v>2103</v>
      </c>
      <c r="C200" s="1854"/>
      <c r="D200" s="1854"/>
      <c r="E200" s="1854"/>
      <c r="F200" s="1846">
        <v>0.05</v>
      </c>
    </row>
    <row r="201" spans="1:6" ht="24.75" thickBot="1">
      <c r="A201" s="1840" t="s">
        <v>1374</v>
      </c>
      <c r="B201" s="1844" t="s">
        <v>2104</v>
      </c>
      <c r="C201" s="1854"/>
      <c r="D201" s="1854"/>
      <c r="E201" s="1854"/>
      <c r="F201" s="1846">
        <v>0.05</v>
      </c>
    </row>
    <row r="202" spans="1:6" ht="24.75" thickBot="1">
      <c r="A202" s="1840" t="s">
        <v>1374</v>
      </c>
      <c r="B202" s="1844" t="s">
        <v>2105</v>
      </c>
      <c r="C202" s="1854"/>
      <c r="D202" s="1854"/>
      <c r="E202" s="1854"/>
      <c r="F202" s="1846">
        <v>0.05</v>
      </c>
    </row>
    <row r="203" spans="1:6" ht="24.75" thickBot="1">
      <c r="A203" s="1840" t="s">
        <v>1374</v>
      </c>
      <c r="B203" s="1844" t="s">
        <v>2106</v>
      </c>
      <c r="C203" s="1854"/>
      <c r="D203" s="1854"/>
      <c r="E203" s="1854"/>
      <c r="F203" s="1846">
        <v>0.05</v>
      </c>
    </row>
    <row r="204" spans="1:6" ht="14.25" thickBot="1">
      <c r="A204" s="1840" t="s">
        <v>1374</v>
      </c>
      <c r="B204" s="1844" t="s">
        <v>2107</v>
      </c>
      <c r="C204" s="1854"/>
      <c r="D204" s="1854"/>
      <c r="E204" s="1854"/>
      <c r="F204" s="1846">
        <v>0.05</v>
      </c>
    </row>
    <row r="205" spans="1:6" ht="14.25" thickBot="1">
      <c r="A205" s="1848" t="s">
        <v>1374</v>
      </c>
      <c r="B205" s="1855" t="s">
        <v>2108</v>
      </c>
      <c r="C205" s="1851"/>
      <c r="D205" s="1851"/>
      <c r="E205" s="1851"/>
      <c r="F205" s="1856">
        <v>0.05</v>
      </c>
    </row>
    <row r="206" spans="1:6" ht="14.25" thickBot="1">
      <c r="A206" s="1840" t="s">
        <v>1376</v>
      </c>
      <c r="B206" s="1841" t="s">
        <v>2109</v>
      </c>
      <c r="C206" s="1842">
        <v>0.15</v>
      </c>
      <c r="D206" s="1842">
        <v>0.15</v>
      </c>
      <c r="E206" s="1842">
        <v>0.15</v>
      </c>
      <c r="F206" s="1843">
        <v>0.15</v>
      </c>
    </row>
    <row r="207" spans="1:6" ht="14.25" thickBot="1">
      <c r="A207" s="1840" t="s">
        <v>1376</v>
      </c>
      <c r="B207" s="1844" t="s">
        <v>1040</v>
      </c>
      <c r="C207" s="1845">
        <v>0.15</v>
      </c>
      <c r="D207" s="1845">
        <v>0.15</v>
      </c>
      <c r="E207" s="1845">
        <v>0.15</v>
      </c>
      <c r="F207" s="1846">
        <v>0.14399999999999999</v>
      </c>
    </row>
    <row r="208" spans="1:6" ht="14.25" thickBot="1">
      <c r="A208" s="1840" t="s">
        <v>1376</v>
      </c>
      <c r="B208" s="1844" t="s">
        <v>1054</v>
      </c>
      <c r="C208" s="1845">
        <v>0.15</v>
      </c>
      <c r="D208" s="1845">
        <v>0.15</v>
      </c>
      <c r="E208" s="1845">
        <v>0.15</v>
      </c>
      <c r="F208" s="1846">
        <v>0.15</v>
      </c>
    </row>
    <row r="209" spans="1:6" ht="14.25" thickBot="1">
      <c r="A209" s="1840" t="s">
        <v>1376</v>
      </c>
      <c r="B209" s="1844" t="s">
        <v>1067</v>
      </c>
      <c r="C209" s="1845">
        <v>0.13700000000000001</v>
      </c>
      <c r="D209" s="1845">
        <v>0.13700000000000001</v>
      </c>
      <c r="E209" s="1845">
        <v>0.14000000000000001</v>
      </c>
      <c r="F209" s="1846">
        <v>0.11700000000000001</v>
      </c>
    </row>
    <row r="210" spans="1:6" ht="14.25" thickBot="1">
      <c r="A210" s="1840" t="s">
        <v>1376</v>
      </c>
      <c r="B210" s="1844" t="s">
        <v>2110</v>
      </c>
      <c r="C210" s="1845">
        <v>0.15</v>
      </c>
      <c r="D210" s="1845">
        <v>0.15</v>
      </c>
      <c r="E210" s="1845">
        <v>0.15</v>
      </c>
      <c r="F210" s="1846">
        <v>0.13800000000000001</v>
      </c>
    </row>
    <row r="211" spans="1:6" ht="14.25" thickBot="1">
      <c r="A211" s="1840" t="s">
        <v>1376</v>
      </c>
      <c r="B211" s="1844" t="s">
        <v>2111</v>
      </c>
      <c r="C211" s="1845">
        <v>0.13700000000000001</v>
      </c>
      <c r="D211" s="1845">
        <v>0.13500000000000001</v>
      </c>
      <c r="E211" s="1845">
        <v>0.13600000000000001</v>
      </c>
      <c r="F211" s="1846">
        <v>0.1</v>
      </c>
    </row>
    <row r="212" spans="1:6" ht="14.25" thickBot="1">
      <c r="A212" s="1840" t="s">
        <v>1376</v>
      </c>
      <c r="B212" s="1844" t="s">
        <v>2112</v>
      </c>
      <c r="C212" s="1845">
        <v>0.15</v>
      </c>
      <c r="D212" s="1845">
        <v>0.15</v>
      </c>
      <c r="E212" s="1845">
        <v>0.14799999999999999</v>
      </c>
      <c r="F212" s="1846">
        <v>0.13600000000000001</v>
      </c>
    </row>
    <row r="213" spans="1:6" ht="14.25" thickBot="1">
      <c r="A213" s="1840" t="s">
        <v>1376</v>
      </c>
      <c r="B213" s="1844" t="s">
        <v>1114</v>
      </c>
      <c r="C213" s="1845">
        <v>0.15</v>
      </c>
      <c r="D213" s="1845">
        <v>0.15</v>
      </c>
      <c r="E213" s="1845">
        <v>0.15</v>
      </c>
      <c r="F213" s="1846">
        <v>0.13800000000000001</v>
      </c>
    </row>
    <row r="214" spans="1:6" ht="14.25" thickBot="1">
      <c r="A214" s="1840" t="s">
        <v>1376</v>
      </c>
      <c r="B214" s="1844" t="s">
        <v>1126</v>
      </c>
      <c r="C214" s="1845">
        <v>9.0999999999999998E-2</v>
      </c>
      <c r="D214" s="1845">
        <v>0.09</v>
      </c>
      <c r="E214" s="1845">
        <v>9.1999999999999998E-2</v>
      </c>
      <c r="F214" s="1853"/>
    </row>
    <row r="215" spans="1:6" ht="14.25" thickBot="1">
      <c r="A215" s="1840" t="s">
        <v>1376</v>
      </c>
      <c r="B215" s="1844" t="s">
        <v>2113</v>
      </c>
      <c r="C215" s="1845">
        <v>0.15</v>
      </c>
      <c r="D215" s="1845">
        <v>0.15</v>
      </c>
      <c r="E215" s="1845">
        <v>0.15</v>
      </c>
      <c r="F215" s="1846">
        <v>0.15</v>
      </c>
    </row>
    <row r="216" spans="1:6" ht="14.25" thickBot="1">
      <c r="A216" s="1840" t="s">
        <v>1376</v>
      </c>
      <c r="B216" s="1844" t="s">
        <v>1146</v>
      </c>
      <c r="C216" s="1845">
        <v>0.14699999999999999</v>
      </c>
      <c r="D216" s="1845">
        <v>0.14699999999999999</v>
      </c>
      <c r="E216" s="1845">
        <v>0.15</v>
      </c>
      <c r="F216" s="1846">
        <v>0.14000000000000001</v>
      </c>
    </row>
    <row r="217" spans="1:6" ht="14.25" thickBot="1">
      <c r="A217" s="1840" t="s">
        <v>1376</v>
      </c>
      <c r="B217" s="1844" t="s">
        <v>1156</v>
      </c>
      <c r="C217" s="1845">
        <v>0.15</v>
      </c>
      <c r="D217" s="1845">
        <v>0.15</v>
      </c>
      <c r="E217" s="1845">
        <v>0.15</v>
      </c>
      <c r="F217" s="1846">
        <v>0.15</v>
      </c>
    </row>
    <row r="218" spans="1:6" ht="14.25" thickBot="1">
      <c r="A218" s="1840" t="s">
        <v>1376</v>
      </c>
      <c r="B218" s="1844" t="s">
        <v>2114</v>
      </c>
      <c r="C218" s="1845">
        <v>0.15</v>
      </c>
      <c r="D218" s="1845">
        <v>0.15</v>
      </c>
      <c r="E218" s="1845">
        <v>0.15</v>
      </c>
      <c r="F218" s="1846">
        <v>0.15</v>
      </c>
    </row>
    <row r="219" spans="1:6" ht="14.25" thickBot="1">
      <c r="A219" s="1840" t="s">
        <v>1376</v>
      </c>
      <c r="B219" s="1844" t="s">
        <v>1176</v>
      </c>
      <c r="C219" s="1845">
        <v>0.15</v>
      </c>
      <c r="D219" s="1845">
        <v>0.15</v>
      </c>
      <c r="E219" s="1845">
        <v>0.15</v>
      </c>
      <c r="F219" s="1846">
        <v>0.14799999999999999</v>
      </c>
    </row>
    <row r="220" spans="1:6" ht="14.25" thickBot="1">
      <c r="A220" s="1840" t="s">
        <v>1376</v>
      </c>
      <c r="B220" s="1844" t="s">
        <v>2115</v>
      </c>
      <c r="C220" s="1845">
        <v>0.15</v>
      </c>
      <c r="D220" s="1845">
        <v>0.15</v>
      </c>
      <c r="E220" s="1845">
        <v>0.15</v>
      </c>
      <c r="F220" s="1846">
        <v>0.15</v>
      </c>
    </row>
    <row r="221" spans="1:6" ht="14.25" thickBot="1">
      <c r="A221" s="1840" t="s">
        <v>1376</v>
      </c>
      <c r="B221" s="1844" t="s">
        <v>1196</v>
      </c>
      <c r="C221" s="1845"/>
      <c r="D221" s="1854"/>
      <c r="E221" s="1854"/>
      <c r="F221" s="1846">
        <v>0.14799999999999999</v>
      </c>
    </row>
    <row r="222" spans="1:6" ht="14.25" thickBot="1">
      <c r="A222" s="1840" t="s">
        <v>1376</v>
      </c>
      <c r="B222" s="1844" t="s">
        <v>1206</v>
      </c>
      <c r="C222" s="1845"/>
      <c r="D222" s="1854"/>
      <c r="E222" s="1854"/>
      <c r="F222" s="1846">
        <v>0.1</v>
      </c>
    </row>
    <row r="223" spans="1:6" ht="14.25" thickBot="1">
      <c r="A223" s="1840" t="s">
        <v>1376</v>
      </c>
      <c r="B223" s="1844" t="s">
        <v>1216</v>
      </c>
      <c r="C223" s="1845"/>
      <c r="D223" s="1854"/>
      <c r="E223" s="1854"/>
      <c r="F223" s="1846">
        <v>0.15</v>
      </c>
    </row>
    <row r="224" spans="1:6" ht="14.25" thickBot="1">
      <c r="A224" s="1840" t="s">
        <v>1376</v>
      </c>
      <c r="B224" s="1844" t="s">
        <v>1226</v>
      </c>
      <c r="C224" s="1845"/>
      <c r="D224" s="1854"/>
      <c r="E224" s="1854"/>
      <c r="F224" s="1846">
        <v>0.15</v>
      </c>
    </row>
    <row r="225" spans="1:6" ht="14.25" thickBot="1">
      <c r="A225" s="1840" t="s">
        <v>1376</v>
      </c>
      <c r="B225" s="1844" t="s">
        <v>2116</v>
      </c>
      <c r="C225" s="1845">
        <v>0.15</v>
      </c>
      <c r="D225" s="1845">
        <v>0.15</v>
      </c>
      <c r="E225" s="1845">
        <v>0.15</v>
      </c>
      <c r="F225" s="1846">
        <v>0.15</v>
      </c>
    </row>
    <row r="226" spans="1:6" ht="14.25" thickBot="1">
      <c r="A226" s="1840" t="s">
        <v>1376</v>
      </c>
      <c r="B226" s="1844" t="s">
        <v>1244</v>
      </c>
      <c r="C226" s="1845">
        <v>0.15</v>
      </c>
      <c r="D226" s="1845">
        <v>0.15</v>
      </c>
      <c r="E226" s="1845">
        <v>0.15</v>
      </c>
      <c r="F226" s="1846">
        <v>0.14799999999999999</v>
      </c>
    </row>
    <row r="227" spans="1:6" ht="14.25" thickBot="1">
      <c r="A227" s="1840" t="s">
        <v>1376</v>
      </c>
      <c r="B227" s="1844" t="s">
        <v>2117</v>
      </c>
      <c r="C227" s="1845">
        <v>0.15</v>
      </c>
      <c r="D227" s="1845">
        <v>0.15</v>
      </c>
      <c r="E227" s="1845">
        <v>0.15</v>
      </c>
      <c r="F227" s="1846">
        <v>0.15</v>
      </c>
    </row>
    <row r="228" spans="1:6" ht="14.25" thickBot="1">
      <c r="A228" s="1840" t="s">
        <v>1376</v>
      </c>
      <c r="B228" s="1844" t="s">
        <v>1259</v>
      </c>
      <c r="C228" s="1845">
        <v>0.15</v>
      </c>
      <c r="D228" s="1845">
        <v>0.15</v>
      </c>
      <c r="E228" s="1845">
        <v>0.15</v>
      </c>
      <c r="F228" s="1846">
        <v>0.15</v>
      </c>
    </row>
    <row r="229" spans="1:6" ht="14.25" thickBot="1">
      <c r="A229" s="1840" t="s">
        <v>1376</v>
      </c>
      <c r="B229" s="1844" t="s">
        <v>1266</v>
      </c>
      <c r="C229" s="1845">
        <v>0.15</v>
      </c>
      <c r="D229" s="1845">
        <v>0.15</v>
      </c>
      <c r="E229" s="1845">
        <v>0.15</v>
      </c>
      <c r="F229" s="1853"/>
    </row>
    <row r="230" spans="1:6" ht="14.25" thickBot="1">
      <c r="A230" s="1840" t="s">
        <v>1376</v>
      </c>
      <c r="B230" s="1844" t="s">
        <v>1273</v>
      </c>
      <c r="C230" s="1845">
        <v>0.14499999999999999</v>
      </c>
      <c r="D230" s="1845">
        <v>0.14499999999999999</v>
      </c>
      <c r="E230" s="1845">
        <v>0.14399999999999999</v>
      </c>
      <c r="F230" s="1853"/>
    </row>
    <row r="231" spans="1:6" ht="14.25" thickBot="1">
      <c r="A231" s="1840" t="s">
        <v>1376</v>
      </c>
      <c r="B231" s="1844" t="s">
        <v>2118</v>
      </c>
      <c r="C231" s="1845">
        <v>0.128</v>
      </c>
      <c r="D231" s="1845">
        <v>0.125</v>
      </c>
      <c r="E231" s="1845">
        <v>0.13200000000000001</v>
      </c>
      <c r="F231" s="1853"/>
    </row>
    <row r="232" spans="1:6" ht="14.25" thickBot="1">
      <c r="A232" s="1840" t="s">
        <v>1376</v>
      </c>
      <c r="B232" s="1844" t="s">
        <v>2119</v>
      </c>
      <c r="C232" s="1845">
        <v>0.14499999999999999</v>
      </c>
      <c r="D232" s="1845">
        <v>0.14399999999999999</v>
      </c>
      <c r="E232" s="1845">
        <v>0.14599999999999999</v>
      </c>
      <c r="F232" s="1846">
        <v>0.13800000000000001</v>
      </c>
    </row>
    <row r="233" spans="1:6" ht="14.25" thickBot="1">
      <c r="A233" s="1840" t="s">
        <v>1376</v>
      </c>
      <c r="B233" s="1844" t="s">
        <v>2120</v>
      </c>
      <c r="C233" s="1845">
        <v>0.14499999999999999</v>
      </c>
      <c r="D233" s="1845">
        <v>0.14299999999999999</v>
      </c>
      <c r="E233" s="1845">
        <v>0.14199999999999999</v>
      </c>
      <c r="F233" s="1853"/>
    </row>
    <row r="234" spans="1:6" ht="14.25" thickBot="1">
      <c r="A234" s="1840" t="s">
        <v>1376</v>
      </c>
      <c r="B234" s="1844" t="s">
        <v>2121</v>
      </c>
      <c r="C234" s="1845">
        <v>0.14000000000000001</v>
      </c>
      <c r="D234" s="1845">
        <v>0.14000000000000001</v>
      </c>
      <c r="E234" s="1845">
        <v>0.14399999999999999</v>
      </c>
      <c r="F234" s="1853"/>
    </row>
    <row r="235" spans="1:6" ht="14.25" thickBot="1">
      <c r="A235" s="1840" t="s">
        <v>1376</v>
      </c>
      <c r="B235" s="1844" t="s">
        <v>2122</v>
      </c>
      <c r="C235" s="1845">
        <v>0.14099999999999999</v>
      </c>
      <c r="D235" s="1845">
        <v>0.14199999999999999</v>
      </c>
      <c r="E235" s="1845">
        <v>0.14499999999999999</v>
      </c>
      <c r="F235" s="1846">
        <v>0.15</v>
      </c>
    </row>
    <row r="236" spans="1:6" ht="14.25" thickBot="1">
      <c r="A236" s="1840" t="s">
        <v>1376</v>
      </c>
      <c r="B236" s="1844" t="s">
        <v>1308</v>
      </c>
      <c r="C236" s="1854"/>
      <c r="D236" s="1854"/>
      <c r="E236" s="1854"/>
      <c r="F236" s="1846">
        <v>0.14299999999999999</v>
      </c>
    </row>
    <row r="237" spans="1:6" ht="24.75" thickBot="1">
      <c r="A237" s="1840" t="s">
        <v>1376</v>
      </c>
      <c r="B237" s="1844" t="s">
        <v>2123</v>
      </c>
      <c r="C237" s="1854"/>
      <c r="D237" s="1854"/>
      <c r="E237" s="1854"/>
      <c r="F237" s="1846">
        <v>0.05</v>
      </c>
    </row>
    <row r="238" spans="1:6" ht="24.75" thickBot="1">
      <c r="A238" s="1840" t="s">
        <v>1376</v>
      </c>
      <c r="B238" s="1844" t="s">
        <v>2124</v>
      </c>
      <c r="C238" s="1854"/>
      <c r="D238" s="1854"/>
      <c r="E238" s="1854"/>
      <c r="F238" s="1846">
        <v>0.05</v>
      </c>
    </row>
    <row r="239" spans="1:6" ht="24.75" thickBot="1">
      <c r="A239" s="1840" t="s">
        <v>1376</v>
      </c>
      <c r="B239" s="1844" t="s">
        <v>2125</v>
      </c>
      <c r="C239" s="1854"/>
      <c r="D239" s="1854"/>
      <c r="E239" s="1854"/>
      <c r="F239" s="1846">
        <v>0.05</v>
      </c>
    </row>
    <row r="240" spans="1:6" ht="24.75" thickBot="1">
      <c r="A240" s="1840" t="s">
        <v>1376</v>
      </c>
      <c r="B240" s="1844" t="s">
        <v>2126</v>
      </c>
      <c r="C240" s="1854"/>
      <c r="D240" s="1854"/>
      <c r="E240" s="1854"/>
      <c r="F240" s="1846">
        <v>0.05</v>
      </c>
    </row>
    <row r="241" spans="1:6" ht="24.75" thickBot="1">
      <c r="A241" s="1840" t="s">
        <v>1376</v>
      </c>
      <c r="B241" s="1844" t="s">
        <v>2127</v>
      </c>
      <c r="C241" s="1854"/>
      <c r="D241" s="1854"/>
      <c r="E241" s="1854"/>
      <c r="F241" s="1846">
        <v>0.05</v>
      </c>
    </row>
    <row r="242" spans="1:6" ht="24.75" thickBot="1">
      <c r="A242" s="1840" t="s">
        <v>1376</v>
      </c>
      <c r="B242" s="1844" t="s">
        <v>2128</v>
      </c>
      <c r="C242" s="1854"/>
      <c r="D242" s="1854"/>
      <c r="E242" s="1854"/>
      <c r="F242" s="1846">
        <v>0.05</v>
      </c>
    </row>
    <row r="243" spans="1:6" ht="24.75" thickBot="1">
      <c r="A243" s="1840" t="s">
        <v>1376</v>
      </c>
      <c r="B243" s="1844" t="s">
        <v>2129</v>
      </c>
      <c r="C243" s="1854"/>
      <c r="D243" s="1854"/>
      <c r="E243" s="1854"/>
      <c r="F243" s="1846">
        <v>0.05</v>
      </c>
    </row>
    <row r="244" spans="1:6" ht="24.75" thickBot="1">
      <c r="A244" s="1848" t="s">
        <v>1376</v>
      </c>
      <c r="B244" s="1855" t="s">
        <v>2130</v>
      </c>
      <c r="C244" s="1851"/>
      <c r="D244" s="1851"/>
      <c r="E244" s="1851"/>
      <c r="F244" s="1856">
        <v>0.05</v>
      </c>
    </row>
    <row r="245" spans="1:6" ht="14.25" thickBot="1">
      <c r="A245" s="1840" t="s">
        <v>1378</v>
      </c>
      <c r="B245" s="1841" t="s">
        <v>2131</v>
      </c>
      <c r="C245" s="1842">
        <v>0.15</v>
      </c>
      <c r="D245" s="1842">
        <v>0.15</v>
      </c>
      <c r="E245" s="1842">
        <v>0.15</v>
      </c>
      <c r="F245" s="1843">
        <v>0.14299999999999999</v>
      </c>
    </row>
    <row r="246" spans="1:6" ht="14.25" thickBot="1">
      <c r="A246" s="1840" t="s">
        <v>1378</v>
      </c>
      <c r="B246" s="1844" t="s">
        <v>1041</v>
      </c>
      <c r="C246" s="1845">
        <v>0.15</v>
      </c>
      <c r="D246" s="1845">
        <v>0.15</v>
      </c>
      <c r="E246" s="1845">
        <v>0.15</v>
      </c>
      <c r="F246" s="1846">
        <v>0.114</v>
      </c>
    </row>
    <row r="247" spans="1:6" ht="14.25" thickBot="1">
      <c r="A247" s="1840" t="s">
        <v>1378</v>
      </c>
      <c r="B247" s="1844" t="s">
        <v>2132</v>
      </c>
      <c r="C247" s="1845">
        <v>0.15</v>
      </c>
      <c r="D247" s="1845">
        <v>0.15</v>
      </c>
      <c r="E247" s="1845">
        <v>0.15</v>
      </c>
      <c r="F247" s="1846">
        <v>0.15</v>
      </c>
    </row>
    <row r="248" spans="1:6" ht="14.25" thickBot="1">
      <c r="A248" s="1840" t="s">
        <v>1378</v>
      </c>
      <c r="B248" s="1844" t="s">
        <v>2133</v>
      </c>
      <c r="C248" s="1845">
        <v>0.15</v>
      </c>
      <c r="D248" s="1845">
        <v>0.15</v>
      </c>
      <c r="E248" s="1845">
        <v>0.15</v>
      </c>
      <c r="F248" s="1846">
        <v>0.14000000000000001</v>
      </c>
    </row>
    <row r="249" spans="1:6" ht="14.25" thickBot="1">
      <c r="A249" s="1840" t="s">
        <v>1378</v>
      </c>
      <c r="B249" s="1844" t="s">
        <v>2134</v>
      </c>
      <c r="C249" s="1845">
        <v>0.15</v>
      </c>
      <c r="D249" s="1845">
        <v>0.14899999999999999</v>
      </c>
      <c r="E249" s="1845">
        <v>0.15</v>
      </c>
      <c r="F249" s="1846">
        <v>0.1</v>
      </c>
    </row>
    <row r="250" spans="1:6" ht="14.25" thickBot="1">
      <c r="A250" s="1840" t="s">
        <v>1378</v>
      </c>
      <c r="B250" s="1844" t="s">
        <v>2135</v>
      </c>
      <c r="C250" s="1845">
        <v>0.15</v>
      </c>
      <c r="D250" s="1845">
        <v>0.15</v>
      </c>
      <c r="E250" s="1845">
        <v>0.15</v>
      </c>
      <c r="F250" s="1846">
        <v>0.14399999999999999</v>
      </c>
    </row>
    <row r="251" spans="1:6" ht="14.25" thickBot="1">
      <c r="A251" s="1840" t="s">
        <v>1378</v>
      </c>
      <c r="B251" s="1844" t="s">
        <v>1104</v>
      </c>
      <c r="C251" s="1845">
        <v>0.15</v>
      </c>
      <c r="D251" s="1845">
        <v>0.15</v>
      </c>
      <c r="E251" s="1845">
        <v>0.15</v>
      </c>
      <c r="F251" s="1846">
        <v>0.14299999999999999</v>
      </c>
    </row>
    <row r="252" spans="1:6" ht="14.25" thickBot="1">
      <c r="A252" s="1840" t="s">
        <v>1378</v>
      </c>
      <c r="B252" s="1844" t="s">
        <v>1115</v>
      </c>
      <c r="C252" s="1845">
        <v>0.15</v>
      </c>
      <c r="D252" s="1845">
        <v>0.15</v>
      </c>
      <c r="E252" s="1845">
        <v>0.15</v>
      </c>
      <c r="F252" s="1846">
        <v>0.1</v>
      </c>
    </row>
    <row r="253" spans="1:6" ht="14.25" thickBot="1">
      <c r="A253" s="1840" t="s">
        <v>1378</v>
      </c>
      <c r="B253" s="1844" t="s">
        <v>1127</v>
      </c>
      <c r="C253" s="1845">
        <v>0.15</v>
      </c>
      <c r="D253" s="1845">
        <v>0.15</v>
      </c>
      <c r="E253" s="1845">
        <v>0.15</v>
      </c>
      <c r="F253" s="1846">
        <v>0.1</v>
      </c>
    </row>
    <row r="254" spans="1:6" ht="14.25" thickBot="1">
      <c r="A254" s="1840" t="s">
        <v>1378</v>
      </c>
      <c r="B254" s="1844" t="s">
        <v>1137</v>
      </c>
      <c r="C254" s="1854"/>
      <c r="D254" s="1854"/>
      <c r="E254" s="1854"/>
      <c r="F254" s="1846">
        <v>0.15</v>
      </c>
    </row>
    <row r="255" spans="1:6" ht="14.25" thickBot="1">
      <c r="A255" s="1840" t="s">
        <v>1378</v>
      </c>
      <c r="B255" s="1844" t="s">
        <v>1147</v>
      </c>
      <c r="C255" s="1854"/>
      <c r="D255" s="1854"/>
      <c r="E255" s="1854"/>
      <c r="F255" s="1846">
        <v>0.14299999999999999</v>
      </c>
    </row>
    <row r="256" spans="1:6" ht="14.25" thickBot="1">
      <c r="A256" s="1840" t="s">
        <v>1378</v>
      </c>
      <c r="B256" s="1844" t="s">
        <v>2136</v>
      </c>
      <c r="C256" s="1845">
        <v>0.14599999999999999</v>
      </c>
      <c r="D256" s="1845">
        <v>0.14699999999999999</v>
      </c>
      <c r="E256" s="1845">
        <v>0.15</v>
      </c>
      <c r="F256" s="1846">
        <v>0.13200000000000001</v>
      </c>
    </row>
    <row r="257" spans="1:6" ht="14.25" thickBot="1">
      <c r="A257" s="1840" t="s">
        <v>1378</v>
      </c>
      <c r="B257" s="1844" t="s">
        <v>1167</v>
      </c>
      <c r="C257" s="1845">
        <v>0.15</v>
      </c>
      <c r="D257" s="1845">
        <v>0.15</v>
      </c>
      <c r="E257" s="1845">
        <v>0.15</v>
      </c>
      <c r="F257" s="1846">
        <v>0.13900000000000001</v>
      </c>
    </row>
    <row r="258" spans="1:6" ht="14.25" thickBot="1">
      <c r="A258" s="1840" t="s">
        <v>1378</v>
      </c>
      <c r="B258" s="1844" t="s">
        <v>1177</v>
      </c>
      <c r="C258" s="1845">
        <v>0.15</v>
      </c>
      <c r="D258" s="1845">
        <v>0.15</v>
      </c>
      <c r="E258" s="1845">
        <v>0.15</v>
      </c>
      <c r="F258" s="1846">
        <v>0.13</v>
      </c>
    </row>
    <row r="259" spans="1:6" ht="14.25" thickBot="1">
      <c r="A259" s="1840" t="s">
        <v>1378</v>
      </c>
      <c r="B259" s="1844" t="s">
        <v>2137</v>
      </c>
      <c r="C259" s="1845">
        <v>0.14799999999999999</v>
      </c>
      <c r="D259" s="1845">
        <v>0.14899999999999999</v>
      </c>
      <c r="E259" s="1845">
        <v>0.15</v>
      </c>
      <c r="F259" s="1846">
        <v>0.13700000000000001</v>
      </c>
    </row>
    <row r="260" spans="1:6" ht="14.25" thickBot="1">
      <c r="A260" s="1840" t="s">
        <v>1378</v>
      </c>
      <c r="B260" s="1844" t="s">
        <v>1197</v>
      </c>
      <c r="C260" s="1845">
        <v>0.15</v>
      </c>
      <c r="D260" s="1845">
        <v>0.15</v>
      </c>
      <c r="E260" s="1845">
        <v>0.15</v>
      </c>
      <c r="F260" s="1846">
        <v>0.14199999999999999</v>
      </c>
    </row>
    <row r="261" spans="1:6" ht="14.25" thickBot="1">
      <c r="A261" s="1840" t="s">
        <v>1378</v>
      </c>
      <c r="B261" s="1844" t="s">
        <v>1207</v>
      </c>
      <c r="C261" s="1845">
        <v>0.15</v>
      </c>
      <c r="D261" s="1845">
        <v>0.15</v>
      </c>
      <c r="E261" s="1845">
        <v>0.14899999999999999</v>
      </c>
      <c r="F261" s="1846">
        <v>0.14799999999999999</v>
      </c>
    </row>
    <row r="262" spans="1:6" ht="14.25" thickBot="1">
      <c r="A262" s="1840" t="s">
        <v>1378</v>
      </c>
      <c r="B262" s="1844" t="s">
        <v>1217</v>
      </c>
      <c r="C262" s="1845">
        <v>0.15</v>
      </c>
      <c r="D262" s="1845">
        <v>0.15</v>
      </c>
      <c r="E262" s="1845">
        <v>0.15</v>
      </c>
      <c r="F262" s="1853"/>
    </row>
    <row r="263" spans="1:6" ht="14.25" thickBot="1">
      <c r="A263" s="1840" t="s">
        <v>1378</v>
      </c>
      <c r="B263" s="1844" t="s">
        <v>2138</v>
      </c>
      <c r="C263" s="1845">
        <v>0.14899999999999999</v>
      </c>
      <c r="D263" s="1845">
        <v>0.14899999999999999</v>
      </c>
      <c r="E263" s="1845">
        <v>0.15</v>
      </c>
      <c r="F263" s="1846">
        <v>0.13</v>
      </c>
    </row>
    <row r="264" spans="1:6" ht="14.25" thickBot="1">
      <c r="A264" s="1840" t="s">
        <v>1378</v>
      </c>
      <c r="B264" s="1844" t="s">
        <v>1236</v>
      </c>
      <c r="C264" s="1845">
        <v>0.14799999999999999</v>
      </c>
      <c r="D264" s="1845">
        <v>0.14699999999999999</v>
      </c>
      <c r="E264" s="1845">
        <v>0.15</v>
      </c>
      <c r="F264" s="1846">
        <v>7.8E-2</v>
      </c>
    </row>
    <row r="265" spans="1:6" ht="14.25" thickBot="1">
      <c r="A265" s="1840" t="s">
        <v>1378</v>
      </c>
      <c r="B265" s="1844" t="s">
        <v>1245</v>
      </c>
      <c r="C265" s="1845">
        <v>0.15</v>
      </c>
      <c r="D265" s="1845">
        <v>0.15</v>
      </c>
      <c r="E265" s="1845">
        <v>0.15</v>
      </c>
      <c r="F265" s="1846">
        <v>7.3999999999999996E-2</v>
      </c>
    </row>
    <row r="266" spans="1:6" ht="14.25" thickBot="1">
      <c r="A266" s="1840" t="s">
        <v>1378</v>
      </c>
      <c r="B266" s="1844" t="s">
        <v>1253</v>
      </c>
      <c r="C266" s="1845">
        <v>0.14699999999999999</v>
      </c>
      <c r="D266" s="1845">
        <v>0.14699999999999999</v>
      </c>
      <c r="E266" s="1845">
        <v>0.15</v>
      </c>
      <c r="F266" s="1846">
        <v>0.14299999999999999</v>
      </c>
    </row>
    <row r="267" spans="1:6" ht="14.25" thickBot="1">
      <c r="A267" s="1840" t="s">
        <v>1378</v>
      </c>
      <c r="B267" s="1844" t="s">
        <v>1260</v>
      </c>
      <c r="C267" s="1845">
        <v>0.14199999999999999</v>
      </c>
      <c r="D267" s="1845">
        <v>0.14299999999999999</v>
      </c>
      <c r="E267" s="1845">
        <v>0.15</v>
      </c>
      <c r="F267" s="1853"/>
    </row>
    <row r="268" spans="1:6" ht="14.25" thickBot="1">
      <c r="A268" s="1840" t="s">
        <v>1378</v>
      </c>
      <c r="B268" s="1844" t="s">
        <v>2139</v>
      </c>
      <c r="C268" s="1845">
        <v>0.15</v>
      </c>
      <c r="D268" s="1845">
        <v>0.15</v>
      </c>
      <c r="E268" s="1845">
        <v>0.15</v>
      </c>
      <c r="F268" s="1846">
        <v>0.13</v>
      </c>
    </row>
    <row r="269" spans="1:6" ht="14.25" thickBot="1">
      <c r="A269" s="1840" t="s">
        <v>1378</v>
      </c>
      <c r="B269" s="1844" t="s">
        <v>1274</v>
      </c>
      <c r="C269" s="1845">
        <v>0.15</v>
      </c>
      <c r="D269" s="1845">
        <v>0.15</v>
      </c>
      <c r="E269" s="1845">
        <v>0.15</v>
      </c>
      <c r="F269" s="1846">
        <v>0.14299999999999999</v>
      </c>
    </row>
    <row r="270" spans="1:6" ht="14.25" thickBot="1">
      <c r="A270" s="1840" t="s">
        <v>1378</v>
      </c>
      <c r="B270" s="1844" t="s">
        <v>1281</v>
      </c>
      <c r="C270" s="1845">
        <v>0.14499999999999999</v>
      </c>
      <c r="D270" s="1845">
        <v>0.14499999999999999</v>
      </c>
      <c r="E270" s="1845">
        <v>0.15</v>
      </c>
      <c r="F270" s="1846">
        <v>0.14699999999999999</v>
      </c>
    </row>
    <row r="271" spans="1:6" ht="14.25" thickBot="1">
      <c r="A271" s="1840" t="s">
        <v>1378</v>
      </c>
      <c r="B271" s="1844" t="s">
        <v>1288</v>
      </c>
      <c r="C271" s="1845">
        <v>0.15</v>
      </c>
      <c r="D271" s="1845">
        <v>0.15</v>
      </c>
      <c r="E271" s="1845">
        <v>0.15</v>
      </c>
      <c r="F271" s="1846">
        <v>0.13800000000000001</v>
      </c>
    </row>
    <row r="272" spans="1:6" ht="14.25" thickBot="1">
      <c r="A272" s="1840" t="s">
        <v>1378</v>
      </c>
      <c r="B272" s="1844" t="s">
        <v>1295</v>
      </c>
      <c r="C272" s="1854"/>
      <c r="D272" s="1854"/>
      <c r="E272" s="1854"/>
      <c r="F272" s="1846">
        <v>0.14000000000000001</v>
      </c>
    </row>
    <row r="273" spans="1:6" ht="14.25" thickBot="1">
      <c r="A273" s="1840" t="s">
        <v>1378</v>
      </c>
      <c r="B273" s="1844" t="s">
        <v>2140</v>
      </c>
      <c r="C273" s="1845">
        <v>0.14199999999999999</v>
      </c>
      <c r="D273" s="1845">
        <v>0.14299999999999999</v>
      </c>
      <c r="E273" s="1845">
        <v>0.15</v>
      </c>
      <c r="F273" s="1846">
        <v>0.1</v>
      </c>
    </row>
    <row r="274" spans="1:6" ht="14.25" thickBot="1">
      <c r="A274" s="1840" t="s">
        <v>1378</v>
      </c>
      <c r="B274" s="1844" t="s">
        <v>2141</v>
      </c>
      <c r="C274" s="1845">
        <v>0.14799999999999999</v>
      </c>
      <c r="D274" s="1845">
        <v>0.14799999999999999</v>
      </c>
      <c r="E274" s="1845">
        <v>0.15</v>
      </c>
      <c r="F274" s="1846">
        <v>6.7000000000000004E-2</v>
      </c>
    </row>
    <row r="275" spans="1:6" ht="14.25" thickBot="1">
      <c r="A275" s="1840" t="s">
        <v>1378</v>
      </c>
      <c r="B275" s="1844" t="s">
        <v>2142</v>
      </c>
      <c r="C275" s="1845">
        <v>0.15</v>
      </c>
      <c r="D275" s="1845">
        <v>0.15</v>
      </c>
      <c r="E275" s="1845">
        <v>0.15</v>
      </c>
      <c r="F275" s="1846">
        <v>0.15</v>
      </c>
    </row>
    <row r="276" spans="1:6" ht="14.25" thickBot="1">
      <c r="A276" s="1840" t="s">
        <v>1378</v>
      </c>
      <c r="B276" s="1844" t="s">
        <v>2143</v>
      </c>
      <c r="C276" s="1845">
        <v>0.14499999999999999</v>
      </c>
      <c r="D276" s="1845">
        <v>0.14299999999999999</v>
      </c>
      <c r="E276" s="1845">
        <v>0.15</v>
      </c>
      <c r="F276" s="1846">
        <v>5.8999999999999997E-2</v>
      </c>
    </row>
    <row r="277" spans="1:6" ht="14.25" thickBot="1">
      <c r="A277" s="1840" t="s">
        <v>1378</v>
      </c>
      <c r="B277" s="1844" t="s">
        <v>2144</v>
      </c>
      <c r="C277" s="1845">
        <v>0.15</v>
      </c>
      <c r="D277" s="1845">
        <v>0.15</v>
      </c>
      <c r="E277" s="1845">
        <v>0.15</v>
      </c>
      <c r="F277" s="1846">
        <v>0.121</v>
      </c>
    </row>
    <row r="278" spans="1:6" ht="14.25" thickBot="1">
      <c r="A278" s="1840" t="s">
        <v>1378</v>
      </c>
      <c r="B278" s="1844" t="s">
        <v>2145</v>
      </c>
      <c r="C278" s="1845">
        <v>0.15</v>
      </c>
      <c r="D278" s="1845">
        <v>0.15</v>
      </c>
      <c r="E278" s="1845">
        <v>0.15</v>
      </c>
      <c r="F278" s="1846">
        <v>0.13800000000000001</v>
      </c>
    </row>
    <row r="279" spans="1:6" ht="24.75" thickBot="1">
      <c r="A279" s="1840" t="s">
        <v>1378</v>
      </c>
      <c r="B279" s="1844" t="s">
        <v>2146</v>
      </c>
      <c r="C279" s="1854"/>
      <c r="D279" s="1854"/>
      <c r="E279" s="1854"/>
      <c r="F279" s="1846">
        <v>0.05</v>
      </c>
    </row>
    <row r="280" spans="1:6" ht="24.75" thickBot="1">
      <c r="A280" s="1840" t="s">
        <v>1378</v>
      </c>
      <c r="B280" s="1844" t="s">
        <v>2147</v>
      </c>
      <c r="C280" s="1854"/>
      <c r="D280" s="1854"/>
      <c r="E280" s="1854"/>
      <c r="F280" s="1846">
        <v>0.05</v>
      </c>
    </row>
    <row r="281" spans="1:6" ht="24.75" thickBot="1">
      <c r="A281" s="1840" t="s">
        <v>1378</v>
      </c>
      <c r="B281" s="1844" t="s">
        <v>2148</v>
      </c>
      <c r="C281" s="1854"/>
      <c r="D281" s="1854"/>
      <c r="E281" s="1854"/>
      <c r="F281" s="1846">
        <v>0.05</v>
      </c>
    </row>
    <row r="282" spans="1:6" ht="24.75" thickBot="1">
      <c r="A282" s="1840" t="s">
        <v>1378</v>
      </c>
      <c r="B282" s="1844" t="s">
        <v>2149</v>
      </c>
      <c r="C282" s="1854"/>
      <c r="D282" s="1854"/>
      <c r="E282" s="1854"/>
      <c r="F282" s="1846">
        <v>0.05</v>
      </c>
    </row>
    <row r="283" spans="1:6" ht="24.75" thickBot="1">
      <c r="A283" s="1840" t="s">
        <v>1378</v>
      </c>
      <c r="B283" s="1844" t="s">
        <v>2150</v>
      </c>
      <c r="C283" s="1854"/>
      <c r="D283" s="1854"/>
      <c r="E283" s="1854"/>
      <c r="F283" s="1846">
        <v>0.05</v>
      </c>
    </row>
    <row r="284" spans="1:6" ht="24.75" thickBot="1">
      <c r="A284" s="1840" t="s">
        <v>1378</v>
      </c>
      <c r="B284" s="1844" t="s">
        <v>2151</v>
      </c>
      <c r="C284" s="1854"/>
      <c r="D284" s="1854"/>
      <c r="E284" s="1854"/>
      <c r="F284" s="1846">
        <v>0.05</v>
      </c>
    </row>
    <row r="285" spans="1:6" ht="24.75" thickBot="1">
      <c r="A285" s="1840" t="s">
        <v>1378</v>
      </c>
      <c r="B285" s="1844" t="s">
        <v>2152</v>
      </c>
      <c r="C285" s="1854"/>
      <c r="D285" s="1854"/>
      <c r="E285" s="1854"/>
      <c r="F285" s="1846">
        <v>0.05</v>
      </c>
    </row>
    <row r="286" spans="1:6" ht="24.75" thickBot="1">
      <c r="A286" s="1840" t="s">
        <v>1378</v>
      </c>
      <c r="B286" s="1844" t="s">
        <v>2153</v>
      </c>
      <c r="C286" s="1854"/>
      <c r="D286" s="1854"/>
      <c r="E286" s="1854"/>
      <c r="F286" s="1846">
        <v>0.05</v>
      </c>
    </row>
    <row r="287" spans="1:6" ht="24.75" thickBot="1">
      <c r="A287" s="1840" t="s">
        <v>1378</v>
      </c>
      <c r="B287" s="1844" t="s">
        <v>2154</v>
      </c>
      <c r="C287" s="1854"/>
      <c r="D287" s="1854"/>
      <c r="E287" s="1854"/>
      <c r="F287" s="1846">
        <v>0.05</v>
      </c>
    </row>
    <row r="288" spans="1:6" ht="24.75" thickBot="1">
      <c r="A288" s="1840" t="s">
        <v>1378</v>
      </c>
      <c r="B288" s="1844" t="s">
        <v>2155</v>
      </c>
      <c r="C288" s="1854"/>
      <c r="D288" s="1854"/>
      <c r="E288" s="1854"/>
      <c r="F288" s="1846">
        <v>0.05</v>
      </c>
    </row>
    <row r="289" spans="1:6" ht="24.75" thickBot="1">
      <c r="A289" s="1848" t="s">
        <v>1378</v>
      </c>
      <c r="B289" s="1855" t="s">
        <v>2156</v>
      </c>
      <c r="C289" s="1851"/>
      <c r="D289" s="1851"/>
      <c r="E289" s="1851"/>
      <c r="F289" s="1856">
        <v>0.05</v>
      </c>
    </row>
    <row r="290" spans="1:6" ht="14.25" thickBot="1">
      <c r="A290" s="1840" t="s">
        <v>1382</v>
      </c>
      <c r="B290" s="1841" t="s">
        <v>2157</v>
      </c>
      <c r="C290" s="1842">
        <v>0.15</v>
      </c>
      <c r="D290" s="1842">
        <v>0.15</v>
      </c>
      <c r="E290" s="1842">
        <v>0.15</v>
      </c>
      <c r="F290" s="1864"/>
    </row>
    <row r="291" spans="1:6" ht="14.25" thickBot="1">
      <c r="A291" s="1840" t="s">
        <v>1382</v>
      </c>
      <c r="B291" s="1844" t="s">
        <v>1042</v>
      </c>
      <c r="C291" s="1845">
        <v>0.15</v>
      </c>
      <c r="D291" s="1845">
        <v>0.15</v>
      </c>
      <c r="E291" s="1845">
        <v>0.15</v>
      </c>
      <c r="F291" s="1853"/>
    </row>
    <row r="292" spans="1:6" ht="14.25" thickBot="1">
      <c r="A292" s="1840" t="s">
        <v>1382</v>
      </c>
      <c r="B292" s="1844" t="s">
        <v>2158</v>
      </c>
      <c r="C292" s="1845">
        <v>0.15</v>
      </c>
      <c r="D292" s="1845">
        <v>0.15</v>
      </c>
      <c r="E292" s="1845">
        <v>0.15</v>
      </c>
      <c r="F292" s="1846">
        <v>0.14699999999999999</v>
      </c>
    </row>
    <row r="293" spans="1:6" ht="14.25" thickBot="1">
      <c r="A293" s="1840" t="s">
        <v>1382</v>
      </c>
      <c r="B293" s="1844" t="s">
        <v>2159</v>
      </c>
      <c r="C293" s="1854"/>
      <c r="D293" s="1854"/>
      <c r="E293" s="1854"/>
      <c r="F293" s="1846">
        <v>0.1</v>
      </c>
    </row>
    <row r="294" spans="1:6" ht="14.25" thickBot="1">
      <c r="A294" s="1840" t="s">
        <v>1382</v>
      </c>
      <c r="B294" s="1844" t="s">
        <v>2160</v>
      </c>
      <c r="C294" s="1845">
        <v>0.15</v>
      </c>
      <c r="D294" s="1845">
        <v>0.15</v>
      </c>
      <c r="E294" s="1845">
        <v>0.15</v>
      </c>
      <c r="F294" s="1846">
        <v>0.15</v>
      </c>
    </row>
    <row r="295" spans="1:6" ht="14.25" thickBot="1">
      <c r="A295" s="1840" t="s">
        <v>1382</v>
      </c>
      <c r="B295" s="1844" t="s">
        <v>1083</v>
      </c>
      <c r="C295" s="1845">
        <v>0.15</v>
      </c>
      <c r="D295" s="1845">
        <v>0.15</v>
      </c>
      <c r="E295" s="1845">
        <v>0.15</v>
      </c>
      <c r="F295" s="1846">
        <v>0.15</v>
      </c>
    </row>
    <row r="296" spans="1:6" ht="14.25" thickBot="1">
      <c r="A296" s="1840" t="s">
        <v>1382</v>
      </c>
      <c r="B296" s="1844" t="s">
        <v>2161</v>
      </c>
      <c r="C296" s="1845">
        <v>0.15</v>
      </c>
      <c r="D296" s="1845">
        <v>0.15</v>
      </c>
      <c r="E296" s="1845">
        <v>0.15</v>
      </c>
      <c r="F296" s="1846">
        <v>0.15</v>
      </c>
    </row>
    <row r="297" spans="1:6" ht="14.25" thickBot="1">
      <c r="A297" s="1840" t="s">
        <v>1382</v>
      </c>
      <c r="B297" s="1844" t="s">
        <v>2162</v>
      </c>
      <c r="C297" s="1845">
        <v>0.14799999999999999</v>
      </c>
      <c r="D297" s="1845">
        <v>0.14899999999999999</v>
      </c>
      <c r="E297" s="1845">
        <v>0.15</v>
      </c>
      <c r="F297" s="1846">
        <v>0.13700000000000001</v>
      </c>
    </row>
    <row r="298" spans="1:6" ht="14.25" thickBot="1">
      <c r="A298" s="1840" t="s">
        <v>1382</v>
      </c>
      <c r="B298" s="1844" t="s">
        <v>1116</v>
      </c>
      <c r="C298" s="1845">
        <v>0.13400000000000001</v>
      </c>
      <c r="D298" s="1845">
        <v>0.13400000000000001</v>
      </c>
      <c r="E298" s="1845">
        <v>0.14499999999999999</v>
      </c>
      <c r="F298" s="1846">
        <v>0.14799999999999999</v>
      </c>
    </row>
    <row r="299" spans="1:6" ht="14.25" thickBot="1">
      <c r="A299" s="1840" t="s">
        <v>1382</v>
      </c>
      <c r="B299" s="1844" t="s">
        <v>1128</v>
      </c>
      <c r="C299" s="1845">
        <v>0.15</v>
      </c>
      <c r="D299" s="1845">
        <v>0.15</v>
      </c>
      <c r="E299" s="1845">
        <v>0.15</v>
      </c>
      <c r="F299" s="1853"/>
    </row>
    <row r="300" spans="1:6" ht="14.25" thickBot="1">
      <c r="A300" s="1840" t="s">
        <v>1382</v>
      </c>
      <c r="B300" s="1844" t="s">
        <v>2163</v>
      </c>
      <c r="C300" s="1845">
        <v>0.15</v>
      </c>
      <c r="D300" s="1845">
        <v>0.15</v>
      </c>
      <c r="E300" s="1845">
        <v>0.15</v>
      </c>
      <c r="F300" s="1846">
        <v>0.15</v>
      </c>
    </row>
    <row r="301" spans="1:6" ht="14.25" thickBot="1">
      <c r="A301" s="1840" t="s">
        <v>1382</v>
      </c>
      <c r="B301" s="1844" t="s">
        <v>1148</v>
      </c>
      <c r="C301" s="1845">
        <v>0.15</v>
      </c>
      <c r="D301" s="1845">
        <v>0.15</v>
      </c>
      <c r="E301" s="1845">
        <v>0.15</v>
      </c>
      <c r="F301" s="1853"/>
    </row>
    <row r="302" spans="1:6" ht="14.25" thickBot="1">
      <c r="A302" s="1840" t="s">
        <v>1382</v>
      </c>
      <c r="B302" s="1844" t="s">
        <v>2164</v>
      </c>
      <c r="C302" s="1845">
        <v>0.15</v>
      </c>
      <c r="D302" s="1845">
        <v>0.15</v>
      </c>
      <c r="E302" s="1845">
        <v>0.15</v>
      </c>
      <c r="F302" s="1846">
        <v>0.15</v>
      </c>
    </row>
    <row r="303" spans="1:6" ht="14.25" thickBot="1">
      <c r="A303" s="1840" t="s">
        <v>1382</v>
      </c>
      <c r="B303" s="1844" t="s">
        <v>1168</v>
      </c>
      <c r="C303" s="1845">
        <v>0.15</v>
      </c>
      <c r="D303" s="1845">
        <v>0.15</v>
      </c>
      <c r="E303" s="1845">
        <v>0.15</v>
      </c>
      <c r="F303" s="1846">
        <v>0.15</v>
      </c>
    </row>
    <row r="304" spans="1:6" ht="14.25" thickBot="1">
      <c r="A304" s="1840" t="s">
        <v>1382</v>
      </c>
      <c r="B304" s="1844" t="s">
        <v>1178</v>
      </c>
      <c r="C304" s="1845">
        <v>0.15</v>
      </c>
      <c r="D304" s="1845">
        <v>0.15</v>
      </c>
      <c r="E304" s="1845">
        <v>0.15</v>
      </c>
      <c r="F304" s="1853"/>
    </row>
    <row r="305" spans="1:6" ht="14.25" thickBot="1">
      <c r="A305" s="1840" t="s">
        <v>1382</v>
      </c>
      <c r="B305" s="1844" t="s">
        <v>2165</v>
      </c>
      <c r="C305" s="1845">
        <v>0.15</v>
      </c>
      <c r="D305" s="1845">
        <v>0.15</v>
      </c>
      <c r="E305" s="1845">
        <v>0.15</v>
      </c>
      <c r="F305" s="1846">
        <v>0.14000000000000001</v>
      </c>
    </row>
    <row r="306" spans="1:6" ht="14.25" thickBot="1">
      <c r="A306" s="1840" t="s">
        <v>1382</v>
      </c>
      <c r="B306" s="1844" t="s">
        <v>1198</v>
      </c>
      <c r="C306" s="1845">
        <v>0.15</v>
      </c>
      <c r="D306" s="1845">
        <v>0.15</v>
      </c>
      <c r="E306" s="1845">
        <v>0.15</v>
      </c>
      <c r="F306" s="1853"/>
    </row>
    <row r="307" spans="1:6" ht="14.25" thickBot="1">
      <c r="A307" s="1840" t="s">
        <v>1382</v>
      </c>
      <c r="B307" s="1844" t="s">
        <v>2166</v>
      </c>
      <c r="C307" s="1845">
        <v>0.15</v>
      </c>
      <c r="D307" s="1845">
        <v>0.15</v>
      </c>
      <c r="E307" s="1845">
        <v>0.15</v>
      </c>
      <c r="F307" s="1846">
        <v>0.14299999999999999</v>
      </c>
    </row>
    <row r="308" spans="1:6" ht="14.25" thickBot="1">
      <c r="A308" s="1840" t="s">
        <v>1382</v>
      </c>
      <c r="B308" s="1844" t="s">
        <v>1218</v>
      </c>
      <c r="C308" s="1845">
        <v>0.15</v>
      </c>
      <c r="D308" s="1845">
        <v>0.15</v>
      </c>
      <c r="E308" s="1845">
        <v>0.15</v>
      </c>
      <c r="F308" s="1846">
        <v>0.15</v>
      </c>
    </row>
    <row r="309" spans="1:6" ht="14.25" thickBot="1">
      <c r="A309" s="1840" t="s">
        <v>1382</v>
      </c>
      <c r="B309" s="1844" t="s">
        <v>1228</v>
      </c>
      <c r="C309" s="1845">
        <v>0.15</v>
      </c>
      <c r="D309" s="1845">
        <v>0.15</v>
      </c>
      <c r="E309" s="1845">
        <v>0.15</v>
      </c>
      <c r="F309" s="1853"/>
    </row>
    <row r="310" spans="1:6" ht="14.25" thickBot="1">
      <c r="A310" s="1840" t="s">
        <v>1382</v>
      </c>
      <c r="B310" s="1844" t="s">
        <v>2167</v>
      </c>
      <c r="C310" s="1845">
        <v>0.15</v>
      </c>
      <c r="D310" s="1845">
        <v>0.15</v>
      </c>
      <c r="E310" s="1845">
        <v>0.15</v>
      </c>
      <c r="F310" s="1846">
        <v>0.13700000000000001</v>
      </c>
    </row>
    <row r="311" spans="1:6" ht="14.25" thickBot="1">
      <c r="A311" s="1840" t="s">
        <v>1382</v>
      </c>
      <c r="B311" s="1844" t="s">
        <v>2168</v>
      </c>
      <c r="C311" s="1845">
        <v>0.15</v>
      </c>
      <c r="D311" s="1845">
        <v>0.15</v>
      </c>
      <c r="E311" s="1845">
        <v>0.15</v>
      </c>
      <c r="F311" s="1846">
        <v>0.15</v>
      </c>
    </row>
    <row r="312" spans="1:6" ht="14.25" thickBot="1">
      <c r="A312" s="1840" t="s">
        <v>1382</v>
      </c>
      <c r="B312" s="1844" t="s">
        <v>1254</v>
      </c>
      <c r="C312" s="1845">
        <v>0.15</v>
      </c>
      <c r="D312" s="1845">
        <v>0.15</v>
      </c>
      <c r="E312" s="1845">
        <v>0.15</v>
      </c>
      <c r="F312" s="1846">
        <v>0.1</v>
      </c>
    </row>
    <row r="313" spans="1:6" ht="14.25" thickBot="1">
      <c r="A313" s="1840" t="s">
        <v>1382</v>
      </c>
      <c r="B313" s="1844" t="s">
        <v>2169</v>
      </c>
      <c r="C313" s="1845">
        <v>0.15</v>
      </c>
      <c r="D313" s="1845">
        <v>0.15</v>
      </c>
      <c r="E313" s="1845">
        <v>0.15</v>
      </c>
      <c r="F313" s="1846">
        <v>0.15</v>
      </c>
    </row>
    <row r="314" spans="1:6" ht="24.75" thickBot="1">
      <c r="A314" s="1840" t="s">
        <v>1382</v>
      </c>
      <c r="B314" s="1844" t="s">
        <v>2170</v>
      </c>
      <c r="C314" s="1854"/>
      <c r="D314" s="1854"/>
      <c r="E314" s="1854"/>
      <c r="F314" s="1846">
        <v>0.05</v>
      </c>
    </row>
    <row r="315" spans="1:6" ht="24.75" thickBot="1">
      <c r="A315" s="1840" t="s">
        <v>1382</v>
      </c>
      <c r="B315" s="1844" t="s">
        <v>2171</v>
      </c>
      <c r="C315" s="1854"/>
      <c r="D315" s="1854"/>
      <c r="E315" s="1854"/>
      <c r="F315" s="1846">
        <v>0.05</v>
      </c>
    </row>
    <row r="316" spans="1:6" ht="24.75" thickBot="1">
      <c r="A316" s="1848" t="s">
        <v>1382</v>
      </c>
      <c r="B316" s="1855" t="s">
        <v>2172</v>
      </c>
      <c r="C316" s="1851"/>
      <c r="D316" s="1851"/>
      <c r="E316" s="1851"/>
      <c r="F316" s="1856">
        <v>0.05</v>
      </c>
    </row>
    <row r="317" spans="1:6" ht="14.25" thickBot="1">
      <c r="A317" s="1840" t="s">
        <v>2173</v>
      </c>
      <c r="B317" s="1841" t="s">
        <v>2174</v>
      </c>
      <c r="C317" s="1842">
        <v>0.15</v>
      </c>
      <c r="D317" s="1842">
        <v>0.15</v>
      </c>
      <c r="E317" s="1842">
        <v>0.15</v>
      </c>
      <c r="F317" s="1843">
        <v>0.15</v>
      </c>
    </row>
    <row r="318" spans="1:6" ht="14.25" thickBot="1">
      <c r="A318" s="1840" t="s">
        <v>2173</v>
      </c>
      <c r="B318" s="1844" t="s">
        <v>2175</v>
      </c>
      <c r="C318" s="1845">
        <v>0.107</v>
      </c>
      <c r="D318" s="1845">
        <v>0.11</v>
      </c>
      <c r="E318" s="1845">
        <v>0.112</v>
      </c>
      <c r="F318" s="1853"/>
    </row>
    <row r="319" spans="1:6" ht="14.25" thickBot="1">
      <c r="A319" s="1840" t="s">
        <v>2173</v>
      </c>
      <c r="B319" s="1844" t="s">
        <v>2176</v>
      </c>
      <c r="C319" s="1845">
        <v>0.15</v>
      </c>
      <c r="D319" s="1845">
        <v>0.15</v>
      </c>
      <c r="E319" s="1845">
        <v>0.15</v>
      </c>
      <c r="F319" s="1846">
        <v>0.15</v>
      </c>
    </row>
    <row r="320" spans="1:6" ht="14.25" thickBot="1">
      <c r="A320" s="1840" t="s">
        <v>2173</v>
      </c>
      <c r="B320" s="1844" t="s">
        <v>1070</v>
      </c>
      <c r="C320" s="1845">
        <v>0.15</v>
      </c>
      <c r="D320" s="1845">
        <v>0.15</v>
      </c>
      <c r="E320" s="1845">
        <v>0.15</v>
      </c>
      <c r="F320" s="1853"/>
    </row>
    <row r="321" spans="1:6" ht="14.25" thickBot="1">
      <c r="A321" s="1840" t="s">
        <v>2173</v>
      </c>
      <c r="B321" s="1844" t="s">
        <v>2177</v>
      </c>
      <c r="C321" s="1845">
        <v>0.15</v>
      </c>
      <c r="D321" s="1845">
        <v>0.15</v>
      </c>
      <c r="E321" s="1845">
        <v>0.15</v>
      </c>
      <c r="F321" s="1853"/>
    </row>
    <row r="322" spans="1:6" ht="14.25" thickBot="1">
      <c r="A322" s="1840" t="s">
        <v>2173</v>
      </c>
      <c r="B322" s="1844" t="s">
        <v>2178</v>
      </c>
      <c r="C322" s="1845">
        <v>0.15</v>
      </c>
      <c r="D322" s="1845">
        <v>0.15</v>
      </c>
      <c r="E322" s="1845">
        <v>0.15</v>
      </c>
      <c r="F322" s="1846">
        <v>0.15</v>
      </c>
    </row>
    <row r="323" spans="1:6" ht="14.25" thickBot="1">
      <c r="A323" s="1840" t="s">
        <v>2173</v>
      </c>
      <c r="B323" s="1844" t="s">
        <v>2179</v>
      </c>
      <c r="C323" s="1845">
        <v>0.15</v>
      </c>
      <c r="D323" s="1845">
        <v>0.15</v>
      </c>
      <c r="E323" s="1845">
        <v>0.15</v>
      </c>
      <c r="F323" s="1853"/>
    </row>
    <row r="324" spans="1:6" ht="14.25" thickBot="1">
      <c r="A324" s="1840" t="s">
        <v>2173</v>
      </c>
      <c r="B324" s="1844" t="s">
        <v>2180</v>
      </c>
      <c r="C324" s="1845">
        <v>0.15</v>
      </c>
      <c r="D324" s="1845">
        <v>0.15</v>
      </c>
      <c r="E324" s="1845">
        <v>0.15</v>
      </c>
      <c r="F324" s="1853"/>
    </row>
    <row r="325" spans="1:6" ht="14.25" thickBot="1">
      <c r="A325" s="1840" t="s">
        <v>2173</v>
      </c>
      <c r="B325" s="1844" t="s">
        <v>2181</v>
      </c>
      <c r="C325" s="1845">
        <v>0.15</v>
      </c>
      <c r="D325" s="1845">
        <v>0.15</v>
      </c>
      <c r="E325" s="1845">
        <v>0.15</v>
      </c>
      <c r="F325" s="1846">
        <v>0.14699999999999999</v>
      </c>
    </row>
    <row r="326" spans="1:6" ht="14.25" thickBot="1">
      <c r="A326" s="1840" t="s">
        <v>2173</v>
      </c>
      <c r="B326" s="1844" t="s">
        <v>1139</v>
      </c>
      <c r="C326" s="1845">
        <v>0.15</v>
      </c>
      <c r="D326" s="1845">
        <v>0.15</v>
      </c>
      <c r="E326" s="1845">
        <v>0.15</v>
      </c>
      <c r="F326" s="1853"/>
    </row>
    <row r="327" spans="1:6" ht="14.25" thickBot="1">
      <c r="A327" s="1840" t="s">
        <v>2173</v>
      </c>
      <c r="B327" s="1844" t="s">
        <v>2182</v>
      </c>
      <c r="C327" s="1845">
        <v>0.15</v>
      </c>
      <c r="D327" s="1845">
        <v>0.15</v>
      </c>
      <c r="E327" s="1845">
        <v>0.15</v>
      </c>
      <c r="F327" s="1846">
        <v>0.15</v>
      </c>
    </row>
    <row r="328" spans="1:6" ht="14.25" thickBot="1">
      <c r="A328" s="1840" t="s">
        <v>2173</v>
      </c>
      <c r="B328" s="1844" t="s">
        <v>1159</v>
      </c>
      <c r="C328" s="1845">
        <v>0.15</v>
      </c>
      <c r="D328" s="1845">
        <v>0.15</v>
      </c>
      <c r="E328" s="1845">
        <v>0.15</v>
      </c>
      <c r="F328" s="1846">
        <v>0.14099999999999999</v>
      </c>
    </row>
    <row r="329" spans="1:6" ht="14.25" thickBot="1">
      <c r="A329" s="1840" t="s">
        <v>2173</v>
      </c>
      <c r="B329" s="1844" t="s">
        <v>1169</v>
      </c>
      <c r="C329" s="1845">
        <v>0.15</v>
      </c>
      <c r="D329" s="1845">
        <v>0.15</v>
      </c>
      <c r="E329" s="1845">
        <v>0.15</v>
      </c>
      <c r="F329" s="1846">
        <v>0.15</v>
      </c>
    </row>
    <row r="330" spans="1:6" ht="14.25" thickBot="1">
      <c r="A330" s="1840" t="s">
        <v>2173</v>
      </c>
      <c r="B330" s="1844" t="s">
        <v>1179</v>
      </c>
      <c r="C330" s="1845">
        <v>0.15</v>
      </c>
      <c r="D330" s="1845">
        <v>0.15</v>
      </c>
      <c r="E330" s="1845">
        <v>0.15</v>
      </c>
      <c r="F330" s="1853"/>
    </row>
    <row r="331" spans="1:6" ht="14.25" thickBot="1">
      <c r="A331" s="1840" t="s">
        <v>2173</v>
      </c>
      <c r="B331" s="1844" t="s">
        <v>2183</v>
      </c>
      <c r="C331" s="1845">
        <v>0.15</v>
      </c>
      <c r="D331" s="1845">
        <v>0.15</v>
      </c>
      <c r="E331" s="1845">
        <v>0.15</v>
      </c>
      <c r="F331" s="1846">
        <v>0.15</v>
      </c>
    </row>
    <row r="332" spans="1:6" ht="14.25" thickBot="1">
      <c r="A332" s="1840" t="s">
        <v>2173</v>
      </c>
      <c r="B332" s="1844" t="s">
        <v>1199</v>
      </c>
      <c r="C332" s="1845">
        <v>0.15</v>
      </c>
      <c r="D332" s="1845">
        <v>0.15</v>
      </c>
      <c r="E332" s="1845">
        <v>0.15</v>
      </c>
      <c r="F332" s="1846">
        <v>0.15</v>
      </c>
    </row>
    <row r="333" spans="1:6" ht="14.25" thickBot="1">
      <c r="A333" s="1840" t="s">
        <v>2173</v>
      </c>
      <c r="B333" s="1844" t="s">
        <v>2184</v>
      </c>
      <c r="C333" s="1845">
        <v>0.15</v>
      </c>
      <c r="D333" s="1845">
        <v>0.15</v>
      </c>
      <c r="E333" s="1845">
        <v>0.15</v>
      </c>
      <c r="F333" s="1846">
        <v>0.14099999999999999</v>
      </c>
    </row>
    <row r="334" spans="1:6" ht="14.25" thickBot="1">
      <c r="A334" s="1840" t="s">
        <v>2173</v>
      </c>
      <c r="B334" s="1844" t="s">
        <v>1219</v>
      </c>
      <c r="C334" s="1845">
        <v>0.15</v>
      </c>
      <c r="D334" s="1845">
        <v>0.15</v>
      </c>
      <c r="E334" s="1845">
        <v>0.15</v>
      </c>
      <c r="F334" s="1846">
        <v>0.15</v>
      </c>
    </row>
    <row r="335" spans="1:6" ht="14.25" thickBot="1">
      <c r="A335" s="1840" t="s">
        <v>2173</v>
      </c>
      <c r="B335" s="1844" t="s">
        <v>1229</v>
      </c>
      <c r="C335" s="1845">
        <v>0.15</v>
      </c>
      <c r="D335" s="1845">
        <v>0.15</v>
      </c>
      <c r="E335" s="1845">
        <v>0.15</v>
      </c>
      <c r="F335" s="1853"/>
    </row>
    <row r="336" spans="1:6" ht="14.25" thickBot="1">
      <c r="A336" s="1840" t="s">
        <v>2173</v>
      </c>
      <c r="B336" s="1844" t="s">
        <v>2185</v>
      </c>
      <c r="C336" s="1845">
        <v>0.15</v>
      </c>
      <c r="D336" s="1845">
        <v>0.15</v>
      </c>
      <c r="E336" s="1845">
        <v>0.15</v>
      </c>
      <c r="F336" s="1846">
        <v>0.11799999999999999</v>
      </c>
    </row>
    <row r="337" spans="1:6" ht="14.25" thickBot="1">
      <c r="A337" s="1848" t="s">
        <v>2173</v>
      </c>
      <c r="B337" s="1855" t="s">
        <v>1247</v>
      </c>
      <c r="C337" s="1851"/>
      <c r="D337" s="1851"/>
      <c r="E337" s="1851"/>
      <c r="F337" s="1856">
        <v>0.14299999999999999</v>
      </c>
    </row>
    <row r="338" spans="1:6" ht="14.25" thickBot="1">
      <c r="A338" s="1840" t="s">
        <v>2186</v>
      </c>
      <c r="B338" s="1841" t="s">
        <v>2187</v>
      </c>
      <c r="C338" s="1842">
        <v>0.15</v>
      </c>
      <c r="D338" s="1842">
        <v>0.15</v>
      </c>
      <c r="E338" s="1842">
        <v>0.15</v>
      </c>
      <c r="F338" s="1864"/>
    </row>
    <row r="339" spans="1:6" ht="14.25" thickBot="1">
      <c r="A339" s="1840" t="s">
        <v>2186</v>
      </c>
      <c r="B339" s="1844" t="s">
        <v>2188</v>
      </c>
      <c r="C339" s="1845">
        <v>0.15</v>
      </c>
      <c r="D339" s="1845">
        <v>0.15</v>
      </c>
      <c r="E339" s="1845">
        <v>0.15</v>
      </c>
      <c r="F339" s="1853"/>
    </row>
    <row r="340" spans="1:6" ht="14.25" thickBot="1">
      <c r="A340" s="1840" t="s">
        <v>2186</v>
      </c>
      <c r="B340" s="1844" t="s">
        <v>2189</v>
      </c>
      <c r="C340" s="1845">
        <v>0.15</v>
      </c>
      <c r="D340" s="1845">
        <v>0.15</v>
      </c>
      <c r="E340" s="1845">
        <v>0.15</v>
      </c>
      <c r="F340" s="1853"/>
    </row>
    <row r="341" spans="1:6" ht="14.25" thickBot="1">
      <c r="A341" s="1840" t="s">
        <v>2190</v>
      </c>
      <c r="B341" s="1844" t="s">
        <v>2191</v>
      </c>
      <c r="C341" s="1845">
        <v>0.15</v>
      </c>
      <c r="D341" s="1845">
        <v>0.15</v>
      </c>
      <c r="E341" s="1845">
        <v>0.15</v>
      </c>
      <c r="F341" s="1846">
        <v>0.15</v>
      </c>
    </row>
    <row r="342" spans="1:6" ht="14.25" thickBot="1">
      <c r="A342" s="1840" t="s">
        <v>2186</v>
      </c>
      <c r="B342" s="1844" t="s">
        <v>2192</v>
      </c>
      <c r="C342" s="1845">
        <v>0.15</v>
      </c>
      <c r="D342" s="1845">
        <v>0.15</v>
      </c>
      <c r="E342" s="1845">
        <v>0.15</v>
      </c>
      <c r="F342" s="1846">
        <v>0.15</v>
      </c>
    </row>
    <row r="343" spans="1:6" ht="14.25" thickBot="1">
      <c r="A343" s="1840" t="s">
        <v>2186</v>
      </c>
      <c r="B343" s="1844" t="s">
        <v>2193</v>
      </c>
      <c r="C343" s="1845">
        <v>0.15</v>
      </c>
      <c r="D343" s="1845">
        <v>0.15</v>
      </c>
      <c r="E343" s="1845">
        <v>0.15</v>
      </c>
      <c r="F343" s="1846">
        <v>0.15</v>
      </c>
    </row>
    <row r="344" spans="1:6" ht="14.25" thickBot="1">
      <c r="A344" s="1848" t="s">
        <v>2186</v>
      </c>
      <c r="B344" s="1855" t="s">
        <v>2194</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74" t="s">
        <v>2531</v>
      </c>
      <c r="C1" s="3474"/>
      <c r="D1" s="3474"/>
      <c r="E1" s="3474"/>
      <c r="F1" s="3474"/>
      <c r="G1" s="3473" t="s">
        <v>2532</v>
      </c>
      <c r="H1" s="3473"/>
      <c r="I1" s="3473"/>
      <c r="J1" s="3473"/>
      <c r="K1" s="3473"/>
      <c r="L1" s="3473"/>
      <c r="N1" s="3473" t="s">
        <v>2533</v>
      </c>
      <c r="O1" s="3473"/>
      <c r="P1" s="3473"/>
      <c r="Q1" s="3473"/>
      <c r="R1" s="2618"/>
      <c r="S1" s="3473" t="s">
        <v>2534</v>
      </c>
      <c r="T1" s="3473"/>
      <c r="U1" s="3473"/>
      <c r="V1" s="3473"/>
      <c r="X1" s="3472" t="s">
        <v>2594</v>
      </c>
      <c r="Y1" s="3473"/>
      <c r="Z1" s="3473"/>
      <c r="AA1" s="3473"/>
      <c r="AB1" s="3473"/>
      <c r="AD1" s="3472" t="s">
        <v>2598</v>
      </c>
      <c r="AE1" s="3473"/>
      <c r="AF1" s="3473"/>
      <c r="AG1" s="3473"/>
      <c r="AH1" s="3473"/>
    </row>
    <row r="2" spans="1:34" s="2719" customFormat="1" ht="14.25" thickBot="1">
      <c r="B2" s="2727" t="s">
        <v>2535</v>
      </c>
      <c r="C2" s="2727" t="s">
        <v>2596</v>
      </c>
      <c r="D2" s="2720" t="s">
        <v>1606</v>
      </c>
      <c r="E2" s="2720" t="s">
        <v>1908</v>
      </c>
      <c r="F2" s="2727" t="s">
        <v>2597</v>
      </c>
      <c r="G2" s="2723"/>
      <c r="H2" s="2722"/>
      <c r="I2" s="2727" t="s">
        <v>2897</v>
      </c>
      <c r="J2" s="2720" t="s">
        <v>2899</v>
      </c>
      <c r="K2" s="2720" t="s">
        <v>2900</v>
      </c>
      <c r="L2" s="2727" t="s">
        <v>2901</v>
      </c>
      <c r="N2" s="2727" t="s">
        <v>2535</v>
      </c>
      <c r="O2" s="2720" t="s">
        <v>2898</v>
      </c>
      <c r="P2" s="2720" t="s">
        <v>1908</v>
      </c>
      <c r="Q2" s="2727" t="s">
        <v>2597</v>
      </c>
      <c r="R2" s="2721"/>
      <c r="S2" s="2727" t="s">
        <v>2535</v>
      </c>
      <c r="T2" s="2720" t="s">
        <v>2898</v>
      </c>
      <c r="U2" s="2720" t="s">
        <v>1908</v>
      </c>
      <c r="V2" s="2727" t="s">
        <v>2597</v>
      </c>
      <c r="X2" s="2727" t="s">
        <v>2535</v>
      </c>
      <c r="Y2" s="2727" t="s">
        <v>2596</v>
      </c>
      <c r="Z2" s="2720" t="s">
        <v>1606</v>
      </c>
      <c r="AA2" s="2720" t="s">
        <v>1908</v>
      </c>
      <c r="AB2" s="2727" t="s">
        <v>2597</v>
      </c>
      <c r="AD2" s="2727" t="s">
        <v>2535</v>
      </c>
      <c r="AE2" s="2727" t="s">
        <v>2596</v>
      </c>
      <c r="AF2" s="2720" t="s">
        <v>1606</v>
      </c>
      <c r="AG2" s="2720" t="s">
        <v>1908</v>
      </c>
      <c r="AH2" s="2727" t="s">
        <v>2597</v>
      </c>
    </row>
    <row r="3" spans="1:34" s="3081" customFormat="1" ht="14.25">
      <c r="A3" s="3093" t="s">
        <v>2909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2932</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4">
        <v>2</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2910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4" customFormat="1" ht="13.5" thickBot="1">
      <c r="A6" s="2619" t="s">
        <v>2933</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7">
        <v>0.6</v>
      </c>
      <c r="J6" s="3147">
        <v>0.37</v>
      </c>
      <c r="K6" s="3147">
        <v>0.63</v>
      </c>
      <c r="L6" s="3148">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2929</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68">
        <v>2018</v>
      </c>
      <c r="H7" s="2622">
        <v>4</v>
      </c>
      <c r="I7" s="3147">
        <v>0.96</v>
      </c>
      <c r="J7" s="3147">
        <v>1.03</v>
      </c>
      <c r="K7" s="3147">
        <v>0.92</v>
      </c>
      <c r="L7" s="3148">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2919</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68"/>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2920</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68"/>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2916</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69"/>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2907</v>
      </c>
      <c r="B11" s="3095">
        <v>439</v>
      </c>
      <c r="C11" s="3095">
        <v>327</v>
      </c>
      <c r="D11" s="3095">
        <f t="shared" si="54"/>
        <v>327</v>
      </c>
      <c r="E11" s="3095">
        <v>627</v>
      </c>
      <c r="F11" s="3096">
        <v>283</v>
      </c>
      <c r="G11" s="3467">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2911</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68"/>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2536</v>
      </c>
      <c r="B13" s="2632">
        <f t="shared" si="66"/>
        <v>419.31181600000002</v>
      </c>
      <c r="C13" s="2632">
        <f t="shared" si="66"/>
        <v>313.95436800000004</v>
      </c>
      <c r="D13" s="2632">
        <f t="shared" si="54"/>
        <v>313.95436800000004</v>
      </c>
      <c r="E13" s="2632">
        <f t="shared" si="67"/>
        <v>596.63028431999999</v>
      </c>
      <c r="F13" s="2632">
        <f t="shared" si="67"/>
        <v>274.74220703999998</v>
      </c>
      <c r="G13" s="3468"/>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2537</v>
      </c>
      <c r="B14" s="2632">
        <f t="shared" si="66"/>
        <v>405.524</v>
      </c>
      <c r="C14" s="2632">
        <f t="shared" si="66"/>
        <v>307.79840000000002</v>
      </c>
      <c r="D14" s="2632">
        <f t="shared" si="54"/>
        <v>307.79840000000002</v>
      </c>
      <c r="E14" s="2632">
        <f t="shared" si="67"/>
        <v>574.67759999999998</v>
      </c>
      <c r="F14" s="2632">
        <f t="shared" si="67"/>
        <v>270.20280000000002</v>
      </c>
      <c r="G14" s="3469"/>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933</v>
      </c>
      <c r="B15" s="2624">
        <v>392</v>
      </c>
      <c r="C15" s="2624">
        <v>302</v>
      </c>
      <c r="D15" s="2624">
        <f t="shared" si="54"/>
        <v>302</v>
      </c>
      <c r="E15" s="2624">
        <v>553</v>
      </c>
      <c r="F15" s="2625">
        <v>266</v>
      </c>
      <c r="G15" s="3467">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932</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68"/>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922</v>
      </c>
      <c r="B17" s="2632">
        <f t="shared" si="75"/>
        <v>360.06949782209392</v>
      </c>
      <c r="C17" s="2632">
        <f t="shared" si="75"/>
        <v>289.84672674747821</v>
      </c>
      <c r="D17" s="2632">
        <f t="shared" si="76"/>
        <v>289.84672674747821</v>
      </c>
      <c r="E17" s="2632">
        <f t="shared" si="77"/>
        <v>501.06543001181495</v>
      </c>
      <c r="F17" s="2632">
        <f t="shared" si="77"/>
        <v>256.82882500744967</v>
      </c>
      <c r="G17" s="3468"/>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931</v>
      </c>
      <c r="B18" s="2632">
        <f t="shared" si="75"/>
        <v>346.720748986128</v>
      </c>
      <c r="C18" s="2632">
        <f t="shared" si="75"/>
        <v>284.30282172386285</v>
      </c>
      <c r="D18" s="2632">
        <f t="shared" si="76"/>
        <v>284.30282172386285</v>
      </c>
      <c r="E18" s="2632">
        <f t="shared" si="77"/>
        <v>479.58023546306947</v>
      </c>
      <c r="F18" s="2632">
        <f t="shared" si="77"/>
        <v>253.25788877571213</v>
      </c>
      <c r="G18" s="3471"/>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930</v>
      </c>
      <c r="B19" s="2624">
        <v>333</v>
      </c>
      <c r="C19" s="2624">
        <v>277</v>
      </c>
      <c r="D19" s="2624">
        <f t="shared" si="76"/>
        <v>277</v>
      </c>
      <c r="E19" s="2624">
        <v>459</v>
      </c>
      <c r="F19" s="2625">
        <v>249</v>
      </c>
      <c r="G19" s="3470">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929</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68"/>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928</v>
      </c>
      <c r="B21" s="2632">
        <f t="shared" si="79"/>
        <v>322.34053690220776</v>
      </c>
      <c r="C21" s="2632">
        <f t="shared" si="79"/>
        <v>271.46160770422546</v>
      </c>
      <c r="D21" s="2632">
        <f t="shared" si="76"/>
        <v>271.46160770422546</v>
      </c>
      <c r="E21" s="2632">
        <f t="shared" si="80"/>
        <v>442.69434542172456</v>
      </c>
      <c r="F21" s="2632">
        <f t="shared" si="80"/>
        <v>241.34030753190925</v>
      </c>
      <c r="G21" s="3468"/>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927</v>
      </c>
      <c r="B22" s="2632">
        <f t="shared" si="79"/>
        <v>319.87748030386797</v>
      </c>
      <c r="C22" s="2632">
        <f t="shared" si="79"/>
        <v>269.60135833173649</v>
      </c>
      <c r="D22" s="2632">
        <f t="shared" si="76"/>
        <v>269.60135833173649</v>
      </c>
      <c r="E22" s="2632">
        <f t="shared" si="80"/>
        <v>439.18089823583784</v>
      </c>
      <c r="F22" s="2632">
        <f t="shared" si="80"/>
        <v>239.23503918706311</v>
      </c>
      <c r="G22" s="3471"/>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926</v>
      </c>
      <c r="B23" s="2646">
        <v>318</v>
      </c>
      <c r="C23" s="2646">
        <v>268</v>
      </c>
      <c r="D23" s="2646">
        <f t="shared" si="76"/>
        <v>268</v>
      </c>
      <c r="E23" s="2646">
        <v>437</v>
      </c>
      <c r="F23" s="2647">
        <v>237</v>
      </c>
      <c r="G23" s="3470">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925</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68"/>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924</v>
      </c>
      <c r="B25" s="2632">
        <f t="shared" si="81"/>
        <v>314.72141172386546</v>
      </c>
      <c r="C25" s="2632">
        <f t="shared" si="81"/>
        <v>263.03901319069001</v>
      </c>
      <c r="D25" s="2632">
        <f t="shared" si="76"/>
        <v>263.03901319069001</v>
      </c>
      <c r="E25" s="2632">
        <f t="shared" si="82"/>
        <v>433.65745506782821</v>
      </c>
      <c r="F25" s="2632">
        <f t="shared" si="82"/>
        <v>233.23005080045735</v>
      </c>
      <c r="G25" s="3468"/>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923</v>
      </c>
      <c r="B26" s="2651">
        <f t="shared" si="81"/>
        <v>307.34512863658733</v>
      </c>
      <c r="C26" s="2651">
        <f t="shared" si="81"/>
        <v>257.80556031626975</v>
      </c>
      <c r="D26" s="2651">
        <f t="shared" si="76"/>
        <v>257.80556031626975</v>
      </c>
      <c r="E26" s="2651">
        <f t="shared" si="82"/>
        <v>422.70928459677179</v>
      </c>
      <c r="F26" s="2651">
        <f t="shared" si="82"/>
        <v>229.73803270336617</v>
      </c>
      <c r="G26" s="3471"/>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2595</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2538</v>
      </c>
      <c r="B27" s="2624">
        <v>299</v>
      </c>
      <c r="C27" s="2624">
        <v>252</v>
      </c>
      <c r="D27" s="2624">
        <f t="shared" si="76"/>
        <v>252</v>
      </c>
      <c r="E27" s="2624">
        <v>409</v>
      </c>
      <c r="F27" s="2625">
        <v>227</v>
      </c>
      <c r="G27" s="3475">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2539</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76"/>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2540</v>
      </c>
      <c r="B29" s="2632">
        <f t="shared" si="85"/>
        <v>288.2649053828776</v>
      </c>
      <c r="C29" s="2632">
        <f t="shared" si="85"/>
        <v>243.64564425013293</v>
      </c>
      <c r="D29" s="2632">
        <f t="shared" si="76"/>
        <v>243.64564425013293</v>
      </c>
      <c r="E29" s="2632">
        <f t="shared" si="86"/>
        <v>393.31080825986544</v>
      </c>
      <c r="F29" s="2632">
        <f t="shared" si="86"/>
        <v>223.07903790551154</v>
      </c>
      <c r="G29" s="3476"/>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2541</v>
      </c>
      <c r="B30" s="2632">
        <f t="shared" si="85"/>
        <v>282.50186729015837</v>
      </c>
      <c r="C30" s="2632">
        <f t="shared" si="85"/>
        <v>238.09796174155468</v>
      </c>
      <c r="D30" s="2632">
        <f t="shared" si="76"/>
        <v>238.09796174155468</v>
      </c>
      <c r="E30" s="2632">
        <f t="shared" si="86"/>
        <v>385.33438646014054</v>
      </c>
      <c r="F30" s="2632">
        <f t="shared" si="86"/>
        <v>221.55034055567739</v>
      </c>
      <c r="G30" s="3477"/>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2542</v>
      </c>
      <c r="B31" s="2662">
        <v>278</v>
      </c>
      <c r="C31" s="2662">
        <v>234</v>
      </c>
      <c r="D31" s="2662">
        <f t="shared" si="76"/>
        <v>234</v>
      </c>
      <c r="E31" s="2662">
        <v>379</v>
      </c>
      <c r="F31" s="2663">
        <v>220</v>
      </c>
      <c r="G31" s="3470">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2543</v>
      </c>
      <c r="B32" s="2632">
        <f>B31/(1+N31)</f>
        <v>275.49301357645425</v>
      </c>
      <c r="C32" s="2632">
        <f>C31/(1+O31)</f>
        <v>232.41954707985698</v>
      </c>
      <c r="D32" s="2632">
        <f t="shared" si="76"/>
        <v>232.41954707985698</v>
      </c>
      <c r="E32" s="2632">
        <f t="shared" ref="E32:F34" si="87">E31/(1+P31)</f>
        <v>375.32184591008121</v>
      </c>
      <c r="F32" s="2632">
        <f t="shared" si="87"/>
        <v>218.03766105054513</v>
      </c>
      <c r="G32" s="3468"/>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2544</v>
      </c>
      <c r="B33" s="2632">
        <f>B32/(1+N32)</f>
        <v>275.24529281292263</v>
      </c>
      <c r="C33" s="2632">
        <f>C32/(1+O32)</f>
        <v>231.74747938962707</v>
      </c>
      <c r="D33" s="2632">
        <f t="shared" si="76"/>
        <v>231.74747938962707</v>
      </c>
      <c r="E33" s="2632">
        <f t="shared" si="87"/>
        <v>375.35938184826603</v>
      </c>
      <c r="F33" s="2632">
        <f t="shared" si="87"/>
        <v>216.78033510692495</v>
      </c>
      <c r="G33" s="3468"/>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2545</v>
      </c>
      <c r="B34" s="2632">
        <f>B33/(1+N33)</f>
        <v>275.19025476197027</v>
      </c>
      <c r="C34" s="2664">
        <v>232</v>
      </c>
      <c r="D34" s="2664">
        <f t="shared" si="76"/>
        <v>232</v>
      </c>
      <c r="E34" s="2632">
        <f t="shared" si="87"/>
        <v>375.65990977608692</v>
      </c>
      <c r="F34" s="2632">
        <f t="shared" si="87"/>
        <v>214.12518283971252</v>
      </c>
      <c r="G34" s="3471"/>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2546</v>
      </c>
      <c r="B35" s="2624">
        <v>275</v>
      </c>
      <c r="C35" s="2624">
        <v>232</v>
      </c>
      <c r="D35" s="2624">
        <f t="shared" si="76"/>
        <v>232</v>
      </c>
      <c r="E35" s="2624">
        <v>376</v>
      </c>
      <c r="F35" s="2625">
        <v>213</v>
      </c>
      <c r="G35" s="3470">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2547</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68">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2548</v>
      </c>
      <c r="B37" s="2632">
        <f t="shared" si="88"/>
        <v>275.19335084830601</v>
      </c>
      <c r="C37" s="2632">
        <f t="shared" si="88"/>
        <v>230.18088050139744</v>
      </c>
      <c r="D37" s="2632">
        <f t="shared" si="76"/>
        <v>230.18088050139744</v>
      </c>
      <c r="E37" s="2632">
        <f t="shared" si="89"/>
        <v>377.58482925212331</v>
      </c>
      <c r="F37" s="2632">
        <f t="shared" si="89"/>
        <v>210.90687997847917</v>
      </c>
      <c r="G37" s="3468">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2549</v>
      </c>
      <c r="B38" s="2632">
        <f t="shared" si="88"/>
        <v>276.29854502841971</v>
      </c>
      <c r="C38" s="2632">
        <f t="shared" si="88"/>
        <v>229.79023709833027</v>
      </c>
      <c r="D38" s="2632">
        <f t="shared" si="76"/>
        <v>229.79023709833027</v>
      </c>
      <c r="E38" s="2632">
        <f t="shared" si="89"/>
        <v>379.78759731655936</v>
      </c>
      <c r="F38" s="2632">
        <f t="shared" si="89"/>
        <v>211.32953905659235</v>
      </c>
      <c r="G38" s="3471">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2550</v>
      </c>
      <c r="B39" s="2624">
        <v>269</v>
      </c>
      <c r="C39" s="2624">
        <v>221</v>
      </c>
      <c r="D39" s="2624">
        <f t="shared" si="76"/>
        <v>221</v>
      </c>
      <c r="E39" s="2624">
        <v>373</v>
      </c>
      <c r="F39" s="2625">
        <v>196</v>
      </c>
      <c r="G39" s="3470">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2551</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68">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2552</v>
      </c>
      <c r="B41" s="2632">
        <f t="shared" si="90"/>
        <v>242.95398227588385</v>
      </c>
      <c r="C41" s="2632">
        <f t="shared" si="90"/>
        <v>199.59137053614126</v>
      </c>
      <c r="D41" s="2632">
        <f t="shared" si="76"/>
        <v>199.59137053614126</v>
      </c>
      <c r="E41" s="2632">
        <f t="shared" si="91"/>
        <v>335.92189522342125</v>
      </c>
      <c r="F41" s="2632">
        <f t="shared" si="91"/>
        <v>183.10139991109489</v>
      </c>
      <c r="G41" s="3468">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2553</v>
      </c>
      <c r="B42" s="2632">
        <f t="shared" si="90"/>
        <v>232.06990378821649</v>
      </c>
      <c r="C42" s="2632">
        <f t="shared" si="90"/>
        <v>192.74878854286936</v>
      </c>
      <c r="D42" s="2632">
        <f t="shared" si="76"/>
        <v>192.74878854286936</v>
      </c>
      <c r="E42" s="2632">
        <f t="shared" si="91"/>
        <v>319.71247284992984</v>
      </c>
      <c r="F42" s="2632">
        <f t="shared" si="91"/>
        <v>175.67053622862409</v>
      </c>
      <c r="G42" s="3471">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2554</v>
      </c>
      <c r="B43" s="2624">
        <v>220</v>
      </c>
      <c r="C43" s="2624">
        <v>187</v>
      </c>
      <c r="D43" s="2624">
        <f t="shared" si="76"/>
        <v>187</v>
      </c>
      <c r="E43" s="2624">
        <v>301</v>
      </c>
      <c r="F43" s="2625">
        <v>168</v>
      </c>
      <c r="G43" s="3470">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2555</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68">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2556</v>
      </c>
      <c r="B45" s="2632">
        <f t="shared" si="92"/>
        <v>210.630522469011</v>
      </c>
      <c r="C45" s="2632">
        <f t="shared" si="92"/>
        <v>181.69567812247232</v>
      </c>
      <c r="D45" s="2632">
        <f t="shared" si="76"/>
        <v>181.69567812247232</v>
      </c>
      <c r="E45" s="2632">
        <f t="shared" si="93"/>
        <v>286.13517466736738</v>
      </c>
      <c r="F45" s="2632">
        <f t="shared" si="93"/>
        <v>165.47535084591149</v>
      </c>
      <c r="G45" s="3468">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2557</v>
      </c>
      <c r="B46" s="2632">
        <f t="shared" si="92"/>
        <v>208.83454537875372</v>
      </c>
      <c r="C46" s="2632">
        <f t="shared" si="92"/>
        <v>183.77230517090351</v>
      </c>
      <c r="D46" s="2632">
        <f t="shared" si="76"/>
        <v>183.77230517090351</v>
      </c>
      <c r="E46" s="2632">
        <f t="shared" si="93"/>
        <v>281.10342338870947</v>
      </c>
      <c r="F46" s="2632">
        <f t="shared" si="93"/>
        <v>168.97309388942256</v>
      </c>
      <c r="G46" s="3471">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2558</v>
      </c>
      <c r="B47" s="2662">
        <v>214</v>
      </c>
      <c r="C47" s="2662">
        <v>188</v>
      </c>
      <c r="D47" s="2662">
        <f t="shared" si="76"/>
        <v>188</v>
      </c>
      <c r="E47" s="2662">
        <v>289</v>
      </c>
      <c r="F47" s="2663">
        <v>166</v>
      </c>
      <c r="G47" s="3470">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2559</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68">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2560</v>
      </c>
      <c r="B49" s="2632">
        <f t="shared" si="94"/>
        <v>206.31694671589116</v>
      </c>
      <c r="C49" s="2632">
        <f t="shared" si="94"/>
        <v>183.61041121036101</v>
      </c>
      <c r="D49" s="2632">
        <f t="shared" si="76"/>
        <v>183.61041121036101</v>
      </c>
      <c r="E49" s="2632">
        <f t="shared" si="95"/>
        <v>276.66850301795557</v>
      </c>
      <c r="F49" s="2632">
        <f t="shared" si="95"/>
        <v>165.1360938278614</v>
      </c>
      <c r="G49" s="3468">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2561</v>
      </c>
      <c r="B50" s="2665">
        <f t="shared" si="94"/>
        <v>196.62341248059772</v>
      </c>
      <c r="C50" s="2665">
        <f t="shared" si="94"/>
        <v>170.99125648199012</v>
      </c>
      <c r="D50" s="2665">
        <f t="shared" si="76"/>
        <v>170.99125648199012</v>
      </c>
      <c r="E50" s="2665">
        <f t="shared" si="95"/>
        <v>266.07857570490052</v>
      </c>
      <c r="F50" s="2665">
        <f t="shared" si="95"/>
        <v>154.53499328828505</v>
      </c>
      <c r="G50" s="3471">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2562</v>
      </c>
      <c r="B51" s="2624">
        <v>188</v>
      </c>
      <c r="C51" s="2624">
        <v>165</v>
      </c>
      <c r="D51" s="2624">
        <f t="shared" si="76"/>
        <v>165</v>
      </c>
      <c r="E51" s="2624">
        <v>254</v>
      </c>
      <c r="F51" s="2625">
        <v>148</v>
      </c>
      <c r="G51" s="3470">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2563</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68">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2564</v>
      </c>
      <c r="B53" s="2632">
        <f t="shared" si="98"/>
        <v>168.82017748715555</v>
      </c>
      <c r="C53" s="2632">
        <f t="shared" si="98"/>
        <v>148.06267029972753</v>
      </c>
      <c r="D53" s="2632">
        <f t="shared" si="76"/>
        <v>148.06267029972753</v>
      </c>
      <c r="E53" s="2632">
        <f t="shared" si="99"/>
        <v>216.46288379323747</v>
      </c>
      <c r="F53" s="2632">
        <f t="shared" si="99"/>
        <v>134.23529411764704</v>
      </c>
      <c r="G53" s="3468">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2565</v>
      </c>
      <c r="B54" s="2632">
        <f t="shared" si="98"/>
        <v>163.84913591779542</v>
      </c>
      <c r="C54" s="2632">
        <f t="shared" si="98"/>
        <v>145.0283378746594</v>
      </c>
      <c r="D54" s="2632">
        <f t="shared" si="76"/>
        <v>145.0283378746594</v>
      </c>
      <c r="E54" s="2632">
        <f t="shared" si="99"/>
        <v>204.95180722891567</v>
      </c>
      <c r="F54" s="2632">
        <f t="shared" si="99"/>
        <v>125.95920303605313</v>
      </c>
      <c r="G54" s="3471">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2566</v>
      </c>
      <c r="B55" s="2646">
        <v>159</v>
      </c>
      <c r="C55" s="2646">
        <v>141</v>
      </c>
      <c r="D55" s="2646">
        <f t="shared" si="76"/>
        <v>141</v>
      </c>
      <c r="E55" s="2646">
        <v>195</v>
      </c>
      <c r="F55" s="2647">
        <v>122</v>
      </c>
      <c r="G55" s="3470">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2567</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68">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2568</v>
      </c>
      <c r="B57" s="2632">
        <f t="shared" si="102"/>
        <v>146.57412060301507</v>
      </c>
      <c r="C57" s="2632">
        <f t="shared" si="102"/>
        <v>136.46831955922866</v>
      </c>
      <c r="D57" s="2632">
        <f t="shared" si="76"/>
        <v>136.46831955922866</v>
      </c>
      <c r="E57" s="2632">
        <f t="shared" si="103"/>
        <v>166.73864894795128</v>
      </c>
      <c r="F57" s="2632">
        <f t="shared" si="103"/>
        <v>115.05882352941177</v>
      </c>
      <c r="G57" s="3468">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2569</v>
      </c>
      <c r="B58" s="2632">
        <f t="shared" si="102"/>
        <v>144.04145728643215</v>
      </c>
      <c r="C58" s="2632">
        <f t="shared" si="102"/>
        <v>136.12396694214877</v>
      </c>
      <c r="D58" s="2632">
        <f t="shared" si="76"/>
        <v>136.12396694214877</v>
      </c>
      <c r="E58" s="2632">
        <f t="shared" si="103"/>
        <v>158.32225913621264</v>
      </c>
      <c r="F58" s="2632">
        <f t="shared" si="103"/>
        <v>114.04278074866311</v>
      </c>
      <c r="G58" s="3471">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2570</v>
      </c>
      <c r="B59" s="2646">
        <v>138</v>
      </c>
      <c r="C59" s="2646">
        <v>131</v>
      </c>
      <c r="D59" s="2646">
        <f t="shared" si="76"/>
        <v>131</v>
      </c>
      <c r="E59" s="2646">
        <v>155</v>
      </c>
      <c r="F59" s="2647">
        <v>114</v>
      </c>
      <c r="G59" s="3470">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2571</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68">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2572</v>
      </c>
      <c r="B61" s="2632">
        <f t="shared" si="106"/>
        <v>124.29032258064517</v>
      </c>
      <c r="C61" s="2632">
        <f t="shared" si="106"/>
        <v>123.8968609865471</v>
      </c>
      <c r="D61" s="2632">
        <f t="shared" si="76"/>
        <v>123.8968609865471</v>
      </c>
      <c r="E61" s="2632">
        <f t="shared" si="107"/>
        <v>138.00507614213197</v>
      </c>
      <c r="F61" s="2632">
        <f t="shared" si="107"/>
        <v>107.96106557377048</v>
      </c>
      <c r="G61" s="3468">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2573</v>
      </c>
      <c r="B62" s="2632">
        <f t="shared" si="106"/>
        <v>122.57204301075269</v>
      </c>
      <c r="C62" s="2632">
        <f t="shared" si="106"/>
        <v>123.4932735426009</v>
      </c>
      <c r="D62" s="2632">
        <f t="shared" si="76"/>
        <v>123.4932735426009</v>
      </c>
      <c r="E62" s="2632">
        <f t="shared" si="107"/>
        <v>129.82233502538071</v>
      </c>
      <c r="F62" s="2632">
        <f t="shared" si="107"/>
        <v>107.39446721311475</v>
      </c>
      <c r="G62" s="3471">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2574</v>
      </c>
      <c r="B63" s="2662">
        <v>121</v>
      </c>
      <c r="C63" s="2662">
        <v>122</v>
      </c>
      <c r="D63" s="2662">
        <f t="shared" si="76"/>
        <v>122</v>
      </c>
      <c r="E63" s="2662">
        <v>124</v>
      </c>
      <c r="F63" s="2663">
        <v>107</v>
      </c>
      <c r="G63" s="3470">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2575</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68">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2576</v>
      </c>
      <c r="B65" s="2632">
        <f t="shared" si="110"/>
        <v>116.99099099099099</v>
      </c>
      <c r="C65" s="2632">
        <f t="shared" si="110"/>
        <v>118.84848484848486</v>
      </c>
      <c r="D65" s="2632">
        <f t="shared" si="76"/>
        <v>118.84848484848486</v>
      </c>
      <c r="E65" s="2632">
        <f t="shared" si="111"/>
        <v>117.60960960960961</v>
      </c>
      <c r="F65" s="2632">
        <f t="shared" si="111"/>
        <v>104</v>
      </c>
      <c r="G65" s="3468">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2577</v>
      </c>
      <c r="B66" s="2665">
        <f t="shared" si="110"/>
        <v>112.48648648648648</v>
      </c>
      <c r="C66" s="2665">
        <f t="shared" si="110"/>
        <v>115.21212121212122</v>
      </c>
      <c r="D66" s="2665">
        <f t="shared" si="76"/>
        <v>115.21212121212122</v>
      </c>
      <c r="E66" s="2665">
        <f t="shared" si="111"/>
        <v>110.4024024024024</v>
      </c>
      <c r="F66" s="2665">
        <f t="shared" si="111"/>
        <v>104</v>
      </c>
      <c r="G66" s="3471">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2578</v>
      </c>
      <c r="B67" s="2683">
        <v>111</v>
      </c>
      <c r="C67" s="2683">
        <v>114</v>
      </c>
      <c r="D67" s="2683">
        <f t="shared" si="76"/>
        <v>114</v>
      </c>
      <c r="E67" s="2683">
        <v>108</v>
      </c>
      <c r="F67" s="2684">
        <v>104</v>
      </c>
      <c r="G67" s="3470">
        <v>2003</v>
      </c>
      <c r="H67" s="2673">
        <v>4</v>
      </c>
      <c r="I67" s="2685"/>
      <c r="J67" s="2685"/>
      <c r="K67" s="2685"/>
      <c r="L67" s="2685"/>
      <c r="N67" s="2686"/>
      <c r="O67" s="2685"/>
      <c r="P67" s="2685"/>
      <c r="Q67" s="2685"/>
      <c r="S67" s="2686"/>
      <c r="T67" s="2685"/>
      <c r="U67" s="2685"/>
      <c r="V67" s="2685"/>
      <c r="X67" s="2677"/>
      <c r="Y67" s="2677"/>
      <c r="Z67" s="2677"/>
    </row>
    <row r="68" spans="1:26">
      <c r="A68" s="2619" t="s">
        <v>2579</v>
      </c>
      <c r="B68" s="2687">
        <f t="shared" ref="B68:C70" si="112">B69+(B$67-B$71)/4</f>
        <v>109.75</v>
      </c>
      <c r="C68" s="2687">
        <f t="shared" si="112"/>
        <v>112.25</v>
      </c>
      <c r="D68" s="2687">
        <f t="shared" si="76"/>
        <v>112.25</v>
      </c>
      <c r="E68" s="2687">
        <f t="shared" ref="E68:F70" si="113">E69+(E$67-E$71)/4</f>
        <v>107.25</v>
      </c>
      <c r="F68" s="2687">
        <f t="shared" si="113"/>
        <v>103.5</v>
      </c>
      <c r="G68" s="3468">
        <v>2003</v>
      </c>
      <c r="H68" s="2643">
        <v>3</v>
      </c>
      <c r="I68" s="2685"/>
      <c r="J68" s="2685"/>
      <c r="K68" s="2685"/>
      <c r="L68" s="2685"/>
      <c r="X68" s="2677"/>
      <c r="Y68" s="2677"/>
      <c r="Z68" s="2677"/>
    </row>
    <row r="69" spans="1:26">
      <c r="A69" s="2619" t="s">
        <v>2580</v>
      </c>
      <c r="B69" s="2687">
        <f t="shared" si="112"/>
        <v>108.5</v>
      </c>
      <c r="C69" s="2687">
        <f t="shared" si="112"/>
        <v>110.5</v>
      </c>
      <c r="D69" s="2687">
        <f t="shared" si="76"/>
        <v>110.5</v>
      </c>
      <c r="E69" s="2687">
        <f t="shared" si="113"/>
        <v>106.5</v>
      </c>
      <c r="F69" s="2687">
        <f t="shared" si="113"/>
        <v>103</v>
      </c>
      <c r="G69" s="3468">
        <v>2003</v>
      </c>
      <c r="H69" s="2623">
        <v>2</v>
      </c>
      <c r="I69" s="2685"/>
      <c r="J69" s="2685"/>
      <c r="K69" s="2685"/>
      <c r="L69" s="2685"/>
      <c r="X69" s="2677"/>
      <c r="Y69" s="2677"/>
      <c r="Z69" s="2677"/>
    </row>
    <row r="70" spans="1:26" ht="13.5" thickBot="1">
      <c r="A70" s="2619" t="s">
        <v>2581</v>
      </c>
      <c r="B70" s="2687">
        <f t="shared" si="112"/>
        <v>107.25</v>
      </c>
      <c r="C70" s="2687">
        <f t="shared" si="112"/>
        <v>108.75</v>
      </c>
      <c r="D70" s="2687">
        <f t="shared" si="76"/>
        <v>108.75</v>
      </c>
      <c r="E70" s="2687">
        <f t="shared" si="113"/>
        <v>105.75</v>
      </c>
      <c r="F70" s="2687">
        <f t="shared" si="113"/>
        <v>102.5</v>
      </c>
      <c r="G70" s="3471">
        <v>2003</v>
      </c>
      <c r="H70" s="2688">
        <v>1</v>
      </c>
      <c r="I70" s="2685"/>
      <c r="J70" s="2685"/>
      <c r="K70" s="2685"/>
      <c r="L70" s="2685"/>
      <c r="S70" s="2627"/>
      <c r="T70" s="2628"/>
      <c r="U70" s="2628"/>
      <c r="X70" s="2677"/>
      <c r="Y70" s="2677"/>
      <c r="Z70" s="2677"/>
    </row>
    <row r="71" spans="1:26" ht="13.5" thickBot="1">
      <c r="A71" s="2619" t="s">
        <v>2582</v>
      </c>
      <c r="B71" s="2689">
        <v>106</v>
      </c>
      <c r="C71" s="2689">
        <v>107</v>
      </c>
      <c r="D71" s="2689">
        <f t="shared" si="76"/>
        <v>107</v>
      </c>
      <c r="E71" s="2689">
        <v>105</v>
      </c>
      <c r="F71" s="2690">
        <v>102</v>
      </c>
      <c r="G71" s="3470">
        <v>2002</v>
      </c>
      <c r="H71" s="2638">
        <v>4</v>
      </c>
      <c r="I71" s="2685"/>
      <c r="J71" s="2685"/>
      <c r="K71" s="2685"/>
      <c r="L71" s="2685"/>
      <c r="N71" s="2686"/>
      <c r="O71" s="2685"/>
      <c r="P71" s="2685"/>
      <c r="Q71" s="2685"/>
      <c r="S71" s="2686"/>
      <c r="T71" s="2685"/>
      <c r="U71" s="2685"/>
      <c r="V71" s="2685"/>
      <c r="X71" s="2677"/>
      <c r="Y71" s="2677"/>
      <c r="Z71" s="2677"/>
    </row>
    <row r="72" spans="1:26">
      <c r="A72" s="2619" t="s">
        <v>2583</v>
      </c>
      <c r="B72" s="2687">
        <f t="shared" ref="B72:C74" si="114">B73+(B$71-B$75)/4</f>
        <v>105</v>
      </c>
      <c r="C72" s="2687">
        <f t="shared" si="114"/>
        <v>106</v>
      </c>
      <c r="D72" s="2687">
        <f t="shared" si="76"/>
        <v>106</v>
      </c>
      <c r="E72" s="2687">
        <f t="shared" ref="E72:F74" si="115">E73+(E$71-E$75)/4</f>
        <v>104.5</v>
      </c>
      <c r="F72" s="2687">
        <f t="shared" si="115"/>
        <v>101.5</v>
      </c>
      <c r="G72" s="3468">
        <v>2002</v>
      </c>
      <c r="H72" s="2643">
        <v>3</v>
      </c>
      <c r="I72" s="2685"/>
      <c r="J72" s="2685"/>
      <c r="K72" s="2685"/>
      <c r="L72" s="2685"/>
      <c r="X72" s="2677"/>
      <c r="Y72" s="2677"/>
      <c r="Z72" s="2677"/>
    </row>
    <row r="73" spans="1:26">
      <c r="A73" s="2619" t="s">
        <v>2584</v>
      </c>
      <c r="B73" s="2687">
        <f t="shared" si="114"/>
        <v>104</v>
      </c>
      <c r="C73" s="2687">
        <f t="shared" si="114"/>
        <v>105</v>
      </c>
      <c r="D73" s="2687">
        <f t="shared" si="76"/>
        <v>105</v>
      </c>
      <c r="E73" s="2687">
        <f t="shared" si="115"/>
        <v>104</v>
      </c>
      <c r="F73" s="2687">
        <f t="shared" si="115"/>
        <v>101</v>
      </c>
      <c r="G73" s="3468">
        <v>2002</v>
      </c>
      <c r="H73" s="2623">
        <v>2</v>
      </c>
      <c r="I73" s="2685"/>
      <c r="J73" s="2685"/>
      <c r="K73" s="2685"/>
      <c r="L73" s="2685"/>
      <c r="X73" s="2677"/>
      <c r="Y73" s="2677"/>
      <c r="Z73" s="2677"/>
    </row>
    <row r="74" spans="1:26" s="2654" customFormat="1" ht="13.5" thickBot="1">
      <c r="A74" s="2650" t="s">
        <v>2585</v>
      </c>
      <c r="B74" s="2691">
        <f t="shared" si="114"/>
        <v>103</v>
      </c>
      <c r="C74" s="2691">
        <f t="shared" si="114"/>
        <v>104</v>
      </c>
      <c r="D74" s="2691">
        <f t="shared" si="76"/>
        <v>104</v>
      </c>
      <c r="E74" s="2691">
        <f t="shared" si="115"/>
        <v>103.5</v>
      </c>
      <c r="F74" s="2691">
        <f t="shared" si="115"/>
        <v>100.5</v>
      </c>
      <c r="G74" s="3471">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2586</v>
      </c>
      <c r="G77" s="2701"/>
      <c r="N77" s="2701"/>
      <c r="S77" s="2701"/>
    </row>
    <row r="78" spans="1:26" s="2700" customFormat="1">
      <c r="A78" s="2700" t="s">
        <v>2587</v>
      </c>
      <c r="G78" s="2701"/>
      <c r="N78" s="2701"/>
      <c r="S78" s="2701"/>
    </row>
    <row r="79" spans="1:26" s="2700" customFormat="1">
      <c r="A79" s="2700" t="s">
        <v>2588</v>
      </c>
      <c r="G79" s="2701"/>
      <c r="I79" s="2702"/>
      <c r="J79" s="2702"/>
      <c r="K79" s="2702"/>
      <c r="L79" s="2702"/>
      <c r="N79" s="2703"/>
      <c r="O79" s="2702"/>
      <c r="P79" s="2702"/>
      <c r="Q79" s="2702"/>
      <c r="S79" s="2703"/>
      <c r="T79" s="2702"/>
      <c r="U79" s="2702"/>
      <c r="V79" s="2702"/>
    </row>
    <row r="80" spans="1:26" s="2700" customFormat="1">
      <c r="A80" s="2700" t="s">
        <v>2589</v>
      </c>
      <c r="G80" s="2701"/>
      <c r="N80" s="2701"/>
      <c r="S80" s="2701"/>
    </row>
    <row r="87" spans="7:22" ht="13.5" thickBot="1"/>
    <row r="88" spans="7:22">
      <c r="G88" s="2626"/>
      <c r="S88" s="2704" t="s">
        <v>2590</v>
      </c>
      <c r="T88" s="2705" t="s">
        <v>2591</v>
      </c>
      <c r="U88" s="2705" t="s">
        <v>2592</v>
      </c>
      <c r="V88" s="2705" t="s">
        <v>2593</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2891</v>
      </c>
      <c r="B1" s="3055"/>
      <c r="C1" s="3055"/>
      <c r="D1" s="3055"/>
      <c r="E1" s="3055"/>
      <c r="F1" s="3055"/>
    </row>
    <row r="2" spans="1:6" ht="14.25">
      <c r="A2" s="3056" t="s">
        <v>2886</v>
      </c>
      <c r="B2" s="3057" t="e">
        <f ca="1">SUMIF(B7:B14,"&lt;&gt;#ref!",B7:B14)</f>
        <v>#DIV/0!</v>
      </c>
      <c r="C2" s="3056" t="s">
        <v>2887</v>
      </c>
      <c r="D2" s="3055"/>
      <c r="E2" s="3055"/>
      <c r="F2" s="3055"/>
    </row>
    <row r="3" spans="1:6" ht="14.25">
      <c r="A3" s="3056" t="s">
        <v>2917</v>
      </c>
      <c r="B3" s="3057" t="e">
        <f ca="1">ROUND(B2*10000/E3,0)</f>
        <v>#DIV/0!</v>
      </c>
      <c r="C3" s="3056" t="s">
        <v>2035</v>
      </c>
      <c r="D3" s="3056" t="s">
        <v>2888</v>
      </c>
      <c r="E3" s="3057">
        <f ca="1">SUMIF(E7:E14,"&lt;&gt;#ref!",E7:E14)</f>
        <v>0</v>
      </c>
      <c r="F3" s="3055"/>
    </row>
    <row r="4" spans="1:6" ht="14.25">
      <c r="A4" s="3056" t="s">
        <v>2895</v>
      </c>
      <c r="B4" s="3057" t="e">
        <f ca="1">ROUND(B2*10000/E4,0)</f>
        <v>#DIV/0!</v>
      </c>
      <c r="C4" s="3056" t="s">
        <v>2035</v>
      </c>
      <c r="D4" s="3056" t="s">
        <v>2896</v>
      </c>
      <c r="E4" s="3057">
        <f ca="1">SUMIF(F7:F14,"&lt;&gt;#ref!",F7:F14)</f>
        <v>0</v>
      </c>
      <c r="F4" s="3055"/>
    </row>
    <row r="5" spans="1:6" ht="14.25">
      <c r="A5" s="3058"/>
      <c r="B5" s="1866"/>
      <c r="C5" s="1866"/>
      <c r="D5" s="1866"/>
      <c r="E5" s="1866"/>
      <c r="F5" s="3055"/>
    </row>
    <row r="6" spans="1:6" ht="28.5">
      <c r="A6" s="3059" t="s">
        <v>2892</v>
      </c>
      <c r="B6" s="3056" t="s">
        <v>2889</v>
      </c>
      <c r="C6" s="3057"/>
      <c r="D6" s="1866"/>
      <c r="E6" s="3056" t="s">
        <v>2890</v>
      </c>
      <c r="F6" s="3056" t="s">
        <v>2894</v>
      </c>
    </row>
    <row r="7" spans="1:6" ht="14.25">
      <c r="A7" s="259" t="s">
        <v>2893</v>
      </c>
      <c r="B7" s="3060" t="e">
        <f ca="1">SUMIF(INDIRECT("'"&amp;A7&amp;"'"&amp;"!A:A"),"总价",INDIRECT("'"&amp;A7&amp;"'"&amp;"!B:B"))</f>
        <v>#DIV/0!</v>
      </c>
      <c r="C7" s="3056" t="s">
        <v>2887</v>
      </c>
      <c r="D7" s="1866"/>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2887</v>
      </c>
      <c r="D8" s="1866"/>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2887</v>
      </c>
      <c r="D9" s="1866"/>
      <c r="E9" s="3061" t="e">
        <f t="shared" ca="1" si="1"/>
        <v>#REF!</v>
      </c>
      <c r="F9" s="3061" t="e">
        <f t="shared" ca="1" si="2"/>
        <v>#REF!</v>
      </c>
    </row>
    <row r="10" spans="1:6" ht="14.25">
      <c r="A10" s="259"/>
      <c r="B10" s="3060" t="e">
        <f t="shared" ca="1" si="0"/>
        <v>#REF!</v>
      </c>
      <c r="C10" s="3056" t="s">
        <v>2887</v>
      </c>
      <c r="D10" s="1866"/>
      <c r="E10" s="3061" t="e">
        <f t="shared" ca="1" si="1"/>
        <v>#REF!</v>
      </c>
      <c r="F10" s="3061" t="e">
        <f t="shared" ca="1" si="2"/>
        <v>#REF!</v>
      </c>
    </row>
    <row r="11" spans="1:6" ht="14.25">
      <c r="A11" s="259"/>
      <c r="B11" s="3060" t="e">
        <f t="shared" ca="1" si="0"/>
        <v>#REF!</v>
      </c>
      <c r="C11" s="3056" t="s">
        <v>2887</v>
      </c>
      <c r="D11" s="1866"/>
      <c r="E11" s="3061" t="e">
        <f t="shared" ca="1" si="1"/>
        <v>#REF!</v>
      </c>
      <c r="F11" s="3061" t="e">
        <f t="shared" ca="1" si="2"/>
        <v>#REF!</v>
      </c>
    </row>
    <row r="12" spans="1:6" ht="14.25">
      <c r="A12" s="259"/>
      <c r="B12" s="3060" t="e">
        <f t="shared" ca="1" si="0"/>
        <v>#REF!</v>
      </c>
      <c r="C12" s="3056" t="s">
        <v>2887</v>
      </c>
      <c r="D12" s="1866"/>
      <c r="E12" s="3061" t="e">
        <f t="shared" ca="1" si="1"/>
        <v>#REF!</v>
      </c>
      <c r="F12" s="3061" t="e">
        <f t="shared" ca="1" si="2"/>
        <v>#REF!</v>
      </c>
    </row>
    <row r="13" spans="1:6" ht="14.25">
      <c r="A13" s="259"/>
      <c r="B13" s="3060" t="e">
        <f t="shared" ca="1" si="0"/>
        <v>#REF!</v>
      </c>
      <c r="C13" s="3056" t="s">
        <v>2887</v>
      </c>
      <c r="D13" s="1866"/>
      <c r="E13" s="3061" t="e">
        <f t="shared" ca="1" si="1"/>
        <v>#REF!</v>
      </c>
      <c r="F13" s="3061" t="e">
        <f t="shared" ca="1" si="2"/>
        <v>#REF!</v>
      </c>
    </row>
    <row r="14" spans="1:6" ht="14.25">
      <c r="A14" s="3054"/>
      <c r="B14" s="3060" t="e">
        <f t="shared" ca="1" si="0"/>
        <v>#REF!</v>
      </c>
      <c r="C14" s="3056" t="s">
        <v>2887</v>
      </c>
      <c r="D14" s="1866"/>
      <c r="E14" s="3061" t="e">
        <f t="shared" ca="1" si="1"/>
        <v>#REF!</v>
      </c>
      <c r="F14" s="306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592</v>
      </c>
      <c r="B1" s="737"/>
      <c r="C1" s="772"/>
      <c r="D1" s="2035"/>
      <c r="E1" s="2351" t="s">
        <v>2331</v>
      </c>
      <c r="F1" s="2352">
        <f ca="1">J54</f>
        <v>-2</v>
      </c>
      <c r="G1" s="773">
        <f>MATCH(C1,'数据-取费表'!A6:A16,0)+5</f>
        <v>6</v>
      </c>
      <c r="H1" s="1345"/>
      <c r="I1" s="2036"/>
      <c r="J1" s="2036"/>
      <c r="K1" s="2037"/>
      <c r="L1" s="2036"/>
      <c r="M1" s="2036"/>
      <c r="N1" s="2038"/>
      <c r="O1" s="2038"/>
      <c r="P1" s="2038"/>
      <c r="Q1" s="2038"/>
      <c r="R1" s="2038"/>
      <c r="S1" s="2038"/>
      <c r="T1" s="2038"/>
      <c r="U1" s="2038"/>
      <c r="V1" s="2038"/>
      <c r="W1" s="2038"/>
      <c r="X1" s="2038"/>
      <c r="Y1" s="2038"/>
    </row>
    <row r="2" spans="1:25" ht="18" customHeight="1">
      <c r="A2" s="1629" t="s">
        <v>593</v>
      </c>
      <c r="B2" s="774">
        <f ca="1">IF(ISERROR(C45+J31),0,C45+J31)</f>
        <v>0</v>
      </c>
      <c r="C2" s="1346"/>
      <c r="D2" s="2040"/>
      <c r="E2" s="2041"/>
      <c r="F2" s="2041"/>
      <c r="G2" s="1576"/>
      <c r="H2" s="1358"/>
      <c r="I2" s="2042"/>
      <c r="J2" s="2042"/>
      <c r="K2" s="2043"/>
      <c r="L2" s="2042"/>
      <c r="M2" s="2042"/>
    </row>
    <row r="3" spans="1:25" ht="18" customHeight="1">
      <c r="A3" s="1630" t="s">
        <v>1645</v>
      </c>
      <c r="B3" s="1387">
        <f ca="1">ROUND(B2*10000/'数据-汇总表'!E3,0)</f>
        <v>0</v>
      </c>
      <c r="C3" s="1346"/>
      <c r="D3" s="2040"/>
      <c r="E3" s="2041"/>
      <c r="F3" s="2041"/>
      <c r="G3" s="1576"/>
      <c r="H3" s="775" t="s">
        <v>659</v>
      </c>
      <c r="I3" s="2042"/>
      <c r="J3" s="2042"/>
      <c r="K3" s="2043"/>
      <c r="L3" s="2042"/>
      <c r="M3" s="2042"/>
    </row>
    <row r="4" spans="1:25" ht="18" customHeight="1">
      <c r="A4" s="1631" t="s">
        <v>660</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661</v>
      </c>
      <c r="D5" s="2040"/>
      <c r="E5" s="2041"/>
      <c r="F5" s="2041"/>
      <c r="G5" s="1576"/>
      <c r="H5" s="775"/>
      <c r="I5" s="2042"/>
      <c r="J5" s="2042"/>
      <c r="K5" s="2043"/>
      <c r="L5" s="2042"/>
      <c r="M5" s="2042"/>
    </row>
    <row r="6" spans="1:25" ht="18" customHeight="1">
      <c r="A6" s="1813" t="s">
        <v>662</v>
      </c>
      <c r="B6" s="1805" t="s">
        <v>663</v>
      </c>
      <c r="C6" s="1805" t="s">
        <v>596</v>
      </c>
      <c r="D6" s="1805" t="s">
        <v>597</v>
      </c>
      <c r="E6" s="778" t="s">
        <v>598</v>
      </c>
      <c r="F6" s="779"/>
      <c r="G6" s="1578"/>
      <c r="H6" s="1813" t="s">
        <v>594</v>
      </c>
      <c r="I6" s="1805" t="s">
        <v>595</v>
      </c>
      <c r="J6" s="1805" t="s">
        <v>596</v>
      </c>
      <c r="K6" s="1805" t="s">
        <v>597</v>
      </c>
      <c r="L6" s="778" t="s">
        <v>598</v>
      </c>
      <c r="M6" s="779"/>
    </row>
    <row r="7" spans="1:25" ht="18" customHeight="1">
      <c r="A7" s="780">
        <v>1</v>
      </c>
      <c r="B7" s="781" t="s">
        <v>2413</v>
      </c>
      <c r="C7" s="52">
        <f ca="1">C8+C12+C14</f>
        <v>0</v>
      </c>
      <c r="D7" s="2460" t="s">
        <v>2416</v>
      </c>
      <c r="E7" s="2454"/>
      <c r="F7" s="2455"/>
      <c r="G7" s="1578"/>
      <c r="H7" s="780">
        <v>1</v>
      </c>
      <c r="I7" s="781" t="s">
        <v>2413</v>
      </c>
      <c r="J7" s="52">
        <f ca="1">J8+J12+J14</f>
        <v>0</v>
      </c>
      <c r="K7" s="2460" t="s">
        <v>2416</v>
      </c>
      <c r="L7" s="2454"/>
      <c r="M7" s="2455"/>
    </row>
    <row r="8" spans="1:25" ht="18" customHeight="1">
      <c r="A8" s="1815" t="s">
        <v>1783</v>
      </c>
      <c r="B8" s="3479" t="s">
        <v>2418</v>
      </c>
      <c r="C8" s="1810">
        <f ca="1">ROUND(F8*F10*F9*(1-F11)/10000,0)</f>
        <v>0</v>
      </c>
      <c r="D8" s="1807" t="s">
        <v>2489</v>
      </c>
      <c r="E8" s="60" t="s">
        <v>601</v>
      </c>
      <c r="F8" s="784">
        <f ca="1">INDIRECT("'数据-取费表'!u"&amp;$G$1)</f>
        <v>0</v>
      </c>
      <c r="G8" s="1578"/>
      <c r="H8" s="2468" t="s">
        <v>1783</v>
      </c>
      <c r="I8" s="3479" t="s">
        <v>2418</v>
      </c>
      <c r="J8" s="782">
        <f ca="1">ROUND(M8*M10*M9*(1-M11)/10000,0)</f>
        <v>0</v>
      </c>
      <c r="K8" s="340" t="s">
        <v>2489</v>
      </c>
      <c r="L8" s="783" t="s">
        <v>1697</v>
      </c>
      <c r="M8" s="784">
        <f ca="1">INDIRECT("'数据-取费表'!z"&amp;$G$1)</f>
        <v>0</v>
      </c>
    </row>
    <row r="9" spans="1:25" ht="18" customHeight="1">
      <c r="A9" s="2464"/>
      <c r="B9" s="3480"/>
      <c r="C9" s="1811"/>
      <c r="D9" s="1808"/>
      <c r="E9" s="60" t="s">
        <v>602</v>
      </c>
      <c r="F9" s="784">
        <f ca="1">IF(INDIRECT("'数据-取费表'!ah"&amp;$G$1)="",INDIRECT("'数据-取费表'!k"&amp;$G$1),INDIRECT("'数据-取费表'!ah"&amp;$G$1))</f>
        <v>0</v>
      </c>
      <c r="G9" s="1578"/>
      <c r="H9" s="2453"/>
      <c r="I9" s="3480"/>
      <c r="J9" s="787"/>
      <c r="K9" s="788"/>
      <c r="L9" s="783" t="s">
        <v>1698</v>
      </c>
      <c r="M9" s="784">
        <f ca="1">F9</f>
        <v>0</v>
      </c>
    </row>
    <row r="10" spans="1:25" ht="18" customHeight="1">
      <c r="A10" s="2457"/>
      <c r="B10" s="3481"/>
      <c r="C10" s="1811"/>
      <c r="D10" s="1808"/>
      <c r="E10" s="60" t="s">
        <v>603</v>
      </c>
      <c r="F10" s="784">
        <f ca="1">INDIRECT("'数据-取费表'!ai"&amp;$G$1)</f>
        <v>0</v>
      </c>
      <c r="G10" s="1578"/>
      <c r="H10" s="2453"/>
      <c r="I10" s="3481"/>
      <c r="J10" s="787"/>
      <c r="K10" s="788"/>
      <c r="L10" s="783" t="s">
        <v>1699</v>
      </c>
      <c r="M10" s="784">
        <f ca="1">INDIRECT("'数据-取费表'!ai"&amp;$G$1)</f>
        <v>0</v>
      </c>
    </row>
    <row r="11" spans="1:25" ht="18" customHeight="1">
      <c r="A11" s="785"/>
      <c r="B11" s="3482"/>
      <c r="C11" s="1811"/>
      <c r="D11" s="1808"/>
      <c r="E11" s="60" t="s">
        <v>604</v>
      </c>
      <c r="F11" s="793">
        <f ca="1">INDIRECT("'数据-取费表'!w"&amp;$G$1)</f>
        <v>0</v>
      </c>
      <c r="G11" s="1578"/>
      <c r="H11" s="2469"/>
      <c r="I11" s="3481"/>
      <c r="J11" s="787"/>
      <c r="K11" s="788"/>
      <c r="L11" s="794" t="s">
        <v>1700</v>
      </c>
      <c r="M11" s="795">
        <f ca="1">INDIRECT("'数据-取费表'!ab"&amp;$G$1)</f>
        <v>0</v>
      </c>
    </row>
    <row r="12" spans="1:25" ht="18" customHeight="1">
      <c r="A12" s="1815" t="s">
        <v>1784</v>
      </c>
      <c r="B12" s="2458" t="s">
        <v>2414</v>
      </c>
      <c r="C12" s="798">
        <f ca="1">ROUND(IF(F12="押一",C8/12*F13,IF(F12="押二",C8/12*2*F13,IF(F12="押三",C8/12*3*F13,C13*F13))),0)</f>
        <v>0</v>
      </c>
      <c r="D12" s="2465" t="s">
        <v>2914</v>
      </c>
      <c r="E12" s="2462" t="s">
        <v>2419</v>
      </c>
      <c r="F12" s="2585"/>
      <c r="G12" s="1578"/>
      <c r="H12" s="2525" t="s">
        <v>1784</v>
      </c>
      <c r="I12" s="2530" t="s">
        <v>2414</v>
      </c>
      <c r="J12" s="782">
        <f ca="1">ROUND(IF(M12="押一",J8/12*M13,IF(M12="押二",J8/12*2*M13,IF(M12="押三",J8/12*3*M13,J13*M13))),0)</f>
        <v>0</v>
      </c>
      <c r="K12" s="2465" t="s">
        <v>2914</v>
      </c>
      <c r="L12" s="2462" t="s">
        <v>2419</v>
      </c>
      <c r="M12" s="2585"/>
    </row>
    <row r="13" spans="1:25" ht="18" customHeight="1">
      <c r="A13" s="789"/>
      <c r="B13" s="2459" t="s">
        <v>2528</v>
      </c>
      <c r="C13" s="2463"/>
      <c r="D13" s="788"/>
      <c r="E13" s="2462" t="s">
        <v>2411</v>
      </c>
      <c r="F13" s="795">
        <f ca="1">'数据-取费表'!B39</f>
        <v>1.4999999999999999E-2</v>
      </c>
      <c r="G13" s="1578"/>
      <c r="H13" s="2526"/>
      <c r="I13" s="2459" t="s">
        <v>2528</v>
      </c>
      <c r="J13" s="2463"/>
      <c r="K13" s="2527"/>
      <c r="L13" s="2462" t="s">
        <v>2411</v>
      </c>
      <c r="M13" s="2456">
        <f ca="1">'数据-取费表'!B39</f>
        <v>1.4999999999999999E-2</v>
      </c>
    </row>
    <row r="14" spans="1:25" ht="18" customHeight="1" thickBot="1">
      <c r="A14" s="2501" t="s">
        <v>2422</v>
      </c>
      <c r="B14" s="2502" t="s">
        <v>2415</v>
      </c>
      <c r="C14" s="2503"/>
      <c r="D14" s="2504"/>
      <c r="E14" s="2505"/>
      <c r="F14" s="2506"/>
      <c r="G14" s="1578"/>
      <c r="H14" s="2515" t="s">
        <v>2422</v>
      </c>
      <c r="I14" s="2528" t="s">
        <v>2415</v>
      </c>
      <c r="J14" s="2529"/>
      <c r="K14" s="2504"/>
      <c r="L14" s="2505"/>
      <c r="M14" s="2518"/>
    </row>
    <row r="15" spans="1:25" ht="18" customHeight="1" thickTop="1">
      <c r="A15" s="1814" t="s">
        <v>1833</v>
      </c>
      <c r="B15" s="1812" t="s">
        <v>605</v>
      </c>
      <c r="C15" s="791">
        <f ca="1">ROUND(C31*F15,0)</f>
        <v>0</v>
      </c>
      <c r="D15" s="1819" t="s">
        <v>606</v>
      </c>
      <c r="E15" s="794" t="s">
        <v>607</v>
      </c>
      <c r="F15" s="799">
        <f ca="1">INDIRECT("'数据-取费表'!y"&amp;$G$1)</f>
        <v>0</v>
      </c>
      <c r="G15" s="1578"/>
      <c r="H15" s="1814" t="s">
        <v>1785</v>
      </c>
      <c r="I15" s="1812" t="s">
        <v>608</v>
      </c>
      <c r="J15" s="1804">
        <f ca="1">ROUND(J16*J17,0)</f>
        <v>0</v>
      </c>
      <c r="K15" s="1806" t="s">
        <v>606</v>
      </c>
      <c r="L15" s="800"/>
      <c r="M15" s="801"/>
    </row>
    <row r="16" spans="1:25" ht="18" customHeight="1">
      <c r="A16" s="802" t="s">
        <v>1834</v>
      </c>
      <c r="B16" s="783" t="s">
        <v>609</v>
      </c>
      <c r="C16" s="803">
        <f ca="1">INDIRECT("'数据-取费表'!m"&amp;$G$1)+INDIRECT("'数据-取费表'!t"&amp;$G$1)</f>
        <v>0</v>
      </c>
      <c r="D16" s="1964" t="s">
        <v>610</v>
      </c>
      <c r="E16" s="1965"/>
      <c r="F16" s="804"/>
      <c r="G16" s="1578"/>
      <c r="H16" s="802" t="s">
        <v>2026</v>
      </c>
      <c r="I16" s="2216" t="s">
        <v>2780</v>
      </c>
      <c r="J16" s="52">
        <f ca="1">C31</f>
        <v>0</v>
      </c>
      <c r="K16" s="25"/>
      <c r="L16" s="800"/>
      <c r="M16" s="801"/>
    </row>
    <row r="17" spans="1:25" s="2049" customFormat="1" ht="18" customHeight="1">
      <c r="A17" s="802" t="s">
        <v>1808</v>
      </c>
      <c r="B17" s="783" t="s">
        <v>611</v>
      </c>
      <c r="C17" s="52">
        <f ca="1">ROUND(C16*F17,0)</f>
        <v>0</v>
      </c>
      <c r="D17" s="805" t="s">
        <v>612</v>
      </c>
      <c r="E17" s="805" t="s">
        <v>613</v>
      </c>
      <c r="F17" s="806">
        <f>'数据-取费表'!B33</f>
        <v>0.05</v>
      </c>
      <c r="G17" s="1579"/>
      <c r="H17" s="802" t="s">
        <v>2027</v>
      </c>
      <c r="I17" s="783" t="s">
        <v>607</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1809</v>
      </c>
      <c r="B18" s="783" t="s">
        <v>614</v>
      </c>
      <c r="C18" s="52">
        <f ca="1">ROUND(INDIRECT("'数据-取费表'!m"&amp;$G$1)*F18,0)</f>
        <v>0</v>
      </c>
      <c r="D18" s="783" t="s">
        <v>612</v>
      </c>
      <c r="E18" s="783" t="s">
        <v>613</v>
      </c>
      <c r="F18" s="808">
        <f ca="1">IF(INDIRECT("'数据-取费表'!c"&amp;$G$1)="住宅",'数据-取费表'!B34,0)</f>
        <v>0</v>
      </c>
      <c r="G18" s="1578"/>
      <c r="H18" s="796" t="s">
        <v>1786</v>
      </c>
      <c r="I18" s="797" t="s">
        <v>615</v>
      </c>
      <c r="J18" s="798">
        <f ca="1">ROUND(J19+J24+J25+J26,0)</f>
        <v>0</v>
      </c>
      <c r="K18" s="25" t="s">
        <v>616</v>
      </c>
      <c r="L18" s="1967"/>
      <c r="M18" s="55"/>
    </row>
    <row r="19" spans="1:25" s="2049" customFormat="1" ht="18" customHeight="1">
      <c r="A19" s="802" t="s">
        <v>1810</v>
      </c>
      <c r="B19" s="783" t="s">
        <v>617</v>
      </c>
      <c r="C19" s="52">
        <f ca="1">ROUND(F19*(INDIRECT("'数据-取费表'!k"&amp;$G$1)+INDIRECT("'数据-取费表'!S"&amp;$G$1))/10000,0)</f>
        <v>0</v>
      </c>
      <c r="D19" s="783" t="s">
        <v>618</v>
      </c>
      <c r="E19" s="783" t="s">
        <v>619</v>
      </c>
      <c r="F19" s="55">
        <f>'数据-取费表'!B35</f>
        <v>150</v>
      </c>
      <c r="G19" s="1579"/>
      <c r="H19" s="802" t="s">
        <v>2026</v>
      </c>
      <c r="I19" s="783" t="s">
        <v>620</v>
      </c>
      <c r="J19" s="52">
        <f ca="1">ROUND(IF(项目基本情况!B11="自然人",J7*M19,J20+J21+J22),0)</f>
        <v>0</v>
      </c>
      <c r="K19" s="1964" t="s">
        <v>621</v>
      </c>
      <c r="L19" s="1962" t="s">
        <v>622</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1811</v>
      </c>
      <c r="B20" s="783" t="s">
        <v>623</v>
      </c>
      <c r="C20" s="52">
        <f ca="1">ROUND(C16*F20,0)</f>
        <v>0</v>
      </c>
      <c r="D20" s="783" t="s">
        <v>612</v>
      </c>
      <c r="E20" s="783" t="s">
        <v>613</v>
      </c>
      <c r="F20" s="808">
        <f>'数据-取费表'!B36</f>
        <v>1.4999999999999999E-2</v>
      </c>
      <c r="G20" s="1579"/>
      <c r="H20" s="802" t="s">
        <v>1790</v>
      </c>
      <c r="I20" s="783" t="s">
        <v>624</v>
      </c>
      <c r="J20" s="52">
        <f ca="1">ROUND(J7*M20/1.05,1)</f>
        <v>0</v>
      </c>
      <c r="K20" s="1962" t="s">
        <v>625</v>
      </c>
      <c r="L20" s="783" t="s">
        <v>613</v>
      </c>
      <c r="M20" s="808">
        <f>'数据-取费表'!B41</f>
        <v>5.6000000000000001E-2</v>
      </c>
      <c r="N20" s="2048"/>
      <c r="O20" s="2048"/>
      <c r="P20" s="2048"/>
      <c r="Q20" s="2048"/>
      <c r="R20" s="2048"/>
      <c r="S20" s="2048"/>
      <c r="T20" s="2048"/>
      <c r="U20" s="2048"/>
      <c r="V20" s="2048"/>
      <c r="W20" s="2048"/>
      <c r="X20" s="2048"/>
      <c r="Y20" s="2048"/>
    </row>
    <row r="21" spans="1:25" ht="18" customHeight="1">
      <c r="A21" s="802" t="s">
        <v>1835</v>
      </c>
      <c r="B21" s="783" t="s">
        <v>626</v>
      </c>
      <c r="C21" s="52">
        <f ca="1">SUM(C16:C20)</f>
        <v>0</v>
      </c>
      <c r="D21" s="260" t="s">
        <v>627</v>
      </c>
      <c r="E21" s="1967"/>
      <c r="F21" s="55"/>
      <c r="G21" s="1578"/>
      <c r="H21" s="1815" t="s">
        <v>1808</v>
      </c>
      <c r="I21" s="783" t="s">
        <v>628</v>
      </c>
      <c r="J21" s="52">
        <f ca="1">IF(K21="按租金收入计税",ROUND(J7*M21,1),ROUND(C31*F35*0.7,1))</f>
        <v>0</v>
      </c>
      <c r="K21" s="810" t="s">
        <v>629</v>
      </c>
      <c r="L21" s="783" t="s">
        <v>613</v>
      </c>
      <c r="M21" s="808">
        <f>IF(K21="按租金收入计税",'数据-取费表'!B51,'数据-取费表'!B50)</f>
        <v>1.2E-2</v>
      </c>
    </row>
    <row r="22" spans="1:25" s="2049" customFormat="1" ht="18" customHeight="1">
      <c r="A22" s="802" t="s">
        <v>1836</v>
      </c>
      <c r="B22" s="783" t="s">
        <v>630</v>
      </c>
      <c r="C22" s="52">
        <f ca="1">ROUND(C21*F22,0)</f>
        <v>0</v>
      </c>
      <c r="D22" s="811" t="s">
        <v>631</v>
      </c>
      <c r="E22" s="783" t="s">
        <v>613</v>
      </c>
      <c r="F22" s="808">
        <f>'数据-取费表'!B37</f>
        <v>0.02</v>
      </c>
      <c r="G22" s="1579"/>
      <c r="H22" s="1817" t="s">
        <v>1809</v>
      </c>
      <c r="I22" s="1807" t="s">
        <v>632</v>
      </c>
      <c r="J22" s="53">
        <f ca="1">ROUND(M22*M23/10000,0)</f>
        <v>0</v>
      </c>
      <c r="K22" s="813" t="s">
        <v>633</v>
      </c>
      <c r="L22" s="783" t="s">
        <v>634</v>
      </c>
      <c r="M22" s="639">
        <f>'数据-取费表'!B52</f>
        <v>2</v>
      </c>
      <c r="N22" s="2048"/>
      <c r="O22" s="2048"/>
      <c r="P22" s="2048"/>
      <c r="Q22" s="2048"/>
      <c r="R22" s="2048"/>
      <c r="S22" s="2048"/>
      <c r="T22" s="2048"/>
      <c r="U22" s="2048"/>
      <c r="V22" s="2048"/>
      <c r="W22" s="2048"/>
      <c r="X22" s="2048"/>
      <c r="Y22" s="2048"/>
    </row>
    <row r="23" spans="1:25" s="2049" customFormat="1" ht="18" customHeight="1">
      <c r="A23" s="802" t="s">
        <v>1837</v>
      </c>
      <c r="B23" s="783" t="s">
        <v>635</v>
      </c>
      <c r="C23" s="52" t="s">
        <v>1</v>
      </c>
      <c r="D23" s="811" t="s">
        <v>636</v>
      </c>
      <c r="E23" s="783" t="s">
        <v>637</v>
      </c>
      <c r="F23" s="808">
        <f>'数据-取费表'!B38</f>
        <v>0.02</v>
      </c>
      <c r="G23" s="1579"/>
      <c r="H23" s="1818"/>
      <c r="I23" s="1809"/>
      <c r="J23" s="68"/>
      <c r="K23" s="815"/>
      <c r="L23" s="783" t="s">
        <v>638</v>
      </c>
      <c r="M23" s="784">
        <f ca="1">INDIRECT("'数据-取费表'!r"&amp;$G$1)</f>
        <v>0</v>
      </c>
      <c r="N23" s="2048"/>
      <c r="O23" s="2048"/>
      <c r="P23" s="2048"/>
      <c r="Q23" s="2048"/>
      <c r="R23" s="2048"/>
      <c r="S23" s="2048"/>
      <c r="T23" s="2048"/>
      <c r="U23" s="2048"/>
      <c r="V23" s="2048"/>
      <c r="W23" s="2048"/>
      <c r="X23" s="2048"/>
      <c r="Y23" s="2048"/>
    </row>
    <row r="24" spans="1:25" ht="18" customHeight="1">
      <c r="A24" s="802" t="s">
        <v>1838</v>
      </c>
      <c r="B24" s="783" t="s">
        <v>639</v>
      </c>
      <c r="C24" s="52"/>
      <c r="D24" s="2536" t="str">
        <f>IF(F25&lt;=1,"单利计息。","复利计息。")&amp;"建造成本、管理费用、销售费用产生的利息。"</f>
        <v>复利计息。建造成本、管理费用、销售费用产生的利息。</v>
      </c>
      <c r="E24" s="1967"/>
      <c r="F24" s="55"/>
      <c r="G24" s="1578"/>
      <c r="H24" s="1816" t="s">
        <v>2027</v>
      </c>
      <c r="I24" s="783" t="s">
        <v>640</v>
      </c>
      <c r="J24" s="52">
        <f ca="1">ROUND(J16*M24,0)</f>
        <v>0</v>
      </c>
      <c r="K24" s="1962" t="s">
        <v>641</v>
      </c>
      <c r="L24" s="783" t="s">
        <v>613</v>
      </c>
      <c r="M24" s="816">
        <f ca="1">INDIRECT("'数据-取费表'!Ak"&amp;$G$1)</f>
        <v>0</v>
      </c>
    </row>
    <row r="25" spans="1:25" s="2049" customFormat="1" ht="18" customHeight="1">
      <c r="A25" s="802" t="s">
        <v>1834</v>
      </c>
      <c r="B25" s="783" t="s">
        <v>2394</v>
      </c>
      <c r="C25" s="52">
        <f ca="1">ROUND(IF('数据-取费表'!B22&lt;=1,(C21+C22)*F26*F25/2,(C21+C22)*(POWER((1+F26),F25/2)-1)),0)</f>
        <v>0</v>
      </c>
      <c r="D25" s="2535" t="str">
        <f>IF(F25&lt;=1,"(建造成本+管理费用)×利率×(建设周期÷2)","(建造成本+管理费用)×((1+利率)^(建设周期÷2)-1)")</f>
        <v>(建造成本+管理费用)×((1+利率)^(建设周期÷2)-1)</v>
      </c>
      <c r="E25" s="783" t="s">
        <v>642</v>
      </c>
      <c r="F25" s="639">
        <f>'数据-取费表'!B20</f>
        <v>2</v>
      </c>
      <c r="G25" s="1579"/>
      <c r="H25" s="802" t="s">
        <v>1837</v>
      </c>
      <c r="I25" s="783" t="s">
        <v>643</v>
      </c>
      <c r="J25" s="52">
        <f ca="1">ROUND(J15*M25,0)</f>
        <v>0</v>
      </c>
      <c r="K25" s="1962" t="s">
        <v>644</v>
      </c>
      <c r="L25" s="783" t="s">
        <v>613</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1808</v>
      </c>
      <c r="B26" s="783" t="s">
        <v>645</v>
      </c>
      <c r="C26" s="52">
        <f ca="1">ROUND(IF('数据-取费表'!B22&lt;=1,F23*F26*F25/2,F23*(POWER((1+F26),F25/2)-1)),4)</f>
        <v>1E-3</v>
      </c>
      <c r="D26" s="2535" t="str">
        <f>IF(F25&lt;=1,"销售费用×利率×(建设周期÷2)","销售费用×((1+利率)^(建设周期÷2)-1)")</f>
        <v>销售费用×((1+利率)^(建设周期÷2)-1)</v>
      </c>
      <c r="E26" s="783" t="s">
        <v>646</v>
      </c>
      <c r="F26" s="818">
        <f ca="1">'数据-取费表'!B40</f>
        <v>4.7500000000000001E-2</v>
      </c>
      <c r="G26" s="1579"/>
      <c r="H26" s="802" t="s">
        <v>1838</v>
      </c>
      <c r="I26" s="783" t="s">
        <v>630</v>
      </c>
      <c r="J26" s="52">
        <f ca="1">ROUND(J7*M26,0)</f>
        <v>0</v>
      </c>
      <c r="K26" s="1962" t="s">
        <v>647</v>
      </c>
      <c r="L26" s="783" t="s">
        <v>613</v>
      </c>
      <c r="M26" s="793">
        <f ca="1">INDIRECT("'数据-取费表'!Am"&amp;$G$1)</f>
        <v>0</v>
      </c>
      <c r="N26" s="2048"/>
      <c r="O26" s="2048"/>
      <c r="P26" s="2048"/>
      <c r="Q26" s="2048"/>
      <c r="R26" s="2048"/>
      <c r="S26" s="2048"/>
      <c r="T26" s="2048"/>
      <c r="U26" s="2048"/>
      <c r="V26" s="2048"/>
      <c r="W26" s="2048"/>
      <c r="X26" s="2048"/>
      <c r="Y26" s="2048"/>
    </row>
    <row r="27" spans="1:25" ht="18" customHeight="1">
      <c r="A27" s="802" t="s">
        <v>1840</v>
      </c>
      <c r="B27" s="783" t="s">
        <v>648</v>
      </c>
      <c r="C27" s="52"/>
      <c r="D27" s="260" t="s">
        <v>649</v>
      </c>
      <c r="E27" s="1967"/>
      <c r="F27" s="55"/>
      <c r="G27" s="1578"/>
      <c r="H27" s="796" t="s">
        <v>1787</v>
      </c>
      <c r="I27" s="2963" t="s">
        <v>2777</v>
      </c>
      <c r="J27" s="798">
        <f ca="1">J7-J18</f>
        <v>0</v>
      </c>
      <c r="K27" s="1964" t="s">
        <v>664</v>
      </c>
      <c r="L27" s="1966"/>
      <c r="M27" s="819"/>
    </row>
    <row r="28" spans="1:25" ht="18" customHeight="1">
      <c r="A28" s="802" t="s">
        <v>1834</v>
      </c>
      <c r="B28" s="783" t="s">
        <v>2395</v>
      </c>
      <c r="C28" s="52">
        <f ca="1">ROUND((C21+C22)*F28,0)</f>
        <v>0</v>
      </c>
      <c r="D28" s="811" t="s">
        <v>665</v>
      </c>
      <c r="E28" s="794" t="s">
        <v>666</v>
      </c>
      <c r="F28" s="793">
        <f ca="1">INDIRECT("'数据-取费表'!q"&amp;$G$1)</f>
        <v>0</v>
      </c>
      <c r="G28" s="1578"/>
      <c r="H28" s="780" t="s">
        <v>1796</v>
      </c>
      <c r="I28" s="781" t="s">
        <v>667</v>
      </c>
      <c r="J28" s="782">
        <f ca="1">IF(J7&lt;&gt;0,ROUND(J27*(1-((1+M30)/(1+M28))^M29)/(M28-M30),0),0)</f>
        <v>0</v>
      </c>
      <c r="K28" s="813" t="s">
        <v>668</v>
      </c>
      <c r="L28" s="783" t="s">
        <v>669</v>
      </c>
      <c r="M28" s="793">
        <f ca="1">INDIRECT("'数据-取费表'!I"&amp;$G$1)</f>
        <v>0</v>
      </c>
    </row>
    <row r="29" spans="1:25" ht="18" customHeight="1">
      <c r="A29" s="802" t="s">
        <v>1808</v>
      </c>
      <c r="B29" s="783" t="s">
        <v>650</v>
      </c>
      <c r="C29" s="52">
        <f ca="1">ROUND(F23*F28,4)</f>
        <v>0</v>
      </c>
      <c r="D29" s="811" t="s">
        <v>670</v>
      </c>
      <c r="E29" s="805"/>
      <c r="F29" s="806"/>
      <c r="G29" s="1578"/>
      <c r="H29" s="785"/>
      <c r="I29" s="786"/>
      <c r="J29" s="787"/>
      <c r="K29" s="820" t="s">
        <v>671</v>
      </c>
      <c r="L29" s="783" t="s">
        <v>672</v>
      </c>
      <c r="M29" s="821">
        <f ca="1">INDIRECT("'数据-取费表'!ag"&amp;$G$1)</f>
        <v>0</v>
      </c>
    </row>
    <row r="30" spans="1:25" s="2049" customFormat="1" ht="18" customHeight="1">
      <c r="A30" s="802" t="s">
        <v>1841</v>
      </c>
      <c r="B30" s="783" t="s">
        <v>651</v>
      </c>
      <c r="C30" s="52">
        <f>ROUND(F30/(1+'数据-取费表'!C42),4)</f>
        <v>5.33E-2</v>
      </c>
      <c r="D30" s="811" t="s">
        <v>673</v>
      </c>
      <c r="E30" s="783" t="s">
        <v>613</v>
      </c>
      <c r="F30" s="808">
        <f>'数据-取费表'!B41</f>
        <v>5.6000000000000001E-2</v>
      </c>
      <c r="G30" s="1579"/>
      <c r="H30" s="789"/>
      <c r="I30" s="790"/>
      <c r="J30" s="791"/>
      <c r="K30" s="815"/>
      <c r="L30" s="783" t="s">
        <v>674</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1842</v>
      </c>
      <c r="B31" s="2505" t="s">
        <v>2778</v>
      </c>
      <c r="C31" s="2508">
        <f ca="1">ROUND((C21+C22+C25+C28)/(1-F23-C26-C29-C30),0)</f>
        <v>0</v>
      </c>
      <c r="D31" s="2509"/>
      <c r="E31" s="2510"/>
      <c r="F31" s="2511"/>
      <c r="G31" s="1579"/>
      <c r="H31" s="822" t="s">
        <v>1831</v>
      </c>
      <c r="I31" s="2964" t="s">
        <v>2779</v>
      </c>
      <c r="J31" s="824">
        <f ca="1">ROUND(J28/(1+F45)^F46,0)</f>
        <v>0</v>
      </c>
      <c r="K31" s="825" t="s">
        <v>652</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653</v>
      </c>
      <c r="C32" s="791">
        <f ca="1">ROUND(C33+C38+C39+C40,0)</f>
        <v>0</v>
      </c>
      <c r="D32" s="1806" t="s">
        <v>616</v>
      </c>
      <c r="E32" s="2451"/>
      <c r="F32" s="2455"/>
      <c r="G32" s="2047"/>
      <c r="H32" s="2050"/>
      <c r="I32" s="2051"/>
      <c r="J32" s="2052"/>
      <c r="K32" s="2053"/>
      <c r="L32" s="2054"/>
      <c r="M32" s="2055"/>
    </row>
    <row r="33" spans="1:18" ht="18" customHeight="1">
      <c r="A33" s="802" t="s">
        <v>1835</v>
      </c>
      <c r="B33" s="783" t="s">
        <v>620</v>
      </c>
      <c r="C33" s="52">
        <f ca="1">ROUND(IF(项目基本情况!B11="自然人",C7*F33,C34+C35+C36),1)</f>
        <v>0</v>
      </c>
      <c r="D33" s="1964" t="s">
        <v>621</v>
      </c>
      <c r="E33" s="1962" t="s">
        <v>654</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1834</v>
      </c>
      <c r="B34" s="783" t="s">
        <v>624</v>
      </c>
      <c r="C34" s="52">
        <f ca="1">ROUND(C7*F34/1.05,1)</f>
        <v>0</v>
      </c>
      <c r="D34" s="1962" t="s">
        <v>625</v>
      </c>
      <c r="E34" s="783" t="s">
        <v>613</v>
      </c>
      <c r="F34" s="808">
        <f>'数据-取费表'!B41</f>
        <v>5.6000000000000001E-2</v>
      </c>
      <c r="G34" s="2047"/>
      <c r="H34" s="2056"/>
      <c r="I34" s="2057"/>
      <c r="J34" s="2058"/>
      <c r="K34" s="2059"/>
      <c r="L34" s="2060"/>
      <c r="M34" s="2061"/>
    </row>
    <row r="35" spans="1:18" ht="18" customHeight="1">
      <c r="A35" s="802" t="s">
        <v>1808</v>
      </c>
      <c r="B35" s="783" t="s">
        <v>628</v>
      </c>
      <c r="C35" s="52">
        <f ca="1">IF(D35="按租金收入计税",ROUND(C7*F35,1),IF(D35="按房产原值计税",ROUND(C31*F35*0.7,1),INDIRECT("'数据-取费表'!Aj"&amp;$G$1)))</f>
        <v>0</v>
      </c>
      <c r="D35" s="810" t="s">
        <v>1642</v>
      </c>
      <c r="E35" s="783" t="s">
        <v>613</v>
      </c>
      <c r="F35" s="808">
        <f>IF(D35="按租金收入计税",'数据-取费表'!B51,'数据-取费表'!B50)</f>
        <v>1.2E-2</v>
      </c>
      <c r="G35" s="2047"/>
      <c r="H35" s="2062"/>
      <c r="I35" s="2062"/>
      <c r="J35" s="2062"/>
      <c r="K35" s="2063"/>
      <c r="L35" s="2062"/>
      <c r="M35" s="2062"/>
    </row>
    <row r="36" spans="1:18" ht="18" customHeight="1">
      <c r="A36" s="812" t="s">
        <v>1839</v>
      </c>
      <c r="B36" s="340" t="s">
        <v>632</v>
      </c>
      <c r="C36" s="53">
        <f ca="1">ROUND(F36*F37/10000,1)</f>
        <v>0</v>
      </c>
      <c r="D36" s="813" t="s">
        <v>633</v>
      </c>
      <c r="E36" s="783" t="s">
        <v>634</v>
      </c>
      <c r="F36" s="639">
        <f>'数据-取费表'!B52</f>
        <v>2</v>
      </c>
      <c r="G36" s="2047"/>
      <c r="H36" s="2050"/>
      <c r="I36" s="3478"/>
      <c r="J36" s="2064"/>
      <c r="K36" s="2065"/>
      <c r="L36" s="2064"/>
      <c r="M36" s="2064"/>
    </row>
    <row r="37" spans="1:18" ht="18" customHeight="1">
      <c r="A37" s="814"/>
      <c r="B37" s="792"/>
      <c r="C37" s="68"/>
      <c r="D37" s="815"/>
      <c r="E37" s="783" t="s">
        <v>638</v>
      </c>
      <c r="F37" s="784">
        <f ca="1">INDIRECT("'数据-取费表'!r"&amp;$G$1)</f>
        <v>0</v>
      </c>
      <c r="G37" s="2047"/>
      <c r="H37" s="2050"/>
      <c r="I37" s="3478"/>
      <c r="J37" s="2062"/>
      <c r="K37" s="2063"/>
      <c r="L37" s="2062"/>
      <c r="M37" s="2062"/>
    </row>
    <row r="38" spans="1:18" ht="18" customHeight="1">
      <c r="A38" s="802" t="s">
        <v>1836</v>
      </c>
      <c r="B38" s="783" t="s">
        <v>640</v>
      </c>
      <c r="C38" s="52">
        <f ca="1">ROUND(C31*F38,1)</f>
        <v>0</v>
      </c>
      <c r="D38" s="1962" t="s">
        <v>655</v>
      </c>
      <c r="E38" s="783" t="s">
        <v>613</v>
      </c>
      <c r="F38" s="816">
        <f ca="1">INDIRECT("'数据-取费表'!Ak"&amp;$G$1)</f>
        <v>0</v>
      </c>
      <c r="G38" s="2047"/>
      <c r="H38" s="2062"/>
      <c r="I38" s="2066"/>
      <c r="J38" s="1973"/>
      <c r="K38" s="2067"/>
      <c r="L38" s="2062"/>
      <c r="M38" s="2062"/>
    </row>
    <row r="39" spans="1:18" ht="18" customHeight="1">
      <c r="A39" s="802" t="s">
        <v>1837</v>
      </c>
      <c r="B39" s="783" t="s">
        <v>643</v>
      </c>
      <c r="C39" s="52">
        <f ca="1">ROUND(C15*F39,1)</f>
        <v>0</v>
      </c>
      <c r="D39" s="1962" t="s">
        <v>644</v>
      </c>
      <c r="E39" s="783" t="s">
        <v>613</v>
      </c>
      <c r="F39" s="817">
        <f ca="1">INDIRECT("'数据-取费表'!Al"&amp;$G$1)</f>
        <v>0</v>
      </c>
      <c r="G39" s="2047"/>
      <c r="H39" s="2062"/>
      <c r="I39" s="2066"/>
      <c r="J39" s="1973"/>
      <c r="K39" s="2067"/>
      <c r="L39" s="2062"/>
      <c r="M39" s="2062"/>
    </row>
    <row r="40" spans="1:18" ht="18" customHeight="1" thickBot="1">
      <c r="A40" s="2524" t="s">
        <v>1838</v>
      </c>
      <c r="B40" s="2510" t="s">
        <v>630</v>
      </c>
      <c r="C40" s="2508">
        <f ca="1">ROUND(C7*F40,1)</f>
        <v>0</v>
      </c>
      <c r="D40" s="2509" t="s">
        <v>647</v>
      </c>
      <c r="E40" s="2510" t="s">
        <v>613</v>
      </c>
      <c r="F40" s="2506">
        <f ca="1">INDIRECT("'数据-取费表'!Am"&amp;$G$1)</f>
        <v>0</v>
      </c>
      <c r="G40" s="2047"/>
      <c r="H40" s="2062"/>
      <c r="I40" s="2066"/>
      <c r="J40" s="1973"/>
      <c r="K40" s="2068"/>
      <c r="L40" s="2062"/>
      <c r="M40" s="2062"/>
    </row>
    <row r="41" spans="1:18" ht="18" customHeight="1" thickTop="1">
      <c r="A41" s="1814">
        <v>4</v>
      </c>
      <c r="B41" s="1812" t="s">
        <v>656</v>
      </c>
      <c r="C41" s="1348"/>
      <c r="D41" s="1349"/>
      <c r="E41" s="1349"/>
      <c r="F41" s="1350"/>
      <c r="G41" s="2047"/>
      <c r="H41" s="2047"/>
      <c r="I41" s="2047"/>
      <c r="J41" s="2047"/>
      <c r="K41" s="2068"/>
      <c r="L41" s="2047"/>
      <c r="M41" s="2047"/>
    </row>
    <row r="42" spans="1:18" ht="18" customHeight="1">
      <c r="A42" s="802" t="s">
        <v>1835</v>
      </c>
      <c r="B42" s="834" t="s">
        <v>657</v>
      </c>
      <c r="C42" s="828">
        <f ca="1">C7-C32</f>
        <v>0</v>
      </c>
      <c r="D42" s="1964" t="s">
        <v>658</v>
      </c>
      <c r="E42" s="1966"/>
      <c r="F42" s="819"/>
      <c r="G42" s="2047"/>
      <c r="H42" s="2047"/>
      <c r="I42" s="2047"/>
      <c r="J42" s="2047"/>
      <c r="K42" s="2068"/>
      <c r="L42" s="2047"/>
      <c r="M42" s="2047"/>
    </row>
    <row r="43" spans="1:18" ht="18" customHeight="1">
      <c r="A43" s="802" t="s">
        <v>1836</v>
      </c>
      <c r="B43" s="834" t="s">
        <v>675</v>
      </c>
      <c r="C43" s="835">
        <f ca="1">ROUND(C15*F43,0)</f>
        <v>0</v>
      </c>
      <c r="D43" s="1351" t="s">
        <v>676</v>
      </c>
      <c r="E43" s="3072" t="s">
        <v>2903</v>
      </c>
      <c r="F43" s="3073">
        <f ca="1">INDIRECT("'数据-取费表'!j"&amp;$G$1)</f>
        <v>0</v>
      </c>
      <c r="G43" s="2047"/>
      <c r="H43" s="2047"/>
      <c r="I43" s="2047"/>
      <c r="J43" s="2047"/>
      <c r="K43" s="2068"/>
      <c r="L43" s="2047"/>
      <c r="M43" s="2047"/>
    </row>
    <row r="44" spans="1:18" ht="18" customHeight="1">
      <c r="A44" s="802" t="s">
        <v>1837</v>
      </c>
      <c r="B44" s="834" t="s">
        <v>677</v>
      </c>
      <c r="C44" s="1352">
        <f ca="1">C42-C43</f>
        <v>0</v>
      </c>
      <c r="D44" s="462" t="s">
        <v>678</v>
      </c>
      <c r="E44" s="463"/>
      <c r="F44" s="464"/>
      <c r="G44" s="2047"/>
      <c r="H44" s="2047"/>
      <c r="I44" s="2047"/>
      <c r="J44" s="2047"/>
      <c r="K44" s="2068"/>
      <c r="L44" s="2047"/>
      <c r="M44" s="2047"/>
    </row>
    <row r="45" spans="1:18" ht="18" customHeight="1">
      <c r="A45" s="802" t="s">
        <v>1838</v>
      </c>
      <c r="B45" s="1351" t="s">
        <v>679</v>
      </c>
      <c r="C45" s="2990">
        <f ca="1">ROUND(-PV(F45,F46,C44,0),0)</f>
        <v>0</v>
      </c>
      <c r="D45" s="1353" t="s">
        <v>680</v>
      </c>
      <c r="E45" s="805" t="s">
        <v>681</v>
      </c>
      <c r="F45" s="829">
        <f ca="1">INDIRECT("'数据-取费表'!h"&amp;$G$1)</f>
        <v>0</v>
      </c>
      <c r="G45" s="2047"/>
      <c r="H45" s="2047"/>
      <c r="I45" s="2047"/>
      <c r="J45" s="2047"/>
      <c r="K45" s="2068"/>
      <c r="L45" s="2047"/>
      <c r="M45" s="2047"/>
    </row>
    <row r="46" spans="1:18" ht="18" customHeight="1" thickBot="1">
      <c r="A46" s="830"/>
      <c r="B46" s="1354"/>
      <c r="C46" s="1355"/>
      <c r="D46" s="1356"/>
      <c r="E46" s="3074" t="s">
        <v>2905</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2300</v>
      </c>
      <c r="J47" s="2343"/>
      <c r="K47" s="2344"/>
      <c r="L47" s="3107" t="str">
        <f ca="1">IF(M48="住宅",0,IF(L49&gt;J52,L61,J61))</f>
        <v>0</v>
      </c>
      <c r="O47" s="2358" t="s">
        <v>2367</v>
      </c>
      <c r="P47" s="1578"/>
      <c r="Q47" s="1589"/>
      <c r="R47" s="1578"/>
    </row>
    <row r="48" spans="1:18" s="2044" customFormat="1" ht="18" customHeight="1" thickBot="1">
      <c r="A48" s="2069"/>
      <c r="C48" s="2072"/>
      <c r="D48" s="2073"/>
      <c r="E48" s="2073"/>
      <c r="F48" s="2074"/>
      <c r="G48" s="2075"/>
      <c r="I48" s="3097" t="s">
        <v>2301</v>
      </c>
      <c r="J48" s="2345"/>
      <c r="K48" s="3104" t="s">
        <v>2306</v>
      </c>
      <c r="L48" s="3108">
        <f ca="1">INDIRECT("'数据-取费表'!d"&amp;$G$1)</f>
        <v>0</v>
      </c>
      <c r="M48" s="3071" t="str">
        <f>IF(ISNUMBER(FIND("住宅",C1)),"住宅","非住宅")</f>
        <v>非住宅</v>
      </c>
      <c r="O48" s="2359" t="s">
        <v>2332</v>
      </c>
      <c r="P48" s="2360" t="s">
        <v>2333</v>
      </c>
      <c r="Q48" s="2361" t="s">
        <v>2334</v>
      </c>
      <c r="R48" s="2360" t="s">
        <v>2335</v>
      </c>
    </row>
    <row r="49" spans="1:18" s="2044" customFormat="1" ht="18" customHeight="1" thickBot="1">
      <c r="A49" s="2069"/>
      <c r="D49" s="2076"/>
      <c r="E49" s="2077"/>
      <c r="F49" s="2074"/>
      <c r="G49" s="2075"/>
      <c r="H49" s="2078"/>
      <c r="I49" s="3076" t="s">
        <v>2302</v>
      </c>
      <c r="J49" s="2346"/>
      <c r="K49" s="3105" t="s">
        <v>2308</v>
      </c>
      <c r="L49" s="1893">
        <f ca="1">INDIRECT("'数据-取费表'!f"&amp;$G$1)</f>
        <v>0</v>
      </c>
      <c r="O49" s="2362" t="s">
        <v>2336</v>
      </c>
      <c r="P49" s="2363" t="s">
        <v>2362</v>
      </c>
      <c r="Q49" s="2364">
        <f ca="1">C41+J31</f>
        <v>0</v>
      </c>
      <c r="R49" s="2363" t="s">
        <v>2337</v>
      </c>
    </row>
    <row r="50" spans="1:18" s="2044" customFormat="1" ht="18" customHeight="1" thickBot="1">
      <c r="A50" s="2069"/>
      <c r="D50" s="2079"/>
      <c r="E50" s="2079"/>
      <c r="F50" s="2073"/>
      <c r="G50" s="2080"/>
      <c r="H50" s="2078"/>
      <c r="I50" s="3076" t="s">
        <v>2303</v>
      </c>
      <c r="J50" s="2347"/>
      <c r="K50" s="3106" t="s">
        <v>2309</v>
      </c>
      <c r="L50" s="2348"/>
      <c r="O50" s="2362" t="s">
        <v>2338</v>
      </c>
      <c r="P50" s="2363" t="s">
        <v>2363</v>
      </c>
      <c r="Q50" s="2364" t="str">
        <f ca="1">J61</f>
        <v>0</v>
      </c>
      <c r="R50" s="2363" t="s">
        <v>2339</v>
      </c>
    </row>
    <row r="51" spans="1:18" s="2044" customFormat="1" ht="18" customHeight="1" thickBot="1">
      <c r="A51" s="2081"/>
      <c r="D51" s="2079"/>
      <c r="E51" s="2079"/>
      <c r="F51" s="2070"/>
      <c r="H51" s="2078"/>
      <c r="I51" s="3076" t="s">
        <v>2304</v>
      </c>
      <c r="J51" s="3101">
        <f>SUMPRODUCT((I64:I66=J48)*(J63:L63=J49)*(J64:L66))</f>
        <v>0</v>
      </c>
      <c r="K51" s="3106" t="s">
        <v>2310</v>
      </c>
      <c r="L51" s="2348"/>
      <c r="O51" s="2365" t="s">
        <v>2340</v>
      </c>
      <c r="P51" s="2363" t="s">
        <v>2364</v>
      </c>
      <c r="Q51" s="2364">
        <f ca="1">C31</f>
        <v>0</v>
      </c>
      <c r="R51" s="2363" t="s">
        <v>2337</v>
      </c>
    </row>
    <row r="52" spans="1:18" s="2044" customFormat="1" ht="18" customHeight="1" thickBot="1">
      <c r="A52" s="2081"/>
      <c r="F52" s="2070"/>
      <c r="I52" s="3098" t="s">
        <v>2305</v>
      </c>
      <c r="J52" s="3102">
        <f>IF(J50="",J51,J50+J51-YEAR('数据-取费表'!B3))</f>
        <v>0</v>
      </c>
      <c r="K52" s="3076" t="s">
        <v>2311</v>
      </c>
      <c r="L52" s="3109">
        <f ca="1">ROUND(-PV(INDIRECT("'数据-取费表'!h"&amp;$G$1),L49,(C40-C14*J36),0),0)</f>
        <v>0</v>
      </c>
      <c r="O52" s="2365" t="s">
        <v>2341</v>
      </c>
      <c r="P52" s="2363" t="s">
        <v>2342</v>
      </c>
      <c r="Q52" s="2366" t="e">
        <f ca="1">J59</f>
        <v>#VALUE!</v>
      </c>
      <c r="R52" s="2367"/>
    </row>
    <row r="53" spans="1:18" s="2044" customFormat="1" ht="18" customHeight="1" thickBot="1">
      <c r="A53" s="2081"/>
      <c r="F53" s="2070"/>
      <c r="I53" s="3099" t="s">
        <v>2378</v>
      </c>
      <c r="J53" s="2349"/>
      <c r="K53" s="3099" t="s">
        <v>2377</v>
      </c>
      <c r="L53" s="2349"/>
      <c r="O53" s="2365" t="s">
        <v>2343</v>
      </c>
      <c r="P53" s="2363" t="s">
        <v>2344</v>
      </c>
      <c r="Q53" s="2366">
        <f>J53</f>
        <v>0</v>
      </c>
      <c r="R53" s="2367"/>
    </row>
    <row r="54" spans="1:18" s="2044" customFormat="1" ht="29.25" thickBot="1">
      <c r="A54" s="2081"/>
      <c r="I54" s="3100" t="s">
        <v>2918</v>
      </c>
      <c r="J54" s="3103">
        <f ca="1">IF(M48="住宅",MAX(J52,L49-'数据-取费表'!B20),MIN(J52,L49-'数据-取费表'!B20))</f>
        <v>-2</v>
      </c>
      <c r="K54" s="3483"/>
      <c r="L54" s="3484"/>
      <c r="O54" s="2365" t="s">
        <v>2345</v>
      </c>
      <c r="P54" s="2363" t="s">
        <v>2346</v>
      </c>
      <c r="Q54" s="2364">
        <f ca="1">J54</f>
        <v>-2</v>
      </c>
      <c r="R54" s="2363" t="s">
        <v>2347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2348</v>
      </c>
      <c r="P55" s="2363" t="s">
        <v>2365</v>
      </c>
      <c r="Q55" s="2364">
        <f ca="1">Q49+Q50</f>
        <v>0</v>
      </c>
      <c r="R55" s="2367" t="s">
        <v>2349</v>
      </c>
    </row>
    <row r="56" spans="1:18" s="2044" customFormat="1" ht="16.5" thickBot="1">
      <c r="A56" s="2081"/>
      <c r="B56" s="2082"/>
      <c r="C56" s="2082"/>
      <c r="I56" s="3112" t="s">
        <v>2312</v>
      </c>
      <c r="J56" s="3051" t="e">
        <f ca="1">ROUND(IF(J48="钢混",J58/J51,1-(1-2%)*(J51-J58)/J51),3)</f>
        <v>#VALUE!</v>
      </c>
      <c r="K56" s="3113" t="s">
        <v>2313</v>
      </c>
      <c r="L56" s="2350"/>
      <c r="O56" s="2368" t="s">
        <v>2368</v>
      </c>
      <c r="P56" s="1578"/>
      <c r="Q56" s="1589"/>
      <c r="R56" s="1578"/>
    </row>
    <row r="57" spans="1:18" s="2044" customFormat="1" ht="43.5" thickBot="1">
      <c r="A57" s="2081"/>
      <c r="B57" s="2082"/>
      <c r="C57" s="2082"/>
      <c r="I57" s="3114" t="s">
        <v>2314</v>
      </c>
      <c r="J57" s="3124" t="s">
        <v>1640</v>
      </c>
      <c r="K57" s="3076" t="s">
        <v>2319</v>
      </c>
      <c r="L57" s="1893">
        <f ca="1">IF(L49&lt;J52,"——",L49-J52)</f>
        <v>0</v>
      </c>
      <c r="O57" s="2359" t="s">
        <v>2332</v>
      </c>
      <c r="P57" s="2360" t="s">
        <v>2333</v>
      </c>
      <c r="Q57" s="2361" t="s">
        <v>2334</v>
      </c>
      <c r="R57" s="2360" t="s">
        <v>2335</v>
      </c>
    </row>
    <row r="58" spans="1:18" s="2044" customFormat="1" ht="29.25" thickBot="1">
      <c r="A58" s="2081"/>
      <c r="B58" s="2082"/>
      <c r="C58" s="2082"/>
      <c r="I58" s="3115" t="s">
        <v>2315</v>
      </c>
      <c r="J58" s="3116" t="str">
        <f ca="1">IF(OR(M48="住宅",J52&lt;L49,J57="是"),"——",J52-L49)</f>
        <v>——</v>
      </c>
      <c r="K58" s="3076" t="s">
        <v>2320</v>
      </c>
      <c r="L58" s="1893">
        <f ca="1">IF(L49&lt;J52,"——",IF(L56="比较法",L50,IF(L56="基准地价",L51,L52)))</f>
        <v>0</v>
      </c>
      <c r="O58" s="2362" t="s">
        <v>2336</v>
      </c>
      <c r="P58" s="2363" t="s">
        <v>2362</v>
      </c>
      <c r="Q58" s="2364">
        <f ca="1">C41+J31</f>
        <v>0</v>
      </c>
      <c r="R58" s="2363" t="s">
        <v>2337</v>
      </c>
    </row>
    <row r="59" spans="1:18" s="2044" customFormat="1" ht="29.25" thickBot="1">
      <c r="A59" s="2081"/>
      <c r="B59" s="2082"/>
      <c r="C59" s="2082"/>
      <c r="I59" s="3115" t="s">
        <v>2316</v>
      </c>
      <c r="J59" s="3052" t="e">
        <f ca="1">IF(J56&lt;0.4,0.4,J56)</f>
        <v>#VALUE!</v>
      </c>
      <c r="K59" s="3076" t="s">
        <v>2321</v>
      </c>
      <c r="L59" s="1893">
        <f ca="1">IF(ISERROR(POWER(1+L53,L48-L49)*(POWER(1+L53,L49)-1)/(POWER(1+L53,L48)-1)),0,POWER(1+L53,L48-L49)*(POWER(1+L53,L49)-1)/(POWER(1+L53,L48)-1))</f>
        <v>0</v>
      </c>
      <c r="O59" s="2362" t="s">
        <v>2338</v>
      </c>
      <c r="P59" s="2363" t="s">
        <v>2369</v>
      </c>
      <c r="Q59" s="2364" t="e">
        <f ca="1">L61</f>
        <v>#DIV/0!</v>
      </c>
      <c r="R59" s="2367" t="s">
        <v>2371</v>
      </c>
    </row>
    <row r="60" spans="1:18" s="2044" customFormat="1" ht="29.25" thickBot="1">
      <c r="A60" s="2081"/>
      <c r="B60" s="2082"/>
      <c r="C60" s="2082"/>
      <c r="I60" s="3115" t="s">
        <v>2317</v>
      </c>
      <c r="J60" s="3116" t="str">
        <f ca="1">IF(OR(M48="住宅",J52&lt;L49,J57="是"),"——",ROUND(C30*J59,0))</f>
        <v>——</v>
      </c>
      <c r="K60" s="3076" t="s">
        <v>2322</v>
      </c>
      <c r="L60" s="1893">
        <f ca="1">IF(ISERROR(POWER(1+L53,L48-J52)*(POWER(1+L53,J52)-1)/(POWER(1+L53,L48)-1)),0,POWER(1+L53,L48-J52)*(POWER(1+L53,J52)-1)/(POWER(1+L53,L48)-1))</f>
        <v>0</v>
      </c>
      <c r="O60" s="2365" t="s">
        <v>2340</v>
      </c>
      <c r="P60" s="2363" t="s">
        <v>2370</v>
      </c>
      <c r="Q60" s="2364">
        <f>IF(L56="比较法",L50,IF(L56="基准地价",L51,0))</f>
        <v>0</v>
      </c>
      <c r="R60" s="2363" t="s">
        <v>2337</v>
      </c>
    </row>
    <row r="61" spans="1:18" s="2044" customFormat="1" ht="15.75" thickBot="1">
      <c r="A61" s="2081"/>
      <c r="B61" s="2082"/>
      <c r="C61" s="2082"/>
      <c r="I61" s="3117" t="s">
        <v>2318</v>
      </c>
      <c r="J61" s="3118" t="str">
        <f ca="1">IF(OR(M48="住宅",J52&lt;L49,J57="是"),"0",ROUND(J60/(1+J53)^J54,0))</f>
        <v>0</v>
      </c>
      <c r="K61" s="3119" t="s">
        <v>2323</v>
      </c>
      <c r="L61" s="3118" t="e">
        <f ca="1">IF(OR(M48="住宅",L49&lt;J52),0,ROUND(L58*(L59/L60-1),0))</f>
        <v>#DIV/0!</v>
      </c>
      <c r="O61" s="2365" t="s">
        <v>2341</v>
      </c>
      <c r="P61" s="2363" t="s">
        <v>2350</v>
      </c>
      <c r="Q61" s="2366">
        <f>L53</f>
        <v>0</v>
      </c>
      <c r="R61" s="2367"/>
    </row>
    <row r="62" spans="1:18" s="2044" customFormat="1" ht="20.25" thickBot="1">
      <c r="A62" s="2081"/>
      <c r="B62" s="2082"/>
      <c r="C62" s="2082"/>
      <c r="K62" s="2071"/>
      <c r="O62" s="2365" t="s">
        <v>2343</v>
      </c>
      <c r="P62" s="2363" t="s">
        <v>2351</v>
      </c>
      <c r="Q62" s="2364">
        <f ca="1">L59</f>
        <v>0</v>
      </c>
      <c r="R62" s="2367" t="s">
        <v>2352</v>
      </c>
    </row>
    <row r="63" spans="1:18" s="2044" customFormat="1" ht="20.25" thickBot="1">
      <c r="A63" s="2081"/>
      <c r="B63" s="2082"/>
      <c r="C63" s="2082"/>
      <c r="I63" s="3120" t="s">
        <v>2324</v>
      </c>
      <c r="J63" s="3121" t="s">
        <v>2325</v>
      </c>
      <c r="K63" s="3121" t="s">
        <v>2326</v>
      </c>
      <c r="L63" s="3121" t="s">
        <v>2307</v>
      </c>
      <c r="M63" s="3122" t="s">
        <v>2885</v>
      </c>
      <c r="O63" s="2365" t="s">
        <v>2345</v>
      </c>
      <c r="P63" s="2363" t="s">
        <v>2353</v>
      </c>
      <c r="Q63" s="2364">
        <f ca="1">L60</f>
        <v>0</v>
      </c>
      <c r="R63" s="2367" t="s">
        <v>2354</v>
      </c>
    </row>
    <row r="64" spans="1:18" s="2044" customFormat="1" ht="15.75" thickBot="1">
      <c r="A64" s="2081"/>
      <c r="B64" s="2082"/>
      <c r="C64" s="2082"/>
      <c r="I64" s="3120" t="s">
        <v>2327</v>
      </c>
      <c r="J64" s="3121">
        <v>70</v>
      </c>
      <c r="K64" s="3121">
        <v>50</v>
      </c>
      <c r="L64" s="3121">
        <v>80</v>
      </c>
      <c r="M64" s="3123">
        <v>0.02</v>
      </c>
      <c r="O64" s="2362" t="s">
        <v>2348</v>
      </c>
      <c r="P64" s="2363" t="s">
        <v>2365</v>
      </c>
      <c r="Q64" s="2364" t="e">
        <f ca="1">Q58+Q59</f>
        <v>#DIV/0!</v>
      </c>
      <c r="R64" s="2367" t="s">
        <v>2349</v>
      </c>
    </row>
    <row r="65" spans="1:18" s="2044" customFormat="1" ht="16.5" thickBot="1">
      <c r="A65" s="2081"/>
      <c r="B65" s="2082"/>
      <c r="C65" s="2082"/>
      <c r="I65" s="3120" t="s">
        <v>2328</v>
      </c>
      <c r="J65" s="3121">
        <v>50</v>
      </c>
      <c r="K65" s="3121">
        <v>35</v>
      </c>
      <c r="L65" s="3121">
        <v>60</v>
      </c>
      <c r="M65" s="845">
        <v>0</v>
      </c>
      <c r="O65" s="2368" t="s">
        <v>2372</v>
      </c>
      <c r="P65" s="1578"/>
      <c r="Q65" s="1589"/>
      <c r="R65" s="1578"/>
    </row>
    <row r="66" spans="1:18" s="2044" customFormat="1" ht="15.75" thickBot="1">
      <c r="A66" s="2081"/>
      <c r="B66" s="2082"/>
      <c r="C66" s="2082"/>
      <c r="I66" s="3120" t="s">
        <v>2329</v>
      </c>
      <c r="J66" s="3121">
        <v>40</v>
      </c>
      <c r="K66" s="3121">
        <v>30</v>
      </c>
      <c r="L66" s="3121">
        <v>50</v>
      </c>
      <c r="M66" s="3123">
        <v>0.02</v>
      </c>
      <c r="O66" s="2359" t="s">
        <v>2332</v>
      </c>
      <c r="P66" s="2360" t="s">
        <v>2333</v>
      </c>
      <c r="Q66" s="2361" t="s">
        <v>2334</v>
      </c>
      <c r="R66" s="2360" t="s">
        <v>2335</v>
      </c>
    </row>
    <row r="67" spans="1:18" s="2044" customFormat="1" ht="15.75" thickBot="1">
      <c r="A67" s="2081"/>
      <c r="B67" s="2082"/>
      <c r="C67" s="2082"/>
      <c r="K67" s="2071"/>
      <c r="O67" s="2362" t="s">
        <v>2336</v>
      </c>
      <c r="P67" s="2363" t="s">
        <v>2362</v>
      </c>
      <c r="Q67" s="2364">
        <f ca="1">C41+J31</f>
        <v>0</v>
      </c>
      <c r="R67" s="2363" t="s">
        <v>2337</v>
      </c>
    </row>
    <row r="68" spans="1:18" s="2044" customFormat="1" ht="20.25" thickBot="1">
      <c r="A68" s="2081"/>
      <c r="B68" s="2082"/>
      <c r="C68" s="2082"/>
      <c r="K68" s="2071"/>
      <c r="O68" s="2362" t="s">
        <v>2338</v>
      </c>
      <c r="P68" s="2363" t="s">
        <v>2369</v>
      </c>
      <c r="Q68" s="2364" t="e">
        <f ca="1">L61</f>
        <v>#DIV/0!</v>
      </c>
      <c r="R68" s="2367" t="s">
        <v>2371</v>
      </c>
    </row>
    <row r="69" spans="1:18" s="2044" customFormat="1" ht="21.75" thickBot="1">
      <c r="A69" s="2081"/>
      <c r="B69" s="2082"/>
      <c r="C69" s="2082"/>
      <c r="K69" s="2071"/>
      <c r="O69" s="2365" t="s">
        <v>2340</v>
      </c>
      <c r="P69" s="2363" t="s">
        <v>2370</v>
      </c>
      <c r="Q69" s="2369">
        <f ca="1">L52</f>
        <v>0</v>
      </c>
      <c r="R69" s="2370" t="s">
        <v>2373</v>
      </c>
    </row>
    <row r="70" spans="1:18" s="2044" customFormat="1" ht="20.25" thickBot="1">
      <c r="A70" s="2081"/>
      <c r="B70" s="2082"/>
      <c r="C70" s="2082"/>
      <c r="K70" s="2071"/>
      <c r="O70" s="2365" t="s">
        <v>2341</v>
      </c>
      <c r="P70" s="2371" t="s">
        <v>2355</v>
      </c>
      <c r="Q70" s="2364">
        <f ca="1">ROUND(Q71-Q72*Q73,0)</f>
        <v>0</v>
      </c>
      <c r="R70" s="2367"/>
    </row>
    <row r="71" spans="1:18" s="2044" customFormat="1" ht="15.75" thickBot="1">
      <c r="A71" s="2081"/>
      <c r="B71" s="2082"/>
      <c r="C71" s="2082"/>
      <c r="K71" s="2071"/>
      <c r="O71" s="2365" t="s">
        <v>2356</v>
      </c>
      <c r="P71" s="2371" t="s">
        <v>2357</v>
      </c>
      <c r="Q71" s="2364">
        <f ca="1">C42</f>
        <v>0</v>
      </c>
      <c r="R71" s="2363" t="s">
        <v>2337</v>
      </c>
    </row>
    <row r="72" spans="1:18" s="2044" customFormat="1" ht="15.75" thickBot="1">
      <c r="A72" s="2081"/>
      <c r="B72" s="2082"/>
      <c r="C72" s="2082"/>
      <c r="K72" s="2071"/>
      <c r="O72" s="2365" t="s">
        <v>2358</v>
      </c>
      <c r="P72" s="2371" t="s">
        <v>2359</v>
      </c>
      <c r="Q72" s="2364">
        <f ca="1">C15</f>
        <v>0</v>
      </c>
      <c r="R72" s="2363" t="s">
        <v>2337</v>
      </c>
    </row>
    <row r="73" spans="1:18" s="2044" customFormat="1" ht="15.75" thickBot="1">
      <c r="A73" s="2081"/>
      <c r="B73" s="2082"/>
      <c r="C73" s="2082"/>
      <c r="K73" s="2071"/>
      <c r="O73" s="2365" t="s">
        <v>2360</v>
      </c>
      <c r="P73" s="2371" t="s">
        <v>2361</v>
      </c>
      <c r="Q73" s="2366">
        <f ca="1">F43</f>
        <v>0</v>
      </c>
      <c r="R73" s="2367"/>
    </row>
    <row r="74" spans="1:18" s="2044" customFormat="1" ht="15.75" thickBot="1">
      <c r="A74" s="2081"/>
      <c r="B74" s="2082"/>
      <c r="C74" s="2082"/>
      <c r="K74" s="2071"/>
      <c r="O74" s="2365" t="s">
        <v>2343</v>
      </c>
      <c r="P74" s="2363" t="s">
        <v>2350</v>
      </c>
      <c r="Q74" s="2366">
        <f>L53</f>
        <v>0</v>
      </c>
      <c r="R74" s="2367"/>
    </row>
    <row r="75" spans="1:18" s="2044" customFormat="1" ht="20.25" thickBot="1">
      <c r="A75" s="2081"/>
      <c r="B75" s="2082"/>
      <c r="C75" s="2082"/>
      <c r="K75" s="2071"/>
      <c r="O75" s="2365" t="s">
        <v>2345</v>
      </c>
      <c r="P75" s="2363" t="s">
        <v>2351</v>
      </c>
      <c r="Q75" s="2364">
        <f ca="1">L59</f>
        <v>0</v>
      </c>
      <c r="R75" s="2367" t="s">
        <v>2352</v>
      </c>
    </row>
    <row r="76" spans="1:18" s="2044" customFormat="1" ht="20.25" thickBot="1">
      <c r="A76" s="2081"/>
      <c r="B76" s="2082"/>
      <c r="C76" s="2082"/>
      <c r="K76" s="2071"/>
      <c r="O76" s="2365" t="s">
        <v>2374</v>
      </c>
      <c r="P76" s="2363" t="s">
        <v>2353</v>
      </c>
      <c r="Q76" s="2364">
        <f ca="1">L60</f>
        <v>0</v>
      </c>
      <c r="R76" s="2367" t="s">
        <v>2354</v>
      </c>
    </row>
    <row r="77" spans="1:18" s="2044" customFormat="1" ht="15.75" thickBot="1">
      <c r="A77" s="2081"/>
      <c r="B77" s="2082"/>
      <c r="C77" s="2082"/>
      <c r="K77" s="2071"/>
      <c r="O77" s="2362" t="s">
        <v>2348</v>
      </c>
      <c r="P77" s="2363" t="s">
        <v>2365</v>
      </c>
      <c r="Q77" s="2364" t="e">
        <f ca="1">Q67+Q68</f>
        <v>#DIV/0!</v>
      </c>
      <c r="R77" s="2367" t="s">
        <v>2349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3" sqref="C23:C24"/>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13.12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430</v>
      </c>
      <c r="B1" s="2764"/>
      <c r="C1" s="2089"/>
      <c r="D1" s="2089"/>
      <c r="E1" s="2089"/>
      <c r="F1" s="2089"/>
      <c r="G1" s="2089"/>
      <c r="H1" s="2089"/>
      <c r="I1" s="2089"/>
      <c r="J1" s="2089"/>
      <c r="K1" s="421">
        <f>MATCH(B1,'数据-取费表'!A6:A16,0)+5</f>
        <v>6</v>
      </c>
    </row>
    <row r="2" spans="1:31" s="2026" customFormat="1" ht="18" customHeight="1">
      <c r="A2" s="2086" t="s">
        <v>431</v>
      </c>
      <c r="B2" s="2090">
        <f ca="1">C36</f>
        <v>3195</v>
      </c>
      <c r="C2" s="2089"/>
      <c r="D2" s="2089"/>
      <c r="E2" s="2089"/>
      <c r="F2" s="2089"/>
      <c r="G2" s="2089"/>
      <c r="H2" s="2089"/>
      <c r="I2" s="2089"/>
      <c r="J2" s="2089"/>
      <c r="K2" s="2089"/>
    </row>
    <row r="3" spans="1:31" s="2026" customFormat="1" ht="18" customHeight="1">
      <c r="A3" s="2091" t="s">
        <v>1643</v>
      </c>
      <c r="B3" s="2092">
        <f ca="1">ROUND(B2*10000/IF(B1="",'数据-汇总表'!E3,INDIRECT("'数据-取费表'!K"&amp;$K$1)),0)</f>
        <v>576</v>
      </c>
      <c r="C3" s="2089"/>
      <c r="D3" s="2089"/>
      <c r="E3" s="2089"/>
      <c r="F3" s="2089"/>
      <c r="G3" s="2089"/>
      <c r="H3" s="2089"/>
      <c r="I3" s="2089"/>
      <c r="J3" s="2089"/>
      <c r="K3" s="2089"/>
    </row>
    <row r="4" spans="1:31" s="2026" customFormat="1" ht="18" customHeight="1">
      <c r="A4" s="425" t="s">
        <v>432</v>
      </c>
      <c r="B4" s="426">
        <f ca="1">ROUND(B2*10000/IF(B1="",'数据-汇总表'!D3,INDIRECT("'数据-取费表'!R"&amp;$K$1)),0)</f>
        <v>1152</v>
      </c>
      <c r="C4" s="427"/>
      <c r="D4" s="421"/>
      <c r="E4" s="421"/>
      <c r="F4" s="421"/>
      <c r="G4" s="421"/>
      <c r="H4" s="421"/>
      <c r="I4" s="421"/>
      <c r="J4" s="421"/>
      <c r="K4" s="421"/>
    </row>
    <row r="5" spans="1:31" s="2026" customFormat="1" ht="18" customHeight="1" thickBot="1">
      <c r="A5" s="428"/>
      <c r="B5" s="429">
        <f ca="1">ROUND(B2/(IF(B1="",'数据-汇总表'!D3,INDIRECT("'数据-取费表'!R"&amp;$K$1))/666.67),0)</f>
        <v>77</v>
      </c>
      <c r="C5" s="430" t="s">
        <v>433</v>
      </c>
      <c r="D5" s="421"/>
      <c r="E5" s="421"/>
      <c r="F5" s="421"/>
      <c r="G5" s="421"/>
      <c r="H5" s="421"/>
      <c r="I5" s="421"/>
      <c r="J5" s="421"/>
      <c r="K5" s="421"/>
    </row>
    <row r="6" spans="1:31" s="2096" customFormat="1" ht="16.5" customHeight="1">
      <c r="A6" s="2783" t="s">
        <v>1801</v>
      </c>
      <c r="B6" s="2784"/>
      <c r="C6" s="2785">
        <f ca="1">SUM(C10:K10)</f>
        <v>30927</v>
      </c>
      <c r="D6" s="2784"/>
      <c r="E6" s="2784"/>
      <c r="F6" s="2784"/>
      <c r="G6" s="2784"/>
      <c r="H6" s="2784"/>
      <c r="I6" s="2784"/>
      <c r="J6" s="2784"/>
      <c r="K6" s="2786"/>
    </row>
    <row r="7" spans="1:31" s="2098" customFormat="1" ht="15">
      <c r="A7" s="2787" t="s">
        <v>434</v>
      </c>
      <c r="B7" s="2788" t="s">
        <v>435</v>
      </c>
      <c r="C7" s="435"/>
      <c r="D7" s="435" t="s">
        <v>3023</v>
      </c>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1804</v>
      </c>
      <c r="B8" s="260" t="s">
        <v>436</v>
      </c>
      <c r="C8" s="2789"/>
      <c r="D8" s="2789">
        <f ca="1">'收益法-公寓'!B3</f>
        <v>5577</v>
      </c>
      <c r="E8" s="2789"/>
      <c r="F8" s="2789"/>
      <c r="G8" s="2789"/>
      <c r="H8" s="2789"/>
      <c r="I8" s="2789"/>
      <c r="J8" s="2789"/>
      <c r="K8" s="2790"/>
      <c r="L8" s="2099"/>
      <c r="M8" s="3198"/>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1805</v>
      </c>
      <c r="B9" s="260" t="s">
        <v>437</v>
      </c>
      <c r="C9" s="440">
        <f>SUMIF('数据-汇总表'!$C19:$C33,'剩余法-待开发'!C7,'数据-汇总表'!$E19:$E33)</f>
        <v>0</v>
      </c>
      <c r="D9" s="440">
        <f>SUMIF('数据-汇总表'!$C19:$C33,'剩余法-待开发'!D7,'数据-汇总表'!$E19:$E33)</f>
        <v>55458.58</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3198"/>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1806</v>
      </c>
      <c r="B10" s="2777" t="s">
        <v>438</v>
      </c>
      <c r="C10" s="2981"/>
      <c r="D10" s="2981">
        <f ca="1">'收益法-公寓'!B2</f>
        <v>30927</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1802</v>
      </c>
      <c r="B11" s="2784"/>
      <c r="C11" s="2784"/>
      <c r="D11" s="2784"/>
      <c r="E11" s="2784"/>
      <c r="F11" s="2784"/>
      <c r="G11" s="2784"/>
      <c r="H11" s="2784"/>
      <c r="I11" s="2784"/>
      <c r="J11" s="2784"/>
      <c r="K11" s="2786"/>
      <c r="M11" s="3199"/>
    </row>
    <row r="12" spans="1:31" s="2070" customFormat="1" ht="13.5" customHeight="1">
      <c r="A12" s="2795" t="s">
        <v>434</v>
      </c>
      <c r="B12" s="2767" t="s">
        <v>435</v>
      </c>
      <c r="C12" s="2796" t="s">
        <v>439</v>
      </c>
      <c r="D12" s="2763" t="s">
        <v>440</v>
      </c>
      <c r="E12" s="2763" t="s">
        <v>441</v>
      </c>
      <c r="F12" s="2763" t="s">
        <v>442</v>
      </c>
      <c r="G12" s="2767"/>
      <c r="H12" s="2768"/>
      <c r="I12" s="2768"/>
      <c r="J12" s="2768"/>
      <c r="K12" s="2769"/>
    </row>
    <row r="13" spans="1:31" s="2101" customFormat="1" ht="13.5" customHeight="1">
      <c r="A13" s="2797" t="s">
        <v>1807</v>
      </c>
      <c r="B13" s="2798" t="s">
        <v>443</v>
      </c>
      <c r="C13" s="449">
        <f ca="1">IF(B1="",'数据-取费表'!P16,INDIRECT("'数据-取费表'!p"&amp;$K$1)+INDIRECT("'数据-取费表'!t"&amp;$K$1))</f>
        <v>16638</v>
      </c>
      <c r="D13" s="2799"/>
      <c r="E13" s="2800"/>
      <c r="F13" s="2801"/>
      <c r="G13" s="2767"/>
      <c r="H13" s="2768"/>
      <c r="I13" s="2768"/>
      <c r="J13" s="2768"/>
      <c r="K13" s="2769"/>
      <c r="M13" s="3200"/>
    </row>
    <row r="14" spans="1:31" s="2101" customFormat="1" ht="13.5" customHeight="1">
      <c r="A14" s="2797" t="s">
        <v>1808</v>
      </c>
      <c r="B14" s="2798" t="s">
        <v>444</v>
      </c>
      <c r="C14" s="52">
        <f ca="1">ROUND(C13*F14,0)</f>
        <v>832</v>
      </c>
      <c r="D14" s="2799"/>
      <c r="E14" s="2800"/>
      <c r="F14" s="2802">
        <f>'数据-取费表'!B33</f>
        <v>0.05</v>
      </c>
      <c r="G14" s="2767" t="s">
        <v>445</v>
      </c>
      <c r="H14" s="2768"/>
      <c r="I14" s="2768"/>
      <c r="J14" s="2768"/>
      <c r="K14" s="2769"/>
    </row>
    <row r="15" spans="1:31" s="2101" customFormat="1" ht="13.5" customHeight="1">
      <c r="A15" s="2797" t="s">
        <v>1809</v>
      </c>
      <c r="B15" s="2798" t="s">
        <v>446</v>
      </c>
      <c r="C15" s="52">
        <f ca="1">ROUND(IF(B1="",SUMIF('数据-取费表'!C:C,"住宅",'数据-取费表'!P:P)*F15,IF(INDIRECT("'数据-取费表'!c"&amp;$K$1)="住宅",INDIRECT("'数据-取费表'!P"&amp;$K$1)*F15,0)),0)</f>
        <v>0</v>
      </c>
      <c r="D15" s="2799"/>
      <c r="E15" s="2800"/>
      <c r="F15" s="2802">
        <f>'数据-取费表'!B34</f>
        <v>0.1</v>
      </c>
      <c r="G15" s="2767" t="s">
        <v>447</v>
      </c>
      <c r="H15" s="2768"/>
      <c r="I15" s="2768"/>
      <c r="J15" s="2768"/>
      <c r="K15" s="2769"/>
    </row>
    <row r="16" spans="1:31" s="2102" customFormat="1" ht="13.5" customHeight="1">
      <c r="A16" s="2797" t="s">
        <v>1810</v>
      </c>
      <c r="B16" s="2798" t="s">
        <v>448</v>
      </c>
      <c r="C16" s="52">
        <f ca="1">ROUND(D16*E16/10000,0)</f>
        <v>832</v>
      </c>
      <c r="D16" s="2799">
        <f ca="1">IF(B1="",'数据-汇总表'!E3,INDIRECT("'数据-取费表'!K"&amp;$K$1)+INDIRECT("'数据-取费表'!S"&amp;$K$1))</f>
        <v>55458.58</v>
      </c>
      <c r="E16" s="52">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1811</v>
      </c>
      <c r="B17" s="2798" t="s">
        <v>449</v>
      </c>
      <c r="C17" s="2803">
        <f ca="1">ROUND(C13*F17,0)</f>
        <v>250</v>
      </c>
      <c r="D17" s="474"/>
      <c r="E17" s="2803"/>
      <c r="F17" s="2804">
        <f>'数据-取费表'!B36</f>
        <v>1.4999999999999999E-2</v>
      </c>
      <c r="G17" s="260" t="s">
        <v>450</v>
      </c>
      <c r="H17" s="2770"/>
      <c r="I17" s="2770"/>
      <c r="J17" s="2770"/>
      <c r="K17" s="278"/>
    </row>
    <row r="18" spans="1:14" s="2101" customFormat="1" ht="13.5" customHeight="1">
      <c r="A18" s="2805" t="s">
        <v>1812</v>
      </c>
      <c r="B18" s="2806" t="s">
        <v>451</v>
      </c>
      <c r="C18" s="2807">
        <f ca="1">SUM(C13:C17)</f>
        <v>18552</v>
      </c>
      <c r="D18" s="2808"/>
      <c r="E18" s="467"/>
      <c r="F18" s="467"/>
      <c r="G18" s="2771" t="s">
        <v>2387</v>
      </c>
      <c r="H18" s="2772"/>
      <c r="I18" s="2772"/>
      <c r="J18" s="2772"/>
      <c r="K18" s="2773"/>
    </row>
    <row r="19" spans="1:14" s="2101" customFormat="1" ht="13.5" customHeight="1">
      <c r="A19" s="2805" t="s">
        <v>1813</v>
      </c>
      <c r="B19" s="2806" t="s">
        <v>452</v>
      </c>
      <c r="C19" s="2763">
        <f ca="1">ROUND(D19*E19/10000,0)</f>
        <v>0</v>
      </c>
      <c r="D19" s="2809">
        <f ca="1">D16</f>
        <v>55458.58</v>
      </c>
      <c r="E19" s="2763">
        <f>'数据-取费表'!B32</f>
        <v>0</v>
      </c>
      <c r="F19" s="467"/>
      <c r="G19" s="2767" t="s">
        <v>453</v>
      </c>
      <c r="H19" s="2768"/>
      <c r="I19" s="2772"/>
      <c r="J19" s="2772"/>
      <c r="K19" s="2773"/>
    </row>
    <row r="20" spans="1:14" s="2101" customFormat="1" ht="13.5" customHeight="1">
      <c r="A20" s="2805" t="s">
        <v>1814</v>
      </c>
      <c r="B20" s="2806" t="s">
        <v>454</v>
      </c>
      <c r="C20" s="2763">
        <f ca="1">C21+C22-IF(B1="",'数据-取费表'!B29,IF(G20="已全部缴纳",C21+C22,H20))</f>
        <v>499</v>
      </c>
      <c r="D20" s="2809"/>
      <c r="E20" s="2763"/>
      <c r="F20" s="2810"/>
      <c r="G20" s="3038" t="s">
        <v>3005</v>
      </c>
      <c r="H20" s="2765"/>
      <c r="I20" s="2766" t="s">
        <v>2606</v>
      </c>
      <c r="J20" s="2772"/>
      <c r="K20" s="2773"/>
    </row>
    <row r="21" spans="1:14" s="2101" customFormat="1" ht="13.5" customHeight="1">
      <c r="A21" s="2797" t="s">
        <v>1815</v>
      </c>
      <c r="B21" s="2798" t="s">
        <v>455</v>
      </c>
      <c r="C21" s="52">
        <f ca="1">ROUND(D21*E21/10000,0)</f>
        <v>0</v>
      </c>
      <c r="D21" s="2799">
        <f ca="1">IF(B1="",'数据-汇总表'!E5,IF(INDIRECT("'数据-取费表'!c"&amp;$K$1)="住宅",INDIRECT("'数据-取费表'!k"&amp;$K$1),0))</f>
        <v>0</v>
      </c>
      <c r="E21" s="52">
        <f>'数据-取费表'!B27</f>
        <v>90</v>
      </c>
      <c r="F21" s="2802"/>
      <c r="G21" s="25"/>
      <c r="H21" s="50"/>
      <c r="I21" s="50"/>
      <c r="J21" s="50"/>
      <c r="K21" s="2774"/>
    </row>
    <row r="22" spans="1:14" s="2101" customFormat="1" ht="13.5" customHeight="1">
      <c r="A22" s="2797" t="s">
        <v>1816</v>
      </c>
      <c r="B22" s="2798" t="s">
        <v>456</v>
      </c>
      <c r="C22" s="52">
        <f ca="1">ROUND(D22*E22/10000,0)</f>
        <v>499</v>
      </c>
      <c r="D22" s="2799">
        <f ca="1">IF(B1="",'数据-汇总表'!E6,IF(INDIRECT("'数据-取费表'!c"&amp;$K$1)="住宅",INDIRECT("'数据-取费表'!s"&amp;$K$1),INDIRECT("'数据-取费表'!k"&amp;$K$1)+INDIRECT("'数据-取费表'!s"&amp;$K$1)))</f>
        <v>55458.58</v>
      </c>
      <c r="E22" s="52">
        <f>'数据-取费表'!B28</f>
        <v>90</v>
      </c>
      <c r="F22" s="2802"/>
      <c r="G22" s="25"/>
      <c r="H22" s="50"/>
      <c r="I22" s="50"/>
      <c r="J22" s="50"/>
      <c r="K22" s="2774"/>
    </row>
    <row r="23" spans="1:14" s="2101" customFormat="1" ht="13.5" customHeight="1">
      <c r="A23" s="2805" t="s">
        <v>1817</v>
      </c>
      <c r="B23" s="2987" t="s">
        <v>2789</v>
      </c>
      <c r="C23" s="2807">
        <f ca="1">ROUND((C18+C19+C20)*F23,0)</f>
        <v>381</v>
      </c>
      <c r="D23" s="467"/>
      <c r="E23" s="467"/>
      <c r="F23" s="2811">
        <f>'数据-取费表'!B37</f>
        <v>0.02</v>
      </c>
      <c r="G23" s="2767" t="s">
        <v>2388</v>
      </c>
      <c r="H23" s="2768"/>
      <c r="I23" s="2768"/>
      <c r="J23" s="2768"/>
      <c r="K23" s="2769"/>
      <c r="L23" s="2103"/>
      <c r="M23" s="2103"/>
      <c r="N23" s="2103"/>
    </row>
    <row r="24" spans="1:14" s="2101" customFormat="1" ht="13.5" customHeight="1">
      <c r="A24" s="2805" t="s">
        <v>1818</v>
      </c>
      <c r="B24" s="2987" t="s">
        <v>2792</v>
      </c>
      <c r="C24" s="2807">
        <f ca="1">ROUND(C6*F24,0)</f>
        <v>619</v>
      </c>
      <c r="D24" s="474"/>
      <c r="E24" s="472"/>
      <c r="F24" s="2811">
        <f>'数据-取费表'!B38</f>
        <v>0.02</v>
      </c>
      <c r="G24" s="2776" t="s">
        <v>463</v>
      </c>
      <c r="H24" s="2770"/>
      <c r="I24" s="2770"/>
      <c r="J24" s="2770"/>
      <c r="K24" s="278"/>
      <c r="L24" s="2103"/>
      <c r="M24" s="2103"/>
      <c r="N24" s="2103"/>
    </row>
    <row r="25" spans="1:14" s="2104" customFormat="1" ht="13.5" customHeight="1">
      <c r="A25" s="2805" t="s">
        <v>1819</v>
      </c>
      <c r="B25" s="2987" t="s">
        <v>2790</v>
      </c>
      <c r="C25" s="466">
        <f>ROUND(F25/(1+'数据-取费表'!C42),4)</f>
        <v>2.9000000000000001E-2</v>
      </c>
      <c r="D25" s="461" t="s">
        <v>2784</v>
      </c>
      <c r="E25" s="468"/>
      <c r="F25" s="2811">
        <f>IF(项目基本情况!B8="出让",0,'数据-取费表'!B48+'数据-取费表'!B49)</f>
        <v>3.0499999999999999E-2</v>
      </c>
      <c r="G25" s="2775" t="s">
        <v>2246</v>
      </c>
      <c r="H25" s="2768"/>
      <c r="I25" s="2768"/>
      <c r="J25" s="2768"/>
      <c r="K25" s="2769"/>
    </row>
    <row r="26" spans="1:14" s="2103" customFormat="1" ht="13.5" customHeight="1">
      <c r="A26" s="2805" t="s">
        <v>1820</v>
      </c>
      <c r="B26" s="2988" t="s">
        <v>2791</v>
      </c>
      <c r="C26" s="2812">
        <f ca="1">C28</f>
        <v>952</v>
      </c>
      <c r="D26" s="466">
        <f ca="1">C27</f>
        <v>0.10009999999999999</v>
      </c>
      <c r="E26" s="468" t="s">
        <v>459</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1815</v>
      </c>
      <c r="B27" s="2813" t="s">
        <v>460</v>
      </c>
      <c r="C27" s="2814">
        <f ca="1">ROUND(IF('数据-取费表'!B22&lt;=1,(1+C25)*F26*'数据-取费表'!B24,(1+C25)*(POWER((1+F26),'数据-取费表'!B24)-1)),4)</f>
        <v>0.10009999999999999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1816</v>
      </c>
      <c r="B28" s="2813" t="s">
        <v>2793</v>
      </c>
      <c r="C28" s="2815">
        <f ca="1">ROUND(IF('数据-取费表'!B22&lt;=1,(C18+C19+C20+C23+C24)*F26*'数据-取费表'!B24/2,(C18+C19+C20+C23+C24)*(POWER((1+F26),'数据-取费表'!B24/2)-1)),0)</f>
        <v>952</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1821</v>
      </c>
      <c r="B29" s="2806" t="s">
        <v>461</v>
      </c>
      <c r="C29" s="2807">
        <f ca="1">ROUND(C6*F29/(1+'数据-取费表'!C42),0)</f>
        <v>1649</v>
      </c>
      <c r="D29" s="467"/>
      <c r="E29" s="467"/>
      <c r="F29" s="2989">
        <f>'数据-取费表'!B41</f>
        <v>5.6000000000000001E-2</v>
      </c>
      <c r="G29" s="2776" t="s">
        <v>462</v>
      </c>
      <c r="H29" s="2768"/>
      <c r="I29" s="2768"/>
      <c r="J29" s="2768"/>
      <c r="K29" s="2769"/>
    </row>
    <row r="30" spans="1:14" s="2106" customFormat="1" ht="13.5" customHeight="1">
      <c r="A30" s="1620" t="s">
        <v>1822</v>
      </c>
      <c r="B30" s="2817" t="s">
        <v>464</v>
      </c>
      <c r="C30" s="2812">
        <f ca="1">C31</f>
        <v>22652</v>
      </c>
      <c r="D30" s="476">
        <f ca="1">C32</f>
        <v>0.12909999999999999</v>
      </c>
      <c r="E30" s="468" t="s">
        <v>459</v>
      </c>
      <c r="F30" s="470"/>
      <c r="G30" s="2775" t="s">
        <v>2912</v>
      </c>
      <c r="H30" s="2768"/>
      <c r="I30" s="2768"/>
      <c r="J30" s="2768"/>
      <c r="K30" s="2769"/>
    </row>
    <row r="31" spans="1:14" s="2105" customFormat="1" ht="13.5" customHeight="1">
      <c r="A31" s="802" t="s">
        <v>1815</v>
      </c>
      <c r="B31" s="2813"/>
      <c r="C31" s="449">
        <f ca="1">C18+C19+C20+C23+C24+C26+C29</f>
        <v>22652</v>
      </c>
      <c r="D31" s="471"/>
      <c r="E31" s="472"/>
      <c r="F31" s="473"/>
      <c r="G31" s="260"/>
      <c r="H31" s="2770"/>
      <c r="I31" s="2770"/>
      <c r="J31" s="2770"/>
      <c r="K31" s="278"/>
    </row>
    <row r="32" spans="1:14" s="2105" customFormat="1" ht="13.5" customHeight="1">
      <c r="A32" s="802" t="s">
        <v>1816</v>
      </c>
      <c r="B32" s="2813"/>
      <c r="C32" s="52">
        <f ca="1">ROUND(C25+D26,4)</f>
        <v>0.12909999999999999</v>
      </c>
      <c r="D32" s="471"/>
      <c r="E32" s="472"/>
      <c r="F32" s="473"/>
      <c r="G32" s="260"/>
      <c r="H32" s="2770"/>
      <c r="I32" s="2770"/>
      <c r="J32" s="2770"/>
      <c r="K32" s="278"/>
    </row>
    <row r="33" spans="1:11" s="2107" customFormat="1" ht="13.5" customHeight="1">
      <c r="A33" s="2986" t="s">
        <v>2788</v>
      </c>
      <c r="B33" s="2984" t="s">
        <v>2786</v>
      </c>
      <c r="C33" s="477">
        <f ca="1">C35</f>
        <v>4010</v>
      </c>
      <c r="D33" s="466">
        <f ca="1">C34</f>
        <v>0.20580000000000001</v>
      </c>
      <c r="E33" s="468" t="s">
        <v>459</v>
      </c>
      <c r="F33" s="478">
        <f ca="1">IF(B1="",'数据-取费表'!Q16,INDIRECT("'数据-取费表'!q"&amp;$K$1))</f>
        <v>0.2</v>
      </c>
      <c r="G33" s="2771"/>
      <c r="H33" s="2772"/>
      <c r="I33" s="2772"/>
      <c r="J33" s="2772"/>
      <c r="K33" s="2773"/>
    </row>
    <row r="34" spans="1:11" s="2108" customFormat="1" ht="13.5" customHeight="1">
      <c r="A34" s="374" t="s">
        <v>1815</v>
      </c>
      <c r="B34" s="2818" t="s">
        <v>465</v>
      </c>
      <c r="C34" s="471">
        <f ca="1">ROUND((1+C25)*F33,4)</f>
        <v>0.20580000000000001</v>
      </c>
      <c r="D34" s="471"/>
      <c r="E34" s="472"/>
      <c r="F34" s="479"/>
      <c r="G34" s="260" t="s">
        <v>2247</v>
      </c>
      <c r="H34" s="2770"/>
      <c r="I34" s="2770"/>
      <c r="J34" s="2770"/>
      <c r="K34" s="278"/>
    </row>
    <row r="35" spans="1:11" s="2108" customFormat="1" ht="13.5" customHeight="1" thickBot="1">
      <c r="A35" s="1621" t="s">
        <v>1816</v>
      </c>
      <c r="B35" s="2985" t="s">
        <v>2794</v>
      </c>
      <c r="C35" s="1613">
        <f ca="1">ROUND((C18+C19+C20+C23+C24)*F33,0)</f>
        <v>4010</v>
      </c>
      <c r="D35" s="1614"/>
      <c r="E35" s="2819"/>
      <c r="F35" s="1615"/>
      <c r="G35" s="2777"/>
      <c r="H35" s="2778"/>
      <c r="I35" s="2778"/>
      <c r="J35" s="2778"/>
      <c r="K35" s="2779"/>
    </row>
    <row r="36" spans="1:11" s="2070" customFormat="1" ht="13.5" customHeight="1" thickBot="1">
      <c r="A36" s="283" t="s">
        <v>1803</v>
      </c>
      <c r="B36" s="2781"/>
      <c r="C36" s="2820">
        <f ca="1">ROUND((C6-C30-C33)/(1+D30+D33),0)</f>
        <v>3195</v>
      </c>
      <c r="D36" s="2781"/>
      <c r="E36" s="2781"/>
      <c r="F36" s="2781"/>
      <c r="G36" s="2780" t="s">
        <v>2795</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1863</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受贵公司委托，我公司对沧州市黄骅市南大港产业园区出让国有建设用地使用权抵押价格进行了预评估。</v>
      </c>
    </row>
    <row r="5" spans="1:4" ht="18.75">
      <c r="A5" s="1779" t="s">
        <v>1864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56.25">
      <c r="A7" s="1780" t="s">
        <v>2702</v>
      </c>
    </row>
    <row r="8" spans="1:4" ht="18.75">
      <c r="A8" s="1779" t="s">
        <v>1865</v>
      </c>
    </row>
    <row r="9" spans="1:4" ht="56.25">
      <c r="A9" s="1781"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1983</v>
      </c>
    </row>
    <row r="11" spans="1:4" ht="18.75">
      <c r="A11" s="1765" t="str">
        <f>TEXT(项目基本情况!D3,"yyyy年m月d日;;")&amp;IF(项目基本情况!B3=项目基本情况!D3,"（评估专业人员勘察现场之日）","")</f>
        <v>2019年9月16日（评估专业人员勘察现场之日）</v>
      </c>
    </row>
    <row r="12" spans="1:4" ht="18.75">
      <c r="A12" s="1782" t="s">
        <v>1982</v>
      </c>
    </row>
    <row r="13" spans="1:4" ht="18.75">
      <c r="A13" s="1776" t="s">
        <v>2884</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18.75">
      <c r="A21" s="1776" t="s">
        <v>2031</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本次估价对象为出让国有建设用地使用权，《国有土地使用证》证载土地终止日期为商业2058年4月12日。截至估价期日，出让国有建设用地使用权剩余土地使用年限为。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2032</v>
      </c>
    </row>
    <row r="25" spans="1:1" ht="75">
      <c r="A25" s="1776"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F1" sqref="F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682</v>
      </c>
      <c r="B1" s="2587" t="s">
        <v>683</v>
      </c>
      <c r="C1" s="2588" t="s">
        <v>684</v>
      </c>
      <c r="D1" s="2589" t="s">
        <v>3023</v>
      </c>
      <c r="E1" s="2590"/>
      <c r="F1" s="2762" t="s">
        <v>2976</v>
      </c>
      <c r="G1" s="1586" t="s">
        <v>685</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431</v>
      </c>
      <c r="B2" s="2586">
        <f>ROUND(B3*D3/10000,0)</f>
        <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483</v>
      </c>
      <c r="B3" s="850">
        <f>C49</f>
        <v>0</v>
      </c>
      <c r="C3" s="851" t="s">
        <v>686</v>
      </c>
      <c r="D3" s="850">
        <f>SUMIF('数据-汇总表'!$C19:$C33,D1,'数据-汇总表'!$E19:$E33)</f>
        <v>55458.58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485</v>
      </c>
      <c r="B4" s="512"/>
      <c r="C4" s="3397" t="s">
        <v>486</v>
      </c>
      <c r="D4" s="3398"/>
      <c r="E4" s="3432" t="s">
        <v>487</v>
      </c>
      <c r="F4" s="3433"/>
      <c r="G4" s="3397" t="s">
        <v>488</v>
      </c>
      <c r="H4" s="3398"/>
      <c r="I4" s="3397" t="s">
        <v>489</v>
      </c>
      <c r="J4" s="3398"/>
      <c r="K4" s="852" t="s">
        <v>490</v>
      </c>
      <c r="L4" s="2118"/>
      <c r="M4" s="2119"/>
      <c r="N4" s="2119"/>
      <c r="O4" s="2119"/>
      <c r="P4" s="3399" t="s">
        <v>491</v>
      </c>
      <c r="Q4" s="3400"/>
      <c r="R4" s="3405" t="s">
        <v>487</v>
      </c>
      <c r="S4" s="3406"/>
      <c r="T4" s="3405" t="s">
        <v>488</v>
      </c>
      <c r="U4" s="3406"/>
      <c r="V4" s="3392" t="s">
        <v>489</v>
      </c>
      <c r="W4" s="3392"/>
      <c r="X4" s="1553"/>
      <c r="Y4" s="3405" t="s">
        <v>491</v>
      </c>
      <c r="Z4" s="3406"/>
      <c r="AA4" s="3394" t="s">
        <v>487</v>
      </c>
      <c r="AB4" s="3394" t="s">
        <v>488</v>
      </c>
      <c r="AC4" s="3394" t="s">
        <v>489</v>
      </c>
    </row>
    <row r="5" spans="1:29" ht="15">
      <c r="A5" s="514"/>
      <c r="B5" s="515"/>
      <c r="C5" s="3415"/>
      <c r="D5" s="3414"/>
      <c r="E5" s="3489"/>
      <c r="F5" s="3435"/>
      <c r="G5" s="3488"/>
      <c r="H5" s="3414"/>
      <c r="I5" s="3488"/>
      <c r="J5" s="3414"/>
      <c r="K5" s="853"/>
      <c r="L5" s="2118"/>
      <c r="M5" s="2119"/>
      <c r="N5" s="2119"/>
      <c r="O5" s="2119"/>
      <c r="P5" s="3401"/>
      <c r="Q5" s="3402"/>
      <c r="R5" s="3407"/>
      <c r="S5" s="3408"/>
      <c r="T5" s="3407"/>
      <c r="U5" s="3408"/>
      <c r="V5" s="3392"/>
      <c r="W5" s="3392"/>
      <c r="X5" s="1553"/>
      <c r="Y5" s="3407"/>
      <c r="Z5" s="3408"/>
      <c r="AA5" s="3395"/>
      <c r="AB5" s="3395"/>
      <c r="AC5" s="3395"/>
    </row>
    <row r="6" spans="1:29" ht="15.75" thickBot="1">
      <c r="A6" s="516"/>
      <c r="B6" s="517"/>
      <c r="C6" s="3411" t="s">
        <v>2876</v>
      </c>
      <c r="D6" s="3412"/>
      <c r="E6" s="3430" t="s">
        <v>2876</v>
      </c>
      <c r="F6" s="3431"/>
      <c r="G6" s="3411" t="s">
        <v>2876</v>
      </c>
      <c r="H6" s="3412"/>
      <c r="I6" s="3411" t="s">
        <v>2876</v>
      </c>
      <c r="J6" s="3412"/>
      <c r="K6" s="853" t="s">
        <v>492</v>
      </c>
      <c r="L6" s="2118"/>
      <c r="M6" s="2119"/>
      <c r="N6" s="2119"/>
      <c r="O6" s="2119"/>
      <c r="P6" s="3403"/>
      <c r="Q6" s="3404"/>
      <c r="R6" s="3407"/>
      <c r="S6" s="3408"/>
      <c r="T6" s="3409"/>
      <c r="U6" s="3410"/>
      <c r="V6" s="3392"/>
      <c r="W6" s="3392"/>
      <c r="X6" s="1553"/>
      <c r="Y6" s="3409"/>
      <c r="Z6" s="3410"/>
      <c r="AA6" s="3396"/>
      <c r="AB6" s="3396"/>
      <c r="AC6" s="3396"/>
    </row>
    <row r="7" spans="1:29" s="1215" customFormat="1" ht="15.75" thickBot="1">
      <c r="A7" s="2867"/>
      <c r="B7" s="2874" t="s">
        <v>493</v>
      </c>
      <c r="C7" s="518">
        <f>'数据-取费表'!B2</f>
        <v>43724</v>
      </c>
      <c r="D7" s="519">
        <v>100</v>
      </c>
      <c r="E7" s="520">
        <f>C7</f>
        <v>43724</v>
      </c>
      <c r="F7" s="521">
        <f>SUMIF(58:58,YEAR(E7)&amp;"-"&amp;MONTH(E7),59:59)</f>
        <v>100</v>
      </c>
      <c r="G7" s="522">
        <f>C7</f>
        <v>43724</v>
      </c>
      <c r="H7" s="519">
        <f>SUMIF(58:58,YEAR(G7)&amp;"-"&amp;MONTH(G7),59:59)</f>
        <v>100</v>
      </c>
      <c r="I7" s="522">
        <f>C7</f>
        <v>43724</v>
      </c>
      <c r="J7" s="519">
        <f>SUMIF(58:58,YEAR(I7)&amp;"-"&amp;MONTH(I7),59:59)</f>
        <v>100</v>
      </c>
      <c r="K7" s="854"/>
      <c r="L7" s="2120"/>
      <c r="M7" s="2121"/>
      <c r="N7" s="2121"/>
      <c r="O7" s="2121"/>
      <c r="P7" s="3423" t="s">
        <v>494</v>
      </c>
      <c r="Q7" s="3425"/>
      <c r="R7" s="1554" t="s">
        <v>12</v>
      </c>
      <c r="S7" s="1555">
        <f t="shared" ref="S7:S15" si="0">F7</f>
        <v>100</v>
      </c>
      <c r="T7" s="1554" t="s">
        <v>12</v>
      </c>
      <c r="U7" s="1555">
        <f t="shared" ref="U7:U15" si="1">H7</f>
        <v>100</v>
      </c>
      <c r="V7" s="1554" t="s">
        <v>12</v>
      </c>
      <c r="W7" s="1555">
        <f t="shared" ref="W7:W15" si="2">J7</f>
        <v>100</v>
      </c>
      <c r="X7" s="1556"/>
      <c r="Y7" s="3423" t="s">
        <v>494</v>
      </c>
      <c r="Z7" s="3424"/>
      <c r="AA7" s="1557">
        <f>D7/F7</f>
        <v>1</v>
      </c>
      <c r="AB7" s="1557">
        <f>D7/H7</f>
        <v>1</v>
      </c>
      <c r="AC7" s="1557">
        <f>D7/J7</f>
        <v>1</v>
      </c>
    </row>
    <row r="8" spans="1:29" s="1215" customFormat="1" ht="15.75" thickBot="1">
      <c r="A8" s="2868"/>
      <c r="B8" s="2875" t="s">
        <v>495</v>
      </c>
      <c r="C8" s="524" t="s">
        <v>540</v>
      </c>
      <c r="D8" s="519">
        <v>100</v>
      </c>
      <c r="E8" s="855" t="s">
        <v>2995</v>
      </c>
      <c r="F8" s="521">
        <f>SUMIF(61:61,E8,62:62)-SUMIF(61:61,C8,62:62)+100</f>
        <v>100</v>
      </c>
      <c r="G8" s="855" t="s">
        <v>2995</v>
      </c>
      <c r="H8" s="519">
        <f>SUMIF(61:61,G8,62:62)-SUMIF(61:61,C8,62:62)+100</f>
        <v>100</v>
      </c>
      <c r="I8" s="855" t="s">
        <v>2995</v>
      </c>
      <c r="J8" s="519">
        <f>SUMIF(61:61,I8,62:62)-SUMIF(61:61,C8,62:62)+100</f>
        <v>100</v>
      </c>
      <c r="K8" s="854"/>
      <c r="L8" s="2120"/>
      <c r="M8" s="2121"/>
      <c r="N8" s="2121"/>
      <c r="O8" s="2121"/>
      <c r="P8" s="3423" t="s">
        <v>497</v>
      </c>
      <c r="Q8" s="3424"/>
      <c r="R8" s="1554" t="s">
        <v>12</v>
      </c>
      <c r="S8" s="1555">
        <f t="shared" si="0"/>
        <v>100</v>
      </c>
      <c r="T8" s="1554" t="s">
        <v>12</v>
      </c>
      <c r="U8" s="1555">
        <f t="shared" si="1"/>
        <v>100</v>
      </c>
      <c r="V8" s="1554" t="s">
        <v>12</v>
      </c>
      <c r="W8" s="1555">
        <f t="shared" si="2"/>
        <v>100</v>
      </c>
      <c r="X8" s="1556"/>
      <c r="Y8" s="3423" t="s">
        <v>497</v>
      </c>
      <c r="Z8" s="3424"/>
      <c r="AA8" s="1557">
        <f t="shared" ref="AA8:AA46" si="3">D8/F8</f>
        <v>1</v>
      </c>
      <c r="AB8" s="1557">
        <f t="shared" ref="AB8:AB46" si="4">D8/H8</f>
        <v>1</v>
      </c>
      <c r="AC8" s="1557">
        <f t="shared" ref="AC8:AC46" si="5">D8/J8</f>
        <v>1</v>
      </c>
    </row>
    <row r="9" spans="1:29" s="1215" customFormat="1" ht="15">
      <c r="A9" s="2869"/>
      <c r="B9" s="2876" t="s">
        <v>2711</v>
      </c>
      <c r="C9" s="3189" t="s">
        <v>2992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91" t="s">
        <v>499</v>
      </c>
      <c r="Q9" s="1146" t="str">
        <f t="shared" ref="Q9:Q15" si="6">B9</f>
        <v>用途</v>
      </c>
      <c r="R9" s="1554" t="s">
        <v>8</v>
      </c>
      <c r="S9" s="1555">
        <f t="shared" si="0"/>
        <v>100</v>
      </c>
      <c r="T9" s="1554" t="s">
        <v>8</v>
      </c>
      <c r="U9" s="1555">
        <f t="shared" si="1"/>
        <v>100</v>
      </c>
      <c r="V9" s="1554" t="s">
        <v>8</v>
      </c>
      <c r="W9" s="1555">
        <f t="shared" si="2"/>
        <v>100</v>
      </c>
      <c r="X9" s="1556"/>
      <c r="Y9" s="3337" t="s">
        <v>500</v>
      </c>
      <c r="Z9" s="1145" t="str">
        <f t="shared" ref="Z9:Z15" si="7">Q9</f>
        <v>用途</v>
      </c>
      <c r="AA9" s="1557">
        <f t="shared" si="3"/>
        <v>1</v>
      </c>
      <c r="AB9" s="1557">
        <f t="shared" si="4"/>
        <v>1</v>
      </c>
      <c r="AC9" s="1557">
        <f t="shared" si="5"/>
        <v>1</v>
      </c>
    </row>
    <row r="10" spans="1:29" s="1333" customFormat="1" ht="27">
      <c r="A10" s="2870"/>
      <c r="B10" s="2875" t="s">
        <v>2712</v>
      </c>
      <c r="C10" s="860" t="s">
        <v>2993</v>
      </c>
      <c r="D10" s="254">
        <v>100</v>
      </c>
      <c r="E10" s="861" t="s">
        <v>2993</v>
      </c>
      <c r="F10" s="862">
        <f>SUMIF(65:65,E10,66:66)-SUMIF(65:65,C10,66:66)+100</f>
        <v>100</v>
      </c>
      <c r="G10" s="861" t="s">
        <v>2993</v>
      </c>
      <c r="H10" s="254">
        <f>SUMIF(65:65,G10,66:66)-SUMIF(65:65,C10,66:66)+100</f>
        <v>100</v>
      </c>
      <c r="I10" s="861" t="s">
        <v>2993</v>
      </c>
      <c r="J10" s="254">
        <f>SUMIF(65:65,I10,66:66)-SUMIF(65:65,C10,66:66)+100</f>
        <v>100</v>
      </c>
      <c r="K10" s="863">
        <v>1</v>
      </c>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2713</v>
      </c>
      <c r="C11" s="532">
        <f>'数据-汇总表'!I4</f>
        <v>2</v>
      </c>
      <c r="D11" s="254">
        <v>100</v>
      </c>
      <c r="E11" s="533"/>
      <c r="F11" s="862">
        <f>LOOKUP(E11,68:68,69:69)-LOOKUP(C11,68:68,69:69)+100</f>
        <v>102</v>
      </c>
      <c r="G11" s="532"/>
      <c r="H11" s="254">
        <f>LOOKUP(G11,68:68,69:69)-LOOKUP(C11,68:68,69:69)+100</f>
        <v>102</v>
      </c>
      <c r="I11" s="532"/>
      <c r="J11" s="254">
        <f>LOOKUP(I11,68:68,69:69)-LOOKUP(C11,68:68,69:69)+100</f>
        <v>102</v>
      </c>
      <c r="K11" s="863">
        <v>1</v>
      </c>
      <c r="L11" s="2125"/>
      <c r="M11" s="2119"/>
      <c r="N11" s="2119"/>
      <c r="O11" s="2126"/>
      <c r="P11" s="3391"/>
      <c r="Q11" s="1146" t="str">
        <f t="shared" si="6"/>
        <v>容积率</v>
      </c>
      <c r="R11" s="1554" t="s">
        <v>11</v>
      </c>
      <c r="S11" s="1555">
        <f t="shared" si="0"/>
        <v>102</v>
      </c>
      <c r="T11" s="1554" t="s">
        <v>11</v>
      </c>
      <c r="U11" s="1555">
        <f t="shared" si="1"/>
        <v>102</v>
      </c>
      <c r="V11" s="1554" t="s">
        <v>11</v>
      </c>
      <c r="W11" s="1555">
        <f t="shared" si="2"/>
        <v>102</v>
      </c>
      <c r="X11" s="1556"/>
      <c r="Y11" s="3337"/>
      <c r="Z11" s="1145" t="str">
        <f t="shared" si="7"/>
        <v>容积率</v>
      </c>
      <c r="AA11" s="1557">
        <f t="shared" si="3"/>
        <v>0.98039215686274506</v>
      </c>
      <c r="AB11" s="1557">
        <f t="shared" si="4"/>
        <v>0.98039215686274506</v>
      </c>
      <c r="AC11" s="1557">
        <f t="shared" si="5"/>
        <v>0.98039215686274506</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91"/>
      <c r="Q12" s="1146">
        <f t="shared" si="6"/>
        <v>0</v>
      </c>
      <c r="R12" s="1554" t="s">
        <v>11</v>
      </c>
      <c r="S12" s="1555">
        <f t="shared" si="0"/>
        <v>100</v>
      </c>
      <c r="T12" s="1554" t="s">
        <v>11</v>
      </c>
      <c r="U12" s="1555">
        <f t="shared" si="1"/>
        <v>100</v>
      </c>
      <c r="V12" s="1554" t="s">
        <v>11</v>
      </c>
      <c r="W12" s="1555">
        <f t="shared" si="2"/>
        <v>100</v>
      </c>
      <c r="X12" s="1556"/>
      <c r="Y12" s="3337"/>
      <c r="Z12" s="1145">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91"/>
      <c r="Q13" s="1146">
        <f t="shared" si="6"/>
        <v>0</v>
      </c>
      <c r="R13" s="1554" t="s">
        <v>11</v>
      </c>
      <c r="S13" s="1555">
        <f t="shared" si="0"/>
        <v>100</v>
      </c>
      <c r="T13" s="1554" t="s">
        <v>11</v>
      </c>
      <c r="U13" s="1555">
        <f t="shared" si="1"/>
        <v>100</v>
      </c>
      <c r="V13" s="1554" t="s">
        <v>11</v>
      </c>
      <c r="W13" s="1555">
        <f t="shared" si="2"/>
        <v>100</v>
      </c>
      <c r="X13" s="1556"/>
      <c r="Y13" s="3337"/>
      <c r="Z13" s="1145">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91"/>
      <c r="Q14" s="1146">
        <f t="shared" si="6"/>
        <v>0</v>
      </c>
      <c r="R14" s="1554" t="s">
        <v>11</v>
      </c>
      <c r="S14" s="1555">
        <f t="shared" si="0"/>
        <v>100</v>
      </c>
      <c r="T14" s="1554" t="s">
        <v>11</v>
      </c>
      <c r="U14" s="1555">
        <f t="shared" si="1"/>
        <v>100</v>
      </c>
      <c r="V14" s="1554" t="s">
        <v>11</v>
      </c>
      <c r="W14" s="1555">
        <f t="shared" si="2"/>
        <v>100</v>
      </c>
      <c r="X14" s="1556"/>
      <c r="Y14" s="3337"/>
      <c r="Z14" s="1145">
        <f t="shared" si="7"/>
        <v>0</v>
      </c>
      <c r="AA14" s="1557">
        <f t="shared" si="3"/>
        <v>1</v>
      </c>
      <c r="AB14" s="1557">
        <f t="shared" si="4"/>
        <v>1</v>
      </c>
      <c r="AC14" s="1557">
        <f t="shared" si="5"/>
        <v>1</v>
      </c>
    </row>
    <row r="15" spans="1:29" ht="114">
      <c r="A15" s="2865" t="s">
        <v>2709</v>
      </c>
      <c r="B15" s="165" t="s">
        <v>260</v>
      </c>
      <c r="C15" s="866" t="str">
        <f>估价对象房地状况!C3</f>
        <v>估价对象位于南大港产业园，周边居住用地比例一般、居住小区规模和社区发展完善程度一般，综合评价居住社区成熟度一般</v>
      </c>
      <c r="D15" s="548">
        <v>100</v>
      </c>
      <c r="E15" s="3193" t="s">
        <v>2998</v>
      </c>
      <c r="F15" s="550">
        <f>SUMIF(76:76,E16,77:77)-SUMIF(76:76,C16,77:77)+100</f>
        <v>100</v>
      </c>
      <c r="G15" s="551" t="s">
        <v>2997</v>
      </c>
      <c r="H15" s="548">
        <f>SUMIF(76:76,G16,77:77)-SUMIF(76:76,C16,77:77)+100</f>
        <v>100</v>
      </c>
      <c r="I15" s="551" t="s">
        <v>2997</v>
      </c>
      <c r="J15" s="548">
        <f>SUMIF(76:76,I16,77:77)-SUMIF(76:76,C16,77:77)+100</f>
        <v>100</v>
      </c>
      <c r="K15" s="867">
        <v>2</v>
      </c>
      <c r="L15" s="2127"/>
      <c r="M15" s="2119"/>
      <c r="N15" s="2119"/>
      <c r="O15" s="2126"/>
      <c r="P15" s="3426" t="s">
        <v>504</v>
      </c>
      <c r="Q15" s="1558" t="str">
        <f t="shared" si="6"/>
        <v>居住社区成熟度</v>
      </c>
      <c r="R15" s="1559" t="s">
        <v>11</v>
      </c>
      <c r="S15" s="1560">
        <f t="shared" si="0"/>
        <v>100</v>
      </c>
      <c r="T15" s="1559" t="s">
        <v>11</v>
      </c>
      <c r="U15" s="1560">
        <f t="shared" si="1"/>
        <v>100</v>
      </c>
      <c r="V15" s="1559" t="s">
        <v>11</v>
      </c>
      <c r="W15" s="1560">
        <f t="shared" si="2"/>
        <v>100</v>
      </c>
      <c r="X15" s="1553"/>
      <c r="Y15" s="3426" t="s">
        <v>504</v>
      </c>
      <c r="Z15" s="1561" t="str">
        <f t="shared" si="7"/>
        <v>居住社区成熟度</v>
      </c>
      <c r="AA15" s="1562">
        <f t="shared" si="3"/>
        <v>1</v>
      </c>
      <c r="AB15" s="1562">
        <f t="shared" si="4"/>
        <v>1</v>
      </c>
      <c r="AC15" s="1562">
        <f t="shared" si="5"/>
        <v>1</v>
      </c>
    </row>
    <row r="16" spans="1:29" ht="15">
      <c r="A16" s="531"/>
      <c r="B16" s="868"/>
      <c r="C16" s="575" t="s">
        <v>2982</v>
      </c>
      <c r="D16" s="554"/>
      <c r="E16" s="555" t="s">
        <v>2982</v>
      </c>
      <c r="F16" s="556"/>
      <c r="G16" s="557" t="s">
        <v>2982</v>
      </c>
      <c r="H16" s="558"/>
      <c r="I16" s="557" t="s">
        <v>2982</v>
      </c>
      <c r="J16" s="554"/>
      <c r="K16" s="869"/>
      <c r="L16" s="2127"/>
      <c r="M16" s="2119"/>
      <c r="N16" s="2119"/>
      <c r="O16" s="2126"/>
      <c r="P16" s="3427"/>
      <c r="Q16" s="1558"/>
      <c r="R16" s="1559"/>
      <c r="S16" s="1560"/>
      <c r="T16" s="1559"/>
      <c r="U16" s="1560"/>
      <c r="V16" s="1559"/>
      <c r="W16" s="1560"/>
      <c r="X16" s="1553"/>
      <c r="Y16" s="3427"/>
      <c r="Z16" s="1561"/>
      <c r="AA16" s="1562">
        <v>1</v>
      </c>
      <c r="AB16" s="1562">
        <v>1</v>
      </c>
      <c r="AC16" s="1562">
        <v>1</v>
      </c>
    </row>
    <row r="17" spans="1:29" ht="99.75">
      <c r="A17" s="531"/>
      <c r="B17" s="870" t="s">
        <v>261</v>
      </c>
      <c r="C17" s="871" t="str">
        <f>估价对象房地状况!C6</f>
        <v>估价对象周边道路状况一般、公共交通通达情况一般、停车便捷程度较好，综合评价交通便捷度一般</v>
      </c>
      <c r="D17" s="558">
        <v>100</v>
      </c>
      <c r="E17" s="3188" t="s">
        <v>3000</v>
      </c>
      <c r="F17" s="562">
        <f>SUMIF(78:78,E18,79:79)-SUMIF(78:78,C18,79:79)+100</f>
        <v>100</v>
      </c>
      <c r="G17" s="563" t="s">
        <v>2999</v>
      </c>
      <c r="H17" s="564">
        <f>SUMIF(78:78,G18,79:79)-SUMIF(78:78,C18,79:79)+100</f>
        <v>100</v>
      </c>
      <c r="I17" s="563" t="s">
        <v>2999</v>
      </c>
      <c r="J17" s="564">
        <f>SUMIF(78:78,I18,79:79)-SUMIF(78:78,C18,79:79)+100</f>
        <v>100</v>
      </c>
      <c r="K17" s="867">
        <v>1</v>
      </c>
      <c r="L17" s="2127"/>
      <c r="M17" s="2119"/>
      <c r="N17" s="2119"/>
      <c r="O17" s="2126"/>
      <c r="P17" s="3427"/>
      <c r="Q17" s="1558" t="str">
        <f>B17</f>
        <v>交通便捷度</v>
      </c>
      <c r="R17" s="1559" t="s">
        <v>11</v>
      </c>
      <c r="S17" s="1560">
        <f>F17</f>
        <v>100</v>
      </c>
      <c r="T17" s="1559" t="s">
        <v>11</v>
      </c>
      <c r="U17" s="1560">
        <f>H17</f>
        <v>100</v>
      </c>
      <c r="V17" s="1559" t="s">
        <v>11</v>
      </c>
      <c r="W17" s="1560">
        <f>J17</f>
        <v>100</v>
      </c>
      <c r="X17" s="1553"/>
      <c r="Y17" s="3427"/>
      <c r="Z17" s="1561" t="str">
        <f>Q17</f>
        <v>交通便捷度</v>
      </c>
      <c r="AA17" s="1562">
        <f t="shared" si="3"/>
        <v>1</v>
      </c>
      <c r="AB17" s="1562">
        <f t="shared" si="4"/>
        <v>1</v>
      </c>
      <c r="AC17" s="1562">
        <f t="shared" si="5"/>
        <v>1</v>
      </c>
    </row>
    <row r="18" spans="1:29" ht="15">
      <c r="A18" s="531"/>
      <c r="B18" s="594"/>
      <c r="C18" s="872" t="s">
        <v>2982</v>
      </c>
      <c r="D18" s="558"/>
      <c r="E18" s="567" t="s">
        <v>2982</v>
      </c>
      <c r="F18" s="562"/>
      <c r="G18" s="568" t="s">
        <v>2982</v>
      </c>
      <c r="H18" s="554"/>
      <c r="I18" s="568" t="s">
        <v>2982</v>
      </c>
      <c r="J18" s="554"/>
      <c r="K18" s="869"/>
      <c r="L18" s="2127"/>
      <c r="M18" s="2119"/>
      <c r="N18" s="2119"/>
      <c r="O18" s="2126"/>
      <c r="P18" s="3427"/>
      <c r="Q18" s="1558"/>
      <c r="R18" s="1559"/>
      <c r="S18" s="1560"/>
      <c r="T18" s="1559"/>
      <c r="U18" s="1560"/>
      <c r="V18" s="1559"/>
      <c r="W18" s="1560"/>
      <c r="X18" s="1553"/>
      <c r="Y18" s="3427"/>
      <c r="Z18" s="1561"/>
      <c r="AA18" s="1562">
        <v>1</v>
      </c>
      <c r="AB18" s="1562">
        <v>1</v>
      </c>
      <c r="AC18" s="1562">
        <v>1</v>
      </c>
    </row>
    <row r="19" spans="1:29" ht="42.75">
      <c r="A19" s="531"/>
      <c r="B19" s="2564" t="s">
        <v>2501</v>
      </c>
      <c r="C19" s="871" t="str">
        <f>估价对象房地状况!C7</f>
        <v>估价对象所在区域公共配套设施齐备情况一般</v>
      </c>
      <c r="D19" s="564">
        <v>100</v>
      </c>
      <c r="E19" s="3194" t="s">
        <v>3002</v>
      </c>
      <c r="F19" s="570">
        <f>SUMIF(80:80,E20,81:81)-SUMIF(80:80,C20,81:81)+100</f>
        <v>100</v>
      </c>
      <c r="G19" s="571" t="s">
        <v>3001</v>
      </c>
      <c r="H19" s="558">
        <f>SUMIF(80:80,G20,81:81)-SUMIF(80:80,C20,81:81)+100</f>
        <v>100</v>
      </c>
      <c r="I19" s="571" t="s">
        <v>3001</v>
      </c>
      <c r="J19" s="558">
        <f>SUMIF(80:80,I20,81:81)-SUMIF(80:80,C20,81:81)+100</f>
        <v>100</v>
      </c>
      <c r="K19" s="867">
        <v>1</v>
      </c>
      <c r="L19" s="2127"/>
      <c r="M19" s="2119"/>
      <c r="N19" s="2119"/>
      <c r="O19" s="2126"/>
      <c r="P19" s="3427"/>
      <c r="Q19" s="1558" t="str">
        <f>B19</f>
        <v>公共配套设施</v>
      </c>
      <c r="R19" s="1559" t="s">
        <v>11</v>
      </c>
      <c r="S19" s="1560">
        <f>F19</f>
        <v>100</v>
      </c>
      <c r="T19" s="1559" t="s">
        <v>11</v>
      </c>
      <c r="U19" s="1560">
        <f>H19</f>
        <v>100</v>
      </c>
      <c r="V19" s="1559" t="s">
        <v>11</v>
      </c>
      <c r="W19" s="1560">
        <f>J19</f>
        <v>100</v>
      </c>
      <c r="X19" s="1553"/>
      <c r="Y19" s="3427"/>
      <c r="Z19" s="1561" t="str">
        <f>Q19</f>
        <v>公共配套设施</v>
      </c>
      <c r="AA19" s="1562">
        <f t="shared" si="3"/>
        <v>1</v>
      </c>
      <c r="AB19" s="1562">
        <f t="shared" si="4"/>
        <v>1</v>
      </c>
      <c r="AC19" s="1562">
        <f t="shared" si="5"/>
        <v>1</v>
      </c>
    </row>
    <row r="20" spans="1:29" ht="15">
      <c r="A20" s="531"/>
      <c r="B20" s="594"/>
      <c r="C20" s="575" t="s">
        <v>2982</v>
      </c>
      <c r="D20" s="554"/>
      <c r="E20" s="555" t="s">
        <v>2982</v>
      </c>
      <c r="F20" s="556"/>
      <c r="G20" s="557" t="s">
        <v>2982</v>
      </c>
      <c r="H20" s="554"/>
      <c r="I20" s="557" t="s">
        <v>2982</v>
      </c>
      <c r="J20" s="554"/>
      <c r="K20" s="869"/>
      <c r="L20" s="2127"/>
      <c r="M20" s="2119"/>
      <c r="N20" s="2119"/>
      <c r="O20" s="2126"/>
      <c r="P20" s="3427"/>
      <c r="Q20" s="1558"/>
      <c r="R20" s="1559"/>
      <c r="S20" s="1560"/>
      <c r="T20" s="1559"/>
      <c r="U20" s="1560"/>
      <c r="V20" s="1559"/>
      <c r="W20" s="1560"/>
      <c r="X20" s="1553"/>
      <c r="Y20" s="3427"/>
      <c r="Z20" s="1561"/>
      <c r="AA20" s="1562">
        <v>1</v>
      </c>
      <c r="AB20" s="1562">
        <v>1</v>
      </c>
      <c r="AC20" s="1562">
        <v>1</v>
      </c>
    </row>
    <row r="21" spans="1:29" ht="42.75">
      <c r="A21" s="531"/>
      <c r="B21" s="2557" t="s">
        <v>2513</v>
      </c>
      <c r="C21" s="871" t="str">
        <f>估价对象房地状况!C8</f>
        <v>估价对象所在区域基础设施水平一般</v>
      </c>
      <c r="D21" s="564">
        <v>100</v>
      </c>
      <c r="E21" s="571" t="s">
        <v>2990</v>
      </c>
      <c r="F21" s="570">
        <f>SUMIF(82:82,E22,83:83)-SUMIF(82:82,C22,83:83)+100</f>
        <v>100</v>
      </c>
      <c r="G21" s="571" t="s">
        <v>2990</v>
      </c>
      <c r="H21" s="564">
        <f>SUMIF(82:82,G22,83:83)-SUMIF(82:82,C22,83:83)+100</f>
        <v>100</v>
      </c>
      <c r="I21" s="571" t="s">
        <v>2990</v>
      </c>
      <c r="J21" s="564">
        <f>SUMIF(82:82,I22,83:83)-SUMIF(82:82,C22,83:83)+100</f>
        <v>100</v>
      </c>
      <c r="K21" s="867">
        <v>1</v>
      </c>
      <c r="L21" s="2127"/>
      <c r="M21" s="2119"/>
      <c r="N21" s="2119"/>
      <c r="O21" s="2126"/>
      <c r="P21" s="3427"/>
      <c r="Q21" s="2543" t="str">
        <f>B21</f>
        <v>基础设施水平</v>
      </c>
      <c r="R21" s="1559" t="s">
        <v>11</v>
      </c>
      <c r="S21" s="1560">
        <f>F21</f>
        <v>100</v>
      </c>
      <c r="T21" s="1559" t="s">
        <v>11</v>
      </c>
      <c r="U21" s="1560">
        <f>H21</f>
        <v>100</v>
      </c>
      <c r="V21" s="1559" t="s">
        <v>11</v>
      </c>
      <c r="W21" s="1560">
        <f>J21</f>
        <v>100</v>
      </c>
      <c r="X21" s="2545"/>
      <c r="Y21" s="3427"/>
      <c r="Z21" s="2544" t="str">
        <f>Q21</f>
        <v>基础设施水平</v>
      </c>
      <c r="AA21" s="1562">
        <f t="shared" ref="AA21" si="8">D21/F21</f>
        <v>1</v>
      </c>
      <c r="AB21" s="1562">
        <f t="shared" ref="AB21" si="9">D21/H21</f>
        <v>1</v>
      </c>
      <c r="AC21" s="1562">
        <f t="shared" ref="AC21" si="10">D21/J21</f>
        <v>1</v>
      </c>
    </row>
    <row r="22" spans="1:29" ht="15">
      <c r="A22" s="531"/>
      <c r="B22" s="921"/>
      <c r="C22" s="872" t="s">
        <v>2974</v>
      </c>
      <c r="D22" s="554"/>
      <c r="E22" s="575" t="s">
        <v>2974</v>
      </c>
      <c r="F22" s="556"/>
      <c r="G22" s="575" t="s">
        <v>2974</v>
      </c>
      <c r="H22" s="554"/>
      <c r="I22" s="575" t="s">
        <v>2974</v>
      </c>
      <c r="J22" s="554"/>
      <c r="K22" s="2563"/>
      <c r="L22" s="2127"/>
      <c r="M22" s="2119"/>
      <c r="N22" s="2119"/>
      <c r="O22" s="2126"/>
      <c r="P22" s="3427"/>
      <c r="Q22" s="2543"/>
      <c r="R22" s="1559"/>
      <c r="S22" s="1560"/>
      <c r="T22" s="1559"/>
      <c r="U22" s="1560"/>
      <c r="V22" s="1559"/>
      <c r="W22" s="1560"/>
      <c r="X22" s="2545"/>
      <c r="Y22" s="3427"/>
      <c r="Z22" s="2544"/>
      <c r="AA22" s="1562">
        <v>1</v>
      </c>
      <c r="AB22" s="1562">
        <v>1</v>
      </c>
      <c r="AC22" s="1562">
        <v>1</v>
      </c>
    </row>
    <row r="23" spans="1:29" ht="71.25">
      <c r="A23" s="531"/>
      <c r="B23" s="870" t="s">
        <v>262</v>
      </c>
      <c r="C23" s="871" t="str">
        <f>估价对象房地状况!C9</f>
        <v>区域自然环境：好；人文环境：一般；综合评价环境状况好</v>
      </c>
      <c r="D23" s="558">
        <v>100</v>
      </c>
      <c r="E23" s="3188" t="s">
        <v>3004</v>
      </c>
      <c r="F23" s="562">
        <f>SUMIF(84:84,E24,85:85)-SUMIF(84:84,C24,85:85)+100</f>
        <v>100</v>
      </c>
      <c r="G23" s="563" t="s">
        <v>3003</v>
      </c>
      <c r="H23" s="558">
        <f>SUMIF(84:84,G24,85:85)-SUMIF(84:84,C24,85:85)+100</f>
        <v>100</v>
      </c>
      <c r="I23" s="563" t="s">
        <v>3003</v>
      </c>
      <c r="J23" s="558">
        <f>SUMIF(84:84,I24,85:85)-SUMIF(84:84,C24,85:85)+100</f>
        <v>100</v>
      </c>
      <c r="K23" s="867">
        <v>1</v>
      </c>
      <c r="L23" s="2127"/>
      <c r="M23" s="2119"/>
      <c r="N23" s="2119"/>
      <c r="O23" s="2126"/>
      <c r="P23" s="3427"/>
      <c r="Q23" s="1558" t="str">
        <f>B23</f>
        <v>自然及人文环境</v>
      </c>
      <c r="R23" s="1559" t="s">
        <v>11</v>
      </c>
      <c r="S23" s="1560">
        <f>F23</f>
        <v>100</v>
      </c>
      <c r="T23" s="1559" t="s">
        <v>11</v>
      </c>
      <c r="U23" s="1560">
        <f>H23</f>
        <v>100</v>
      </c>
      <c r="V23" s="1559" t="s">
        <v>11</v>
      </c>
      <c r="W23" s="1560">
        <f>J23</f>
        <v>100</v>
      </c>
      <c r="X23" s="1553"/>
      <c r="Y23" s="3427"/>
      <c r="Z23" s="1561" t="str">
        <f>Q23</f>
        <v>自然及人文环境</v>
      </c>
      <c r="AA23" s="1562">
        <f t="shared" si="3"/>
        <v>1</v>
      </c>
      <c r="AB23" s="1562">
        <f t="shared" si="4"/>
        <v>1</v>
      </c>
      <c r="AC23" s="1562">
        <f t="shared" si="5"/>
        <v>1</v>
      </c>
    </row>
    <row r="24" spans="1:29" ht="15">
      <c r="A24" s="531"/>
      <c r="B24" s="594"/>
      <c r="C24" s="575" t="s">
        <v>2982</v>
      </c>
      <c r="D24" s="554"/>
      <c r="E24" s="555" t="s">
        <v>2982</v>
      </c>
      <c r="F24" s="556"/>
      <c r="G24" s="557" t="s">
        <v>2982</v>
      </c>
      <c r="H24" s="554"/>
      <c r="I24" s="557" t="s">
        <v>2982</v>
      </c>
      <c r="J24" s="554"/>
      <c r="K24" s="869"/>
      <c r="L24" s="2127"/>
      <c r="M24" s="2119"/>
      <c r="N24" s="2119"/>
      <c r="O24" s="2126"/>
      <c r="P24" s="3427"/>
      <c r="Q24" s="1558"/>
      <c r="R24" s="1559"/>
      <c r="S24" s="1560"/>
      <c r="T24" s="1559"/>
      <c r="U24" s="1560"/>
      <c r="V24" s="1559"/>
      <c r="W24" s="1560"/>
      <c r="X24" s="1553"/>
      <c r="Y24" s="3427"/>
      <c r="Z24" s="1561"/>
      <c r="AA24" s="1562">
        <v>1</v>
      </c>
      <c r="AB24" s="1562">
        <v>1</v>
      </c>
      <c r="AC24" s="1562">
        <v>1</v>
      </c>
    </row>
    <row r="25" spans="1:29" ht="15">
      <c r="A25" s="531"/>
      <c r="B25" s="1880" t="s">
        <v>2213</v>
      </c>
      <c r="C25" s="573" t="s">
        <v>2957</v>
      </c>
      <c r="D25" s="539">
        <v>100</v>
      </c>
      <c r="E25" s="873" t="s">
        <v>2957</v>
      </c>
      <c r="F25" s="574">
        <f>SUMIF(86:86,E25,87:87)-SUMIF(86:86,C25,87:87)+100</f>
        <v>100</v>
      </c>
      <c r="G25" s="598" t="s">
        <v>2957</v>
      </c>
      <c r="H25" s="539">
        <f>SUMIF(86:86,G25,87:87)-SUMIF(86:86,C25,87:87)+100</f>
        <v>100</v>
      </c>
      <c r="I25" s="598" t="s">
        <v>2957</v>
      </c>
      <c r="J25" s="539">
        <f>SUMIF(86:86,I25,87:87)-SUMIF(86:86,C25,87:87)+100</f>
        <v>100</v>
      </c>
      <c r="K25" s="863">
        <v>1</v>
      </c>
      <c r="L25" s="2127"/>
      <c r="M25" s="2119"/>
      <c r="N25" s="2119"/>
      <c r="O25" s="2126"/>
      <c r="P25" s="3427"/>
      <c r="Q25" s="1558" t="str">
        <f t="shared" ref="Q25:Q46" si="11">B25</f>
        <v>楼层-1</v>
      </c>
      <c r="R25" s="1559" t="s">
        <v>11</v>
      </c>
      <c r="S25" s="1560">
        <f>F25</f>
        <v>100</v>
      </c>
      <c r="T25" s="1559" t="s">
        <v>11</v>
      </c>
      <c r="U25" s="1560">
        <f>H25</f>
        <v>100</v>
      </c>
      <c r="V25" s="1559" t="s">
        <v>11</v>
      </c>
      <c r="W25" s="1560">
        <f>J25</f>
        <v>100</v>
      </c>
      <c r="X25" s="1553"/>
      <c r="Y25" s="3427"/>
      <c r="Z25" s="1561" t="str">
        <f>Q25</f>
        <v>楼层-1</v>
      </c>
      <c r="AA25" s="1562">
        <f t="shared" si="3"/>
        <v>1</v>
      </c>
      <c r="AB25" s="1562">
        <f t="shared" si="4"/>
        <v>1</v>
      </c>
      <c r="AC25" s="1562">
        <f t="shared" si="5"/>
        <v>1</v>
      </c>
    </row>
    <row r="26" spans="1:29" ht="15">
      <c r="A26" s="531"/>
      <c r="B26" s="526" t="s">
        <v>687</v>
      </c>
      <c r="C26" s="573" t="s">
        <v>2957</v>
      </c>
      <c r="D26" s="539">
        <v>100</v>
      </c>
      <c r="E26" s="873" t="s">
        <v>2957</v>
      </c>
      <c r="F26" s="574">
        <f>SUMIF(88:88,E26,89:89)-SUMIF(88:88,C26,89:89)+100</f>
        <v>100</v>
      </c>
      <c r="G26" s="598" t="s">
        <v>2957</v>
      </c>
      <c r="H26" s="539">
        <f>SUMIF(88:88,G26,89:89)-SUMIF(88:88,C26,89:89)+100</f>
        <v>100</v>
      </c>
      <c r="I26" s="598" t="s">
        <v>2957</v>
      </c>
      <c r="J26" s="539">
        <f>SUMIF(88:88,I26,89:89)-SUMIF(88:88,C26,89:89)+100</f>
        <v>100</v>
      </c>
      <c r="K26" s="863">
        <v>1</v>
      </c>
      <c r="L26" s="2127"/>
      <c r="M26" s="2119"/>
      <c r="N26" s="2119"/>
      <c r="O26" s="2126"/>
      <c r="P26" s="3427"/>
      <c r="Q26" s="1558" t="str">
        <f t="shared" si="11"/>
        <v>朝向</v>
      </c>
      <c r="R26" s="1559" t="s">
        <v>11</v>
      </c>
      <c r="S26" s="1560">
        <f>F26</f>
        <v>100</v>
      </c>
      <c r="T26" s="1559" t="s">
        <v>11</v>
      </c>
      <c r="U26" s="1560">
        <f>H26</f>
        <v>100</v>
      </c>
      <c r="V26" s="1559" t="s">
        <v>11</v>
      </c>
      <c r="W26" s="1560">
        <f>J26</f>
        <v>100</v>
      </c>
      <c r="X26" s="1553"/>
      <c r="Y26" s="3427"/>
      <c r="Z26" s="1561" t="str">
        <f>Q26</f>
        <v>朝向</v>
      </c>
      <c r="AA26" s="1562">
        <f t="shared" si="3"/>
        <v>1</v>
      </c>
      <c r="AB26" s="1562">
        <f t="shared" si="4"/>
        <v>1</v>
      </c>
      <c r="AC26" s="1562">
        <f t="shared" si="5"/>
        <v>1</v>
      </c>
    </row>
    <row r="27" spans="1:29" s="1215" customFormat="1" ht="15">
      <c r="A27" s="535"/>
      <c r="B27" s="536"/>
      <c r="C27" s="3190"/>
      <c r="D27" s="874">
        <v>100</v>
      </c>
      <c r="E27" s="3191"/>
      <c r="F27" s="875">
        <f>SUMIF(90:90,E27,91:91)-SUMIF(90:90,C27,91:91)+100</f>
        <v>100</v>
      </c>
      <c r="G27" s="3191"/>
      <c r="H27" s="874">
        <f>SUMIF(90:90,G27,91:91)-SUMIF(90:90,C27,91:91)+100</f>
        <v>100</v>
      </c>
      <c r="I27" s="3191"/>
      <c r="J27" s="874">
        <f>SUMIF(90:90,I27,91:91)-SUMIF(90:90,C27,91:91)+100</f>
        <v>100</v>
      </c>
      <c r="K27" s="864"/>
      <c r="L27" s="2120"/>
      <c r="M27" s="2121"/>
      <c r="N27" s="2121"/>
      <c r="O27" s="2122"/>
      <c r="P27" s="3427"/>
      <c r="Q27" s="1146">
        <f t="shared" si="11"/>
        <v>0</v>
      </c>
      <c r="R27" s="1554" t="s">
        <v>11</v>
      </c>
      <c r="S27" s="1555">
        <f>F27</f>
        <v>100</v>
      </c>
      <c r="T27" s="1554" t="s">
        <v>11</v>
      </c>
      <c r="U27" s="1555">
        <f>H27</f>
        <v>100</v>
      </c>
      <c r="V27" s="1554" t="s">
        <v>11</v>
      </c>
      <c r="W27" s="1555">
        <f>J27</f>
        <v>100</v>
      </c>
      <c r="X27" s="1556"/>
      <c r="Y27" s="3427"/>
      <c r="Z27" s="1145">
        <f>Q27</f>
        <v>0</v>
      </c>
      <c r="AA27" s="1562">
        <f>D27/F27</f>
        <v>1</v>
      </c>
      <c r="AB27" s="1562">
        <f>D27/H27</f>
        <v>1</v>
      </c>
      <c r="AC27" s="1562">
        <f>D27/J27</f>
        <v>1</v>
      </c>
    </row>
    <row r="28" spans="1:29" ht="15">
      <c r="A28" s="531"/>
      <c r="B28" s="876"/>
      <c r="C28" s="3192"/>
      <c r="D28" s="539">
        <v>100</v>
      </c>
      <c r="E28" s="3192"/>
      <c r="F28" s="574">
        <f>SUMIF(92:92,E28,93:93)-SUMIF(92:92,C28,93:93)+100</f>
        <v>100</v>
      </c>
      <c r="G28" s="3192"/>
      <c r="H28" s="539">
        <f>SUMIF(92:92,G28,93:93)-SUMIF(92:92,C28,93:93)+100</f>
        <v>100</v>
      </c>
      <c r="I28" s="3192"/>
      <c r="J28" s="539">
        <f>SUMIF(92:92,I28,93:93)-SUMIF(92:92,C28,93:93)+100</f>
        <v>100</v>
      </c>
      <c r="K28" s="864"/>
      <c r="L28" s="2127"/>
      <c r="M28" s="2119"/>
      <c r="N28" s="2119"/>
      <c r="O28" s="2126"/>
      <c r="P28" s="3427"/>
      <c r="Q28" s="1558">
        <f t="shared" si="11"/>
        <v>0</v>
      </c>
      <c r="R28" s="1559" t="s">
        <v>11</v>
      </c>
      <c r="S28" s="1560">
        <f t="shared" ref="S28:S46" si="12">F28</f>
        <v>100</v>
      </c>
      <c r="T28" s="1559" t="s">
        <v>11</v>
      </c>
      <c r="U28" s="1560">
        <f t="shared" ref="U28:U46" si="13">H28</f>
        <v>100</v>
      </c>
      <c r="V28" s="1559" t="s">
        <v>11</v>
      </c>
      <c r="W28" s="1560">
        <f t="shared" ref="W28:W46" si="14">J28</f>
        <v>100</v>
      </c>
      <c r="X28" s="1553"/>
      <c r="Y28" s="3427"/>
      <c r="Z28" s="1561">
        <f t="shared" ref="Z28:Z46" si="15">Q28</f>
        <v>0</v>
      </c>
      <c r="AA28" s="1562">
        <f t="shared" si="3"/>
        <v>1</v>
      </c>
      <c r="AB28" s="1562">
        <f t="shared" si="4"/>
        <v>1</v>
      </c>
      <c r="AC28" s="1562">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27"/>
      <c r="Q29" s="1558">
        <f t="shared" si="11"/>
        <v>0</v>
      </c>
      <c r="R29" s="1559" t="s">
        <v>11</v>
      </c>
      <c r="S29" s="1560">
        <f t="shared" si="12"/>
        <v>100</v>
      </c>
      <c r="T29" s="1559" t="s">
        <v>11</v>
      </c>
      <c r="U29" s="1560">
        <f t="shared" si="13"/>
        <v>100</v>
      </c>
      <c r="V29" s="1559" t="s">
        <v>11</v>
      </c>
      <c r="W29" s="1560">
        <f t="shared" si="14"/>
        <v>100</v>
      </c>
      <c r="X29" s="1553"/>
      <c r="Y29" s="3427"/>
      <c r="Z29" s="1561">
        <f t="shared" si="15"/>
        <v>0</v>
      </c>
      <c r="AA29" s="1562">
        <f t="shared" si="3"/>
        <v>1</v>
      </c>
      <c r="AB29" s="1562">
        <f t="shared" si="4"/>
        <v>1</v>
      </c>
      <c r="AC29" s="1562">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27"/>
      <c r="Q30" s="1558">
        <f t="shared" si="11"/>
        <v>0</v>
      </c>
      <c r="R30" s="1559" t="s">
        <v>11</v>
      </c>
      <c r="S30" s="1560">
        <f t="shared" si="12"/>
        <v>100</v>
      </c>
      <c r="T30" s="1559" t="s">
        <v>11</v>
      </c>
      <c r="U30" s="1560">
        <f t="shared" si="13"/>
        <v>100</v>
      </c>
      <c r="V30" s="1559" t="s">
        <v>11</v>
      </c>
      <c r="W30" s="1560">
        <f t="shared" si="14"/>
        <v>100</v>
      </c>
      <c r="X30" s="1553"/>
      <c r="Y30" s="3427"/>
      <c r="Z30" s="1561">
        <f t="shared" si="15"/>
        <v>0</v>
      </c>
      <c r="AA30" s="1562">
        <f t="shared" si="3"/>
        <v>1</v>
      </c>
      <c r="AB30" s="1562">
        <f t="shared" si="4"/>
        <v>1</v>
      </c>
      <c r="AC30" s="1562">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27"/>
      <c r="Q31" s="1558">
        <f t="shared" si="11"/>
        <v>0</v>
      </c>
      <c r="R31" s="1559" t="s">
        <v>11</v>
      </c>
      <c r="S31" s="1560">
        <f t="shared" si="12"/>
        <v>100</v>
      </c>
      <c r="T31" s="1559" t="s">
        <v>11</v>
      </c>
      <c r="U31" s="1560">
        <f t="shared" si="13"/>
        <v>100</v>
      </c>
      <c r="V31" s="1559" t="s">
        <v>11</v>
      </c>
      <c r="W31" s="1560">
        <f t="shared" si="14"/>
        <v>100</v>
      </c>
      <c r="X31" s="1553"/>
      <c r="Y31" s="3427"/>
      <c r="Z31" s="1561">
        <f t="shared" si="15"/>
        <v>0</v>
      </c>
      <c r="AA31" s="1562">
        <f t="shared" si="3"/>
        <v>1</v>
      </c>
      <c r="AB31" s="1562">
        <f t="shared" si="4"/>
        <v>1</v>
      </c>
      <c r="AC31" s="1562">
        <f t="shared" si="5"/>
        <v>1</v>
      </c>
    </row>
    <row r="32" spans="1:29" ht="15">
      <c r="A32" s="2862" t="s">
        <v>2710</v>
      </c>
      <c r="B32" s="171" t="s">
        <v>688</v>
      </c>
      <c r="C32" s="877" t="s">
        <v>2962</v>
      </c>
      <c r="D32" s="596">
        <v>100</v>
      </c>
      <c r="E32" s="878" t="s">
        <v>2962</v>
      </c>
      <c r="F32" s="574">
        <f>SUMIF(100:100,E32,101:101)-SUMIF(100:100,C32,101:101)+100</f>
        <v>100</v>
      </c>
      <c r="G32" s="877" t="s">
        <v>2962</v>
      </c>
      <c r="H32" s="596">
        <f>SUMIF(100:100,G32,101:101)-SUMIF(100:100,C32,101:101)+100</f>
        <v>100</v>
      </c>
      <c r="I32" s="878" t="s">
        <v>2962</v>
      </c>
      <c r="J32" s="539">
        <f>SUMIF(100:100,I32,101:101)-SUMIF(100:100,C32,101:101)+100</f>
        <v>100</v>
      </c>
      <c r="K32" s="863">
        <v>1</v>
      </c>
      <c r="L32" s="2127"/>
      <c r="M32" s="2119"/>
      <c r="N32" s="2119"/>
      <c r="O32" s="2126"/>
      <c r="P32" s="3428" t="s">
        <v>514</v>
      </c>
      <c r="Q32" s="1558" t="str">
        <f t="shared" si="11"/>
        <v>建筑类型</v>
      </c>
      <c r="R32" s="1559" t="s">
        <v>11</v>
      </c>
      <c r="S32" s="1560">
        <f t="shared" si="12"/>
        <v>100</v>
      </c>
      <c r="T32" s="1559" t="s">
        <v>11</v>
      </c>
      <c r="U32" s="1560">
        <f t="shared" si="13"/>
        <v>100</v>
      </c>
      <c r="V32" s="1559" t="s">
        <v>11</v>
      </c>
      <c r="W32" s="1560">
        <f t="shared" si="14"/>
        <v>100</v>
      </c>
      <c r="X32" s="1553"/>
      <c r="Y32" s="3429" t="s">
        <v>514</v>
      </c>
      <c r="Z32" s="1561" t="str">
        <f t="shared" si="15"/>
        <v>建筑类型</v>
      </c>
      <c r="AA32" s="1562">
        <f t="shared" si="3"/>
        <v>1</v>
      </c>
      <c r="AB32" s="1562">
        <f t="shared" si="4"/>
        <v>1</v>
      </c>
      <c r="AC32" s="1562">
        <f t="shared" si="5"/>
        <v>1</v>
      </c>
    </row>
    <row r="33" spans="1:29" s="1334" customFormat="1" ht="15">
      <c r="A33" s="602"/>
      <c r="B33" s="526" t="s">
        <v>689</v>
      </c>
      <c r="C33" s="879">
        <f>'数据-汇总表'!E3</f>
        <v>55458.58</v>
      </c>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25"/>
      <c r="M33" s="2156"/>
      <c r="N33" s="2156"/>
      <c r="O33" s="2128"/>
      <c r="P33" s="3429"/>
      <c r="Q33" s="1590" t="str">
        <f t="shared" si="11"/>
        <v>项目建筑规模</v>
      </c>
      <c r="R33" s="1563" t="s">
        <v>11</v>
      </c>
      <c r="S33" s="1564">
        <f t="shared" si="12"/>
        <v>100</v>
      </c>
      <c r="T33" s="1563" t="s">
        <v>11</v>
      </c>
      <c r="U33" s="1564">
        <f t="shared" si="13"/>
        <v>100</v>
      </c>
      <c r="V33" s="1563" t="s">
        <v>11</v>
      </c>
      <c r="W33" s="1564">
        <f t="shared" si="14"/>
        <v>100</v>
      </c>
      <c r="X33" s="1565"/>
      <c r="Y33" s="3429"/>
      <c r="Z33" s="1566" t="str">
        <f t="shared" si="15"/>
        <v>项目建筑规模</v>
      </c>
      <c r="AA33" s="1562">
        <f t="shared" si="3"/>
        <v>1</v>
      </c>
      <c r="AB33" s="1562">
        <f t="shared" si="4"/>
        <v>1</v>
      </c>
      <c r="AC33" s="1562">
        <f t="shared" si="5"/>
        <v>1</v>
      </c>
    </row>
    <row r="34" spans="1:29" ht="15">
      <c r="A34" s="593"/>
      <c r="B34" s="526" t="s">
        <v>690</v>
      </c>
      <c r="C34" s="880" t="s">
        <v>2964</v>
      </c>
      <c r="D34" s="539">
        <v>100</v>
      </c>
      <c r="E34" s="881" t="s">
        <v>2964</v>
      </c>
      <c r="F34" s="574">
        <f>SUMIF(105:105,E34,106:106)-SUMIF(105:105,C34,106:106)+100</f>
        <v>100</v>
      </c>
      <c r="G34" s="881" t="s">
        <v>2964</v>
      </c>
      <c r="H34" s="539">
        <f>SUMIF(105:105,G34,106:106)-SUMIF(105:105,C34,106:106)+100</f>
        <v>100</v>
      </c>
      <c r="I34" s="881" t="s">
        <v>2964</v>
      </c>
      <c r="J34" s="539">
        <f>SUMIF(105:105,I34,106:106)-SUMIF(105:105,C34,106:106)+100</f>
        <v>100</v>
      </c>
      <c r="K34" s="863">
        <v>1</v>
      </c>
      <c r="L34" s="2127"/>
      <c r="M34" s="2119"/>
      <c r="N34" s="2119"/>
      <c r="O34" s="2126"/>
      <c r="P34" s="3429"/>
      <c r="Q34" s="1558" t="str">
        <f t="shared" si="11"/>
        <v>建筑结构</v>
      </c>
      <c r="R34" s="1559" t="s">
        <v>11</v>
      </c>
      <c r="S34" s="1560">
        <f t="shared" si="12"/>
        <v>100</v>
      </c>
      <c r="T34" s="1559" t="s">
        <v>11</v>
      </c>
      <c r="U34" s="1560">
        <f t="shared" si="13"/>
        <v>100</v>
      </c>
      <c r="V34" s="1559" t="s">
        <v>11</v>
      </c>
      <c r="W34" s="1560">
        <f t="shared" si="14"/>
        <v>100</v>
      </c>
      <c r="X34" s="1553"/>
      <c r="Y34" s="3429"/>
      <c r="Z34" s="1561" t="str">
        <f t="shared" si="15"/>
        <v>建筑结构</v>
      </c>
      <c r="AA34" s="1562">
        <f t="shared" si="3"/>
        <v>1</v>
      </c>
      <c r="AB34" s="1562">
        <f t="shared" si="4"/>
        <v>1</v>
      </c>
      <c r="AC34" s="1562">
        <f t="shared" si="5"/>
        <v>1</v>
      </c>
    </row>
    <row r="35" spans="1:29" ht="15">
      <c r="A35" s="593"/>
      <c r="B35" s="526" t="s">
        <v>691</v>
      </c>
      <c r="C35" s="598" t="s">
        <v>2966</v>
      </c>
      <c r="D35" s="539">
        <v>100</v>
      </c>
      <c r="E35" s="873" t="s">
        <v>2966</v>
      </c>
      <c r="F35" s="574">
        <f>SUMIF(107:107,E35,108:108)-SUMIF(107:107,C35,108:108)+100</f>
        <v>100</v>
      </c>
      <c r="G35" s="873" t="s">
        <v>2966</v>
      </c>
      <c r="H35" s="539">
        <f>SUMIF(107:107,G35,108:108)-SUMIF(107:107,C35,108:108)+100</f>
        <v>100</v>
      </c>
      <c r="I35" s="873" t="s">
        <v>2966</v>
      </c>
      <c r="J35" s="539">
        <f>SUMIF(107:107,I35,108:108)-SUMIF(107:107,C35,108:108)+100</f>
        <v>100</v>
      </c>
      <c r="K35" s="863">
        <v>1</v>
      </c>
      <c r="L35" s="2127"/>
      <c r="M35" s="2119"/>
      <c r="N35" s="2119"/>
      <c r="O35" s="2126"/>
      <c r="P35" s="3429"/>
      <c r="Q35" s="1558" t="str">
        <f t="shared" si="11"/>
        <v>建筑品质</v>
      </c>
      <c r="R35" s="1559" t="s">
        <v>11</v>
      </c>
      <c r="S35" s="1560">
        <f t="shared" si="12"/>
        <v>100</v>
      </c>
      <c r="T35" s="1559" t="s">
        <v>11</v>
      </c>
      <c r="U35" s="1560">
        <f t="shared" si="13"/>
        <v>100</v>
      </c>
      <c r="V35" s="1559" t="s">
        <v>11</v>
      </c>
      <c r="W35" s="1560">
        <f t="shared" si="14"/>
        <v>100</v>
      </c>
      <c r="X35" s="1553"/>
      <c r="Y35" s="3429"/>
      <c r="Z35" s="1561" t="str">
        <f t="shared" si="15"/>
        <v>建筑品质</v>
      </c>
      <c r="AA35" s="1562">
        <f t="shared" si="3"/>
        <v>1</v>
      </c>
      <c r="AB35" s="1562">
        <f t="shared" si="4"/>
        <v>1</v>
      </c>
      <c r="AC35" s="1562">
        <f t="shared" si="5"/>
        <v>1</v>
      </c>
    </row>
    <row r="36" spans="1:29" ht="15">
      <c r="A36" s="593"/>
      <c r="B36" s="526" t="s">
        <v>692</v>
      </c>
      <c r="C36" s="598" t="s">
        <v>2968</v>
      </c>
      <c r="D36" s="539">
        <v>100</v>
      </c>
      <c r="E36" s="873" t="s">
        <v>2968</v>
      </c>
      <c r="F36" s="574">
        <f>SUMIF(109:109,E36,110:110)-SUMIF(109:109,C36,110:110)+100</f>
        <v>100</v>
      </c>
      <c r="G36" s="873" t="s">
        <v>2968</v>
      </c>
      <c r="H36" s="539">
        <f>SUMIF(109:109,G36,110:110)-SUMIF(109:109,C36,110:110)+100</f>
        <v>100</v>
      </c>
      <c r="I36" s="873" t="s">
        <v>2968</v>
      </c>
      <c r="J36" s="539">
        <f>SUMIF(109:109,I36,110:110)-SUMIF(109:109,C36,110:110)+100</f>
        <v>100</v>
      </c>
      <c r="K36" s="863">
        <v>1</v>
      </c>
      <c r="L36" s="2127"/>
      <c r="M36" s="2119"/>
      <c r="N36" s="2119"/>
      <c r="O36" s="2126"/>
      <c r="P36" s="3429"/>
      <c r="Q36" s="1558" t="str">
        <f t="shared" si="11"/>
        <v>公共部分装修</v>
      </c>
      <c r="R36" s="1559" t="s">
        <v>11</v>
      </c>
      <c r="S36" s="1560">
        <f t="shared" si="12"/>
        <v>100</v>
      </c>
      <c r="T36" s="1559" t="s">
        <v>11</v>
      </c>
      <c r="U36" s="1560">
        <f t="shared" si="13"/>
        <v>100</v>
      </c>
      <c r="V36" s="1559" t="s">
        <v>11</v>
      </c>
      <c r="W36" s="1560">
        <f t="shared" si="14"/>
        <v>100</v>
      </c>
      <c r="X36" s="1553"/>
      <c r="Y36" s="3429"/>
      <c r="Z36" s="1561" t="str">
        <f t="shared" si="15"/>
        <v>公共部分装修</v>
      </c>
      <c r="AA36" s="1562">
        <f t="shared" si="3"/>
        <v>1</v>
      </c>
      <c r="AB36" s="1562">
        <f t="shared" si="4"/>
        <v>1</v>
      </c>
      <c r="AC36" s="1562">
        <f t="shared" si="5"/>
        <v>1</v>
      </c>
    </row>
    <row r="37" spans="1:29" s="1215" customFormat="1" ht="15">
      <c r="A37" s="599"/>
      <c r="B37" s="526" t="s">
        <v>693</v>
      </c>
      <c r="C37" s="882">
        <v>1</v>
      </c>
      <c r="D37" s="254">
        <v>100</v>
      </c>
      <c r="E37" s="883">
        <v>1</v>
      </c>
      <c r="F37" s="862">
        <f>LOOKUP(E37,112:112,113:113)-LOOKUP(C37,112:112,113:113)+100</f>
        <v>100</v>
      </c>
      <c r="G37" s="883">
        <v>1</v>
      </c>
      <c r="H37" s="254">
        <f>LOOKUP(G37,112:112,113:113)-LOOKUP(C37,112:112,113:113)+100</f>
        <v>100</v>
      </c>
      <c r="I37" s="883">
        <v>1</v>
      </c>
      <c r="J37" s="254">
        <f>LOOKUP(I37,112:112,113:113)-LOOKUP(C37,112:112,113:113)+100</f>
        <v>100</v>
      </c>
      <c r="K37" s="863">
        <v>1</v>
      </c>
      <c r="L37" s="2120"/>
      <c r="M37" s="2121"/>
      <c r="N37" s="2121"/>
      <c r="O37" s="2122"/>
      <c r="P37" s="3429"/>
      <c r="Q37" s="1146" t="str">
        <f t="shared" si="11"/>
        <v>成新度</v>
      </c>
      <c r="R37" s="1554" t="s">
        <v>11</v>
      </c>
      <c r="S37" s="1555">
        <f t="shared" si="12"/>
        <v>100</v>
      </c>
      <c r="T37" s="1554" t="s">
        <v>11</v>
      </c>
      <c r="U37" s="1555">
        <f t="shared" si="13"/>
        <v>100</v>
      </c>
      <c r="V37" s="1554" t="s">
        <v>11</v>
      </c>
      <c r="W37" s="1555">
        <f t="shared" si="14"/>
        <v>100</v>
      </c>
      <c r="X37" s="1556"/>
      <c r="Y37" s="3429"/>
      <c r="Z37" s="1145" t="str">
        <f t="shared" si="15"/>
        <v>成新度</v>
      </c>
      <c r="AA37" s="1557">
        <f t="shared" si="3"/>
        <v>1</v>
      </c>
      <c r="AB37" s="1557">
        <f t="shared" si="4"/>
        <v>1</v>
      </c>
      <c r="AC37" s="1557">
        <f t="shared" si="5"/>
        <v>1</v>
      </c>
    </row>
    <row r="38" spans="1:29" ht="15">
      <c r="A38" s="593"/>
      <c r="B38" s="526" t="s">
        <v>694</v>
      </c>
      <c r="C38" s="598" t="s">
        <v>2970</v>
      </c>
      <c r="D38" s="539">
        <v>100</v>
      </c>
      <c r="E38" s="873" t="s">
        <v>2970</v>
      </c>
      <c r="F38" s="574">
        <f>SUMIF(114:114,E38,115:115)-SUMIF(114:114,C38,115:115)+100</f>
        <v>100</v>
      </c>
      <c r="G38" s="873" t="s">
        <v>2970</v>
      </c>
      <c r="H38" s="539">
        <f>SUMIF(114:114,G38,115:115)-SUMIF(114:114,C38,115:115)+100</f>
        <v>100</v>
      </c>
      <c r="I38" s="873" t="s">
        <v>2970</v>
      </c>
      <c r="J38" s="539">
        <f>SUMIF(114:114,I38,115:115)-SUMIF(114:114,C38,115:115)+100</f>
        <v>100</v>
      </c>
      <c r="K38" s="863">
        <v>1</v>
      </c>
      <c r="L38" s="2127"/>
      <c r="M38" s="2119"/>
      <c r="N38" s="2119"/>
      <c r="O38" s="2126"/>
      <c r="P38" s="3429" t="s">
        <v>514</v>
      </c>
      <c r="Q38" s="1558" t="str">
        <f t="shared" si="11"/>
        <v>物业管理</v>
      </c>
      <c r="R38" s="1559" t="s">
        <v>11</v>
      </c>
      <c r="S38" s="1560">
        <f t="shared" si="12"/>
        <v>100</v>
      </c>
      <c r="T38" s="1559" t="s">
        <v>11</v>
      </c>
      <c r="U38" s="1560">
        <f t="shared" si="13"/>
        <v>100</v>
      </c>
      <c r="V38" s="1559" t="s">
        <v>11</v>
      </c>
      <c r="W38" s="1560">
        <f t="shared" si="14"/>
        <v>100</v>
      </c>
      <c r="X38" s="1553"/>
      <c r="Y38" s="3429" t="s">
        <v>514</v>
      </c>
      <c r="Z38" s="1561" t="str">
        <f t="shared" si="15"/>
        <v>物业管理</v>
      </c>
      <c r="AA38" s="1562">
        <f t="shared" si="3"/>
        <v>1</v>
      </c>
      <c r="AB38" s="1562">
        <f t="shared" si="4"/>
        <v>1</v>
      </c>
      <c r="AC38" s="1562">
        <f t="shared" si="5"/>
        <v>1</v>
      </c>
    </row>
    <row r="39" spans="1:29" ht="15">
      <c r="A39" s="593"/>
      <c r="B39" s="1880" t="s">
        <v>2519</v>
      </c>
      <c r="C39" s="598" t="s">
        <v>2974</v>
      </c>
      <c r="D39" s="539">
        <v>100</v>
      </c>
      <c r="E39" s="873" t="s">
        <v>2974</v>
      </c>
      <c r="F39" s="574">
        <f>SUMIF(116:116,E39,117:117)-SUMIF(116:116,C39,117:117)+100</f>
        <v>100</v>
      </c>
      <c r="G39" s="873" t="s">
        <v>2974</v>
      </c>
      <c r="H39" s="539">
        <f>SUMIF(116:116,G39,117:117)-SUMIF(116:116,C39,117:117)+100</f>
        <v>100</v>
      </c>
      <c r="I39" s="873" t="s">
        <v>2974</v>
      </c>
      <c r="J39" s="539">
        <f>SUMIF(116:116,I39,117:117)-SUMIF(116:116,C39,117:117)+100</f>
        <v>100</v>
      </c>
      <c r="K39" s="863">
        <v>1</v>
      </c>
      <c r="L39" s="2127"/>
      <c r="M39" s="2119"/>
      <c r="N39" s="2119"/>
      <c r="O39" s="2126"/>
      <c r="P39" s="3429"/>
      <c r="Q39" s="1558" t="str">
        <f t="shared" si="11"/>
        <v>市政基础设施</v>
      </c>
      <c r="R39" s="1559" t="s">
        <v>11</v>
      </c>
      <c r="S39" s="1560">
        <f t="shared" si="12"/>
        <v>100</v>
      </c>
      <c r="T39" s="1559" t="s">
        <v>11</v>
      </c>
      <c r="U39" s="1560">
        <f t="shared" si="13"/>
        <v>100</v>
      </c>
      <c r="V39" s="1559" t="s">
        <v>11</v>
      </c>
      <c r="W39" s="1560">
        <f t="shared" si="14"/>
        <v>100</v>
      </c>
      <c r="X39" s="1553"/>
      <c r="Y39" s="3429"/>
      <c r="Z39" s="1561" t="str">
        <f t="shared" si="15"/>
        <v>市政基础设施</v>
      </c>
      <c r="AA39" s="1562">
        <f t="shared" si="3"/>
        <v>1</v>
      </c>
      <c r="AB39" s="1562">
        <f t="shared" si="4"/>
        <v>1</v>
      </c>
      <c r="AC39" s="1562">
        <f t="shared" si="5"/>
        <v>1</v>
      </c>
    </row>
    <row r="40" spans="1:29" ht="15">
      <c r="A40" s="593"/>
      <c r="B40" s="526" t="s">
        <v>695</v>
      </c>
      <c r="C40" s="598" t="s">
        <v>915</v>
      </c>
      <c r="D40" s="539">
        <v>100</v>
      </c>
      <c r="E40" s="873" t="s">
        <v>915</v>
      </c>
      <c r="F40" s="574">
        <f>SUMIF(118:118,E40,119:119)-SUMIF(118:118,C40,119:119)+100</f>
        <v>100</v>
      </c>
      <c r="G40" s="873" t="s">
        <v>915</v>
      </c>
      <c r="H40" s="539">
        <f>SUMIF(118:118,G40,119:119)-SUMIF(118:118,C40,119:119)+100</f>
        <v>100</v>
      </c>
      <c r="I40" s="873" t="s">
        <v>915</v>
      </c>
      <c r="J40" s="539">
        <f>SUMIF(118:118,I40,119:119)-SUMIF(118:118,C40,119:119)+100</f>
        <v>100</v>
      </c>
      <c r="K40" s="863">
        <v>1</v>
      </c>
      <c r="L40" s="2127"/>
      <c r="M40" s="2119"/>
      <c r="N40" s="2119"/>
      <c r="O40" s="2126"/>
      <c r="P40" s="3429"/>
      <c r="Q40" s="1558" t="str">
        <f t="shared" si="11"/>
        <v>房型</v>
      </c>
      <c r="R40" s="1559" t="s">
        <v>11</v>
      </c>
      <c r="S40" s="1560">
        <f t="shared" si="12"/>
        <v>100</v>
      </c>
      <c r="T40" s="1559" t="s">
        <v>11</v>
      </c>
      <c r="U40" s="1560">
        <f t="shared" si="13"/>
        <v>100</v>
      </c>
      <c r="V40" s="1559" t="s">
        <v>11</v>
      </c>
      <c r="W40" s="1560">
        <f t="shared" si="14"/>
        <v>100</v>
      </c>
      <c r="X40" s="1553"/>
      <c r="Y40" s="3429"/>
      <c r="Z40" s="1561" t="str">
        <f t="shared" si="15"/>
        <v>房型</v>
      </c>
      <c r="AA40" s="1562">
        <f t="shared" si="3"/>
        <v>1</v>
      </c>
      <c r="AB40" s="1562">
        <f t="shared" si="4"/>
        <v>1</v>
      </c>
      <c r="AC40" s="1562">
        <f t="shared" si="5"/>
        <v>1</v>
      </c>
    </row>
    <row r="41" spans="1:29" s="1334" customFormat="1" ht="28.5">
      <c r="A41" s="602"/>
      <c r="B41" s="526" t="s">
        <v>696</v>
      </c>
      <c r="C41" s="879" t="s">
        <v>2972</v>
      </c>
      <c r="D41" s="254">
        <v>100</v>
      </c>
      <c r="E41" s="533" t="s">
        <v>915</v>
      </c>
      <c r="F41" s="862">
        <f>SUMIF(120:120,E41,121:121)-SUMIF(120:120,C41,121:121)+100</f>
        <v>100</v>
      </c>
      <c r="G41" s="533" t="s">
        <v>915</v>
      </c>
      <c r="H41" s="254">
        <f>SUMIF(120:120,G41,121:121)-SUMIF(120:120,C41,121:121)+100</f>
        <v>100</v>
      </c>
      <c r="I41" s="533" t="s">
        <v>915</v>
      </c>
      <c r="J41" s="539">
        <f>SUMIF(120:120,I41,121:121)-SUMIF(120:120,C41,121:121)+100</f>
        <v>100</v>
      </c>
      <c r="K41" s="864"/>
      <c r="L41" s="2125"/>
      <c r="M41" s="2156"/>
      <c r="N41" s="2156"/>
      <c r="O41" s="2128"/>
      <c r="P41" s="3429"/>
      <c r="Q41" s="1590" t="str">
        <f t="shared" si="11"/>
        <v>单套/主力户型建筑面积</v>
      </c>
      <c r="R41" s="1563" t="s">
        <v>11</v>
      </c>
      <c r="S41" s="1564">
        <f t="shared" si="12"/>
        <v>100</v>
      </c>
      <c r="T41" s="1563" t="s">
        <v>11</v>
      </c>
      <c r="U41" s="1564">
        <f t="shared" si="13"/>
        <v>100</v>
      </c>
      <c r="V41" s="1563" t="s">
        <v>11</v>
      </c>
      <c r="W41" s="1564">
        <f t="shared" si="14"/>
        <v>100</v>
      </c>
      <c r="X41" s="1565"/>
      <c r="Y41" s="3429"/>
      <c r="Z41" s="1566" t="str">
        <f t="shared" si="15"/>
        <v>单套/主力户型建筑面积</v>
      </c>
      <c r="AA41" s="1562">
        <f t="shared" si="3"/>
        <v>1</v>
      </c>
      <c r="AB41" s="1562">
        <f t="shared" si="4"/>
        <v>1</v>
      </c>
      <c r="AC41" s="1562">
        <f t="shared" si="5"/>
        <v>1</v>
      </c>
    </row>
    <row r="42" spans="1:29" ht="15">
      <c r="A42" s="593"/>
      <c r="B42" s="526" t="s">
        <v>697</v>
      </c>
      <c r="C42" s="598" t="s">
        <v>2968</v>
      </c>
      <c r="D42" s="539">
        <v>100</v>
      </c>
      <c r="E42" s="598" t="s">
        <v>2994</v>
      </c>
      <c r="F42" s="574">
        <f>SUMIF(122:122,E42,123:123)-SUMIF(122:122,C42,123:123)+100</f>
        <v>97</v>
      </c>
      <c r="G42" s="598" t="s">
        <v>2968</v>
      </c>
      <c r="H42" s="539">
        <f>SUMIF(122:122,G42,123:123)-SUMIF(122:122,C42,123:123)+100</f>
        <v>100</v>
      </c>
      <c r="I42" s="598" t="s">
        <v>2968</v>
      </c>
      <c r="J42" s="539">
        <f>SUMIF(122:122,I42,123:123)-SUMIF(122:122,C42,123:123)+100</f>
        <v>100</v>
      </c>
      <c r="K42" s="863">
        <v>1</v>
      </c>
      <c r="L42" s="2127"/>
      <c r="M42" s="2119"/>
      <c r="N42" s="2119"/>
      <c r="O42" s="2126"/>
      <c r="P42" s="3429"/>
      <c r="Q42" s="1558" t="str">
        <f t="shared" si="11"/>
        <v>内部装修</v>
      </c>
      <c r="R42" s="1559" t="s">
        <v>11</v>
      </c>
      <c r="S42" s="1560">
        <f t="shared" si="12"/>
        <v>97</v>
      </c>
      <c r="T42" s="1559" t="s">
        <v>11</v>
      </c>
      <c r="U42" s="1560">
        <f t="shared" si="13"/>
        <v>100</v>
      </c>
      <c r="V42" s="1559" t="s">
        <v>11</v>
      </c>
      <c r="W42" s="1560">
        <f t="shared" si="14"/>
        <v>100</v>
      </c>
      <c r="X42" s="1553"/>
      <c r="Y42" s="3429"/>
      <c r="Z42" s="1561" t="str">
        <f t="shared" si="15"/>
        <v>内部装修</v>
      </c>
      <c r="AA42" s="1562">
        <f t="shared" si="3"/>
        <v>1.0309278350515463</v>
      </c>
      <c r="AB42" s="1562">
        <f t="shared" si="4"/>
        <v>1</v>
      </c>
      <c r="AC42" s="1562">
        <f t="shared" si="5"/>
        <v>1</v>
      </c>
    </row>
    <row r="43" spans="1:29" ht="27">
      <c r="A43" s="593"/>
      <c r="B43" s="526" t="s">
        <v>698</v>
      </c>
      <c r="C43" s="598" t="s">
        <v>2982</v>
      </c>
      <c r="D43" s="539">
        <v>100</v>
      </c>
      <c r="E43" s="873" t="s">
        <v>2982</v>
      </c>
      <c r="F43" s="574">
        <f>SUMIF(124:124,E43,125:125)-SUMIF(124:124,C43,125:125)+100</f>
        <v>100</v>
      </c>
      <c r="G43" s="873" t="s">
        <v>2982</v>
      </c>
      <c r="H43" s="539">
        <f>SUMIF(124:124,G43,125:125)-SUMIF(124:124,C43,125:125)+100</f>
        <v>100</v>
      </c>
      <c r="I43" s="873" t="s">
        <v>2982</v>
      </c>
      <c r="J43" s="539">
        <f>SUMIF(124:124,I43,125:125)-SUMIF(124:124,C43,125:125)+100</f>
        <v>100</v>
      </c>
      <c r="K43" s="863">
        <v>1</v>
      </c>
      <c r="L43" s="2127"/>
      <c r="M43" s="2119"/>
      <c r="N43" s="2119"/>
      <c r="O43" s="2126"/>
      <c r="P43" s="3429"/>
      <c r="Q43" s="1558" t="str">
        <f t="shared" si="11"/>
        <v>内部装修维护情况</v>
      </c>
      <c r="R43" s="1559" t="s">
        <v>11</v>
      </c>
      <c r="S43" s="1560">
        <f t="shared" si="12"/>
        <v>100</v>
      </c>
      <c r="T43" s="1559" t="s">
        <v>11</v>
      </c>
      <c r="U43" s="1560">
        <f t="shared" si="13"/>
        <v>100</v>
      </c>
      <c r="V43" s="1559" t="s">
        <v>11</v>
      </c>
      <c r="W43" s="1560">
        <f t="shared" si="14"/>
        <v>100</v>
      </c>
      <c r="X43" s="1553"/>
      <c r="Y43" s="3429"/>
      <c r="Z43" s="1561" t="str">
        <f t="shared" si="15"/>
        <v>内部装修维护情况</v>
      </c>
      <c r="AA43" s="1562">
        <f t="shared" si="3"/>
        <v>1</v>
      </c>
      <c r="AB43" s="1562">
        <f t="shared" si="4"/>
        <v>1</v>
      </c>
      <c r="AC43" s="1562">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29"/>
      <c r="Q44" s="1146">
        <f t="shared" si="11"/>
        <v>0</v>
      </c>
      <c r="R44" s="1554" t="s">
        <v>11</v>
      </c>
      <c r="S44" s="1555">
        <f t="shared" si="12"/>
        <v>100</v>
      </c>
      <c r="T44" s="1554" t="s">
        <v>11</v>
      </c>
      <c r="U44" s="1555">
        <f t="shared" si="13"/>
        <v>100</v>
      </c>
      <c r="V44" s="1554" t="s">
        <v>11</v>
      </c>
      <c r="W44" s="1555">
        <f t="shared" si="14"/>
        <v>100</v>
      </c>
      <c r="X44" s="1556"/>
      <c r="Y44" s="3429"/>
      <c r="Z44" s="1145">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29"/>
      <c r="Q45" s="1558">
        <f t="shared" si="11"/>
        <v>0</v>
      </c>
      <c r="R45" s="1559" t="s">
        <v>11</v>
      </c>
      <c r="S45" s="1560">
        <f t="shared" si="12"/>
        <v>100</v>
      </c>
      <c r="T45" s="1559" t="s">
        <v>11</v>
      </c>
      <c r="U45" s="1560">
        <f t="shared" si="13"/>
        <v>100</v>
      </c>
      <c r="V45" s="1559" t="s">
        <v>11</v>
      </c>
      <c r="W45" s="1560">
        <f t="shared" si="14"/>
        <v>100</v>
      </c>
      <c r="X45" s="1553"/>
      <c r="Y45" s="3429"/>
      <c r="Z45" s="1561">
        <f t="shared" si="15"/>
        <v>0</v>
      </c>
      <c r="AA45" s="1562">
        <f t="shared" si="3"/>
        <v>1</v>
      </c>
      <c r="AB45" s="1562">
        <f t="shared" si="4"/>
        <v>1</v>
      </c>
      <c r="AC45" s="1562">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87"/>
      <c r="Q46" s="1558">
        <f t="shared" si="11"/>
        <v>0</v>
      </c>
      <c r="R46" s="1559" t="s">
        <v>10</v>
      </c>
      <c r="S46" s="1560">
        <f t="shared" si="12"/>
        <v>100</v>
      </c>
      <c r="T46" s="1559" t="s">
        <v>10</v>
      </c>
      <c r="U46" s="1560">
        <f t="shared" si="13"/>
        <v>100</v>
      </c>
      <c r="V46" s="1559" t="s">
        <v>10</v>
      </c>
      <c r="W46" s="1560">
        <f t="shared" si="14"/>
        <v>100</v>
      </c>
      <c r="X46" s="1553"/>
      <c r="Y46" s="3487"/>
      <c r="Z46" s="1561">
        <f t="shared" si="15"/>
        <v>0</v>
      </c>
      <c r="AA46" s="1562">
        <f t="shared" si="3"/>
        <v>1</v>
      </c>
      <c r="AB46" s="1562">
        <f t="shared" si="4"/>
        <v>1</v>
      </c>
      <c r="AC46" s="1562">
        <f t="shared" si="5"/>
        <v>1</v>
      </c>
    </row>
    <row r="47" spans="1:29" ht="15">
      <c r="A47" s="606" t="s">
        <v>699</v>
      </c>
      <c r="B47" s="886"/>
      <c r="C47" s="2591" t="s">
        <v>9</v>
      </c>
      <c r="D47" s="2592"/>
      <c r="E47" s="2593"/>
      <c r="F47" s="2594"/>
      <c r="G47" s="2595"/>
      <c r="H47" s="2596"/>
      <c r="I47" s="2593"/>
      <c r="J47" s="2596"/>
      <c r="K47" s="1591"/>
      <c r="L47" s="2129"/>
      <c r="M47" s="2130"/>
      <c r="N47" s="2119"/>
      <c r="O47" s="2130"/>
      <c r="P47" s="3391" t="str">
        <f>A47</f>
        <v>成交单价（元/平方米）</v>
      </c>
      <c r="Q47" s="3391"/>
      <c r="R47" s="3486">
        <f>E47</f>
        <v>0</v>
      </c>
      <c r="S47" s="3486"/>
      <c r="T47" s="3486">
        <f>G47</f>
        <v>0</v>
      </c>
      <c r="U47" s="3486"/>
      <c r="V47" s="3486">
        <f>I47</f>
        <v>0</v>
      </c>
      <c r="W47" s="3486"/>
      <c r="X47" s="1545"/>
      <c r="Y47" s="1567"/>
      <c r="Z47" s="1545"/>
      <c r="AA47" s="1545"/>
      <c r="AB47" s="1545"/>
      <c r="AC47" s="1545"/>
    </row>
    <row r="48" spans="1:29" ht="15.75" thickBot="1">
      <c r="A48" s="614" t="s">
        <v>2715</v>
      </c>
      <c r="B48" s="887"/>
      <c r="C48" s="2597">
        <f>R49</f>
        <v>0</v>
      </c>
      <c r="D48" s="2598"/>
      <c r="E48" s="2599">
        <f>R48</f>
        <v>0</v>
      </c>
      <c r="F48" s="2599"/>
      <c r="G48" s="2597">
        <f>T48</f>
        <v>0</v>
      </c>
      <c r="H48" s="2598"/>
      <c r="I48" s="2599">
        <f>V48</f>
        <v>0</v>
      </c>
      <c r="J48" s="2598"/>
      <c r="K48" s="1592"/>
      <c r="L48" s="2129"/>
      <c r="M48" s="2130"/>
      <c r="N48" s="2130"/>
      <c r="O48" s="2130"/>
      <c r="P48" s="3391" t="str">
        <f>A48</f>
        <v>比较价格（元/平方米）</v>
      </c>
      <c r="Q48" s="3391"/>
      <c r="R48" s="3486">
        <f>IF(F1="售价",ROUND(PRODUCT(R47,AA7:AA46),0),ROUND(PRODUCT(R47,AA7:AA46),1))</f>
        <v>0</v>
      </c>
      <c r="S48" s="3486"/>
      <c r="T48" s="3486">
        <f>IF(F1="售价",ROUND(PRODUCT(T47,AB7:AB46),0),ROUND(PRODUCT(T47,AB7:AB46),1))</f>
        <v>0</v>
      </c>
      <c r="U48" s="3486"/>
      <c r="V48" s="3486">
        <f>IF(F1="售价",ROUND(PRODUCT(V47,AC7:AC46),0),ROUND(PRODUCT(V47,AC7:AC46),1))</f>
        <v>0</v>
      </c>
      <c r="W48" s="3486"/>
      <c r="X48" s="1545"/>
      <c r="Y48" s="1545"/>
      <c r="Z48" s="1545"/>
      <c r="AA48" s="1545"/>
      <c r="AB48" s="1545"/>
      <c r="AC48" s="1545"/>
    </row>
    <row r="49" spans="1:29" ht="15.75" thickBot="1">
      <c r="A49" s="620" t="s">
        <v>2956</v>
      </c>
      <c r="B49" s="621"/>
      <c r="C49" s="2600">
        <f>R49</f>
        <v>0</v>
      </c>
      <c r="D49" s="2600"/>
      <c r="E49" s="2600"/>
      <c r="F49" s="2600"/>
      <c r="G49" s="2600"/>
      <c r="H49" s="2600"/>
      <c r="I49" s="2600"/>
      <c r="J49" s="2600"/>
      <c r="K49" s="1593"/>
      <c r="L49" s="2129"/>
      <c r="M49" s="2130"/>
      <c r="N49" s="2130"/>
      <c r="O49" s="2130"/>
      <c r="P49" s="3388" t="str">
        <f>A49</f>
        <v>估价对象住宅用房的比较价格（楼面单价，元/平方米）</v>
      </c>
      <c r="Q49" s="3389"/>
      <c r="R49" s="3485">
        <f>IF(F1="售价",ROUND(AVERAGE(R48:V48),0),ROUND(AVERAGE(R48:V48),1))</f>
        <v>0</v>
      </c>
      <c r="S49" s="3485"/>
      <c r="T49" s="3485"/>
      <c r="U49" s="3485"/>
      <c r="V49" s="3485"/>
      <c r="W49" s="348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538</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493</v>
      </c>
      <c r="B58" s="645"/>
      <c r="C58" s="2759" t="str">
        <f>YEAR(C7)&amp;"-"&amp;MONTH(C7)</f>
        <v>2019-9</v>
      </c>
      <c r="D58" s="2759">
        <f>EDATE(C58,-1)</f>
        <v>43678</v>
      </c>
      <c r="E58" s="2759">
        <f t="shared" ref="E58:O58" si="16">EDATE(D58,-1)</f>
        <v>43647</v>
      </c>
      <c r="F58" s="2759">
        <f t="shared" si="16"/>
        <v>43617</v>
      </c>
      <c r="G58" s="2759">
        <f t="shared" si="16"/>
        <v>43586</v>
      </c>
      <c r="H58" s="2759">
        <f t="shared" si="16"/>
        <v>43556</v>
      </c>
      <c r="I58" s="2759">
        <f t="shared" si="16"/>
        <v>43525</v>
      </c>
      <c r="J58" s="2759">
        <f t="shared" si="16"/>
        <v>43497</v>
      </c>
      <c r="K58" s="2759">
        <f t="shared" si="16"/>
        <v>43466</v>
      </c>
      <c r="L58" s="2759">
        <f t="shared" si="16"/>
        <v>43435</v>
      </c>
      <c r="M58" s="2759">
        <f t="shared" si="16"/>
        <v>43405</v>
      </c>
      <c r="N58" s="2759">
        <f t="shared" si="16"/>
        <v>43374</v>
      </c>
      <c r="O58" s="2759">
        <f t="shared" si="16"/>
        <v>43344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43"/>
      <c r="Q59" s="1978"/>
      <c r="R59" s="1978"/>
      <c r="S59" s="1978"/>
      <c r="T59" s="1978"/>
      <c r="U59" s="1978"/>
      <c r="V59" s="1978"/>
      <c r="W59" s="1978"/>
      <c r="X59" s="1978"/>
      <c r="Y59" s="1978"/>
      <c r="Z59" s="1978"/>
      <c r="AA59" s="1978"/>
      <c r="AB59" s="1978"/>
      <c r="AC59" s="1978"/>
    </row>
    <row r="60" spans="1:29" s="1215" customFormat="1" ht="15.75" thickBot="1">
      <c r="A60" s="652" t="s">
        <v>539</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495</v>
      </c>
      <c r="B61" s="647"/>
      <c r="C61" s="659" t="s">
        <v>540</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541</v>
      </c>
      <c r="B63" s="664" t="s">
        <v>498</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501</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502</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v>6</v>
      </c>
      <c r="J68" s="540">
        <v>7</v>
      </c>
      <c r="K68" s="540">
        <v>8</v>
      </c>
      <c r="L68" s="540">
        <v>9</v>
      </c>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503</v>
      </c>
      <c r="B76" s="664" t="s">
        <v>542</v>
      </c>
      <c r="C76" s="702" t="s">
        <v>543</v>
      </c>
      <c r="D76" s="702" t="s">
        <v>544</v>
      </c>
      <c r="E76" s="702" t="s">
        <v>545</v>
      </c>
      <c r="F76" s="702" t="s">
        <v>546</v>
      </c>
      <c r="G76" s="702" t="s">
        <v>547</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98</v>
      </c>
      <c r="E77" s="678">
        <f>D77-$K15</f>
        <v>96</v>
      </c>
      <c r="F77" s="678">
        <f>E77-$K15</f>
        <v>94</v>
      </c>
      <c r="G77" s="678">
        <f>F77-$K15</f>
        <v>92</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550</v>
      </c>
      <c r="C78" s="707" t="s">
        <v>543</v>
      </c>
      <c r="D78" s="707" t="s">
        <v>544</v>
      </c>
      <c r="E78" s="707" t="s">
        <v>545</v>
      </c>
      <c r="F78" s="707" t="s">
        <v>546</v>
      </c>
      <c r="G78" s="707" t="s">
        <v>547</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2512</v>
      </c>
      <c r="C80" s="707" t="s">
        <v>543</v>
      </c>
      <c r="D80" s="707" t="s">
        <v>544</v>
      </c>
      <c r="E80" s="707" t="s">
        <v>545</v>
      </c>
      <c r="F80" s="707" t="s">
        <v>546</v>
      </c>
      <c r="G80" s="707" t="s">
        <v>547</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2513</v>
      </c>
      <c r="C82" s="2562" t="s">
        <v>2514</v>
      </c>
      <c r="D82" s="2562" t="s">
        <v>2515</v>
      </c>
      <c r="E82" s="2562" t="s">
        <v>2516</v>
      </c>
      <c r="F82" s="2562" t="s">
        <v>2517</v>
      </c>
      <c r="G82" s="2562" t="s">
        <v>2518</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543</v>
      </c>
      <c r="D84" s="707" t="s">
        <v>544</v>
      </c>
      <c r="E84" s="707" t="s">
        <v>545</v>
      </c>
      <c r="F84" s="707" t="s">
        <v>546</v>
      </c>
      <c r="G84" s="707" t="s">
        <v>547</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2214</v>
      </c>
      <c r="C86" s="687" t="s">
        <v>2958</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2958</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f>B27</f>
        <v>0</v>
      </c>
      <c r="C90" s="3180" t="s">
        <v>2959</v>
      </c>
      <c r="D90" s="3180" t="s">
        <v>2960</v>
      </c>
      <c r="E90" s="3180" t="s">
        <v>2961</v>
      </c>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v>100</v>
      </c>
      <c r="D91" s="691">
        <v>99</v>
      </c>
      <c r="E91" s="691">
        <v>98</v>
      </c>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515</v>
      </c>
      <c r="B100" s="664" t="s">
        <v>710</v>
      </c>
      <c r="C100" s="3181" t="s">
        <v>2996</v>
      </c>
      <c r="D100" s="3181"/>
      <c r="E100" s="597"/>
      <c r="F100" s="3181" t="s">
        <v>2963</v>
      </c>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100000</v>
      </c>
      <c r="E103" s="729">
        <v>200000</v>
      </c>
      <c r="F103" s="729">
        <v>300000</v>
      </c>
      <c r="G103" s="729">
        <v>400000</v>
      </c>
      <c r="H103" s="729">
        <v>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180" t="s">
        <v>2965</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182" t="s">
        <v>2967</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180" t="s">
        <v>2969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180" t="s">
        <v>2971</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2511</v>
      </c>
      <c r="C116" s="3180" t="s">
        <v>2975</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2972</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2972</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180" t="s">
        <v>3013</v>
      </c>
      <c r="D122" s="687"/>
      <c r="E122" s="687"/>
      <c r="F122" s="3182" t="s">
        <v>3014</v>
      </c>
      <c r="G122" s="3182"/>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543</v>
      </c>
      <c r="D124" s="707" t="s">
        <v>544</v>
      </c>
      <c r="E124" s="707" t="s">
        <v>545</v>
      </c>
      <c r="F124" s="707" t="s">
        <v>546</v>
      </c>
      <c r="G124" s="707" t="s">
        <v>547</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2216</v>
      </c>
      <c r="C137" s="1904"/>
      <c r="D137" s="1904"/>
      <c r="E137" s="1904"/>
      <c r="F137" s="1904"/>
      <c r="G137" s="1905"/>
      <c r="H137" s="1906"/>
      <c r="I137" s="1907" t="s">
        <v>2217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2218</v>
      </c>
      <c r="D138" s="1910" t="s">
        <v>2219</v>
      </c>
      <c r="E138" s="1911" t="s">
        <v>2220</v>
      </c>
      <c r="F138" s="1912" t="s">
        <v>2221</v>
      </c>
      <c r="G138" s="1910" t="s">
        <v>2222</v>
      </c>
      <c r="H138" s="1913" t="s">
        <v>2223</v>
      </c>
      <c r="I138" s="1914"/>
      <c r="J138" s="1910" t="s">
        <v>2224</v>
      </c>
      <c r="K138" s="1913" t="s">
        <v>2225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2226</v>
      </c>
      <c r="E139" s="1884">
        <v>100</v>
      </c>
      <c r="F139" s="1885">
        <v>102.5</v>
      </c>
      <c r="G139" s="1915" t="s">
        <v>2227</v>
      </c>
      <c r="H139" s="1886">
        <v>105</v>
      </c>
      <c r="I139" s="1916" t="s">
        <v>2228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2229</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2230</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2231</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2233</v>
      </c>
      <c r="E144" s="1890">
        <v>102</v>
      </c>
      <c r="F144" s="1896">
        <v>100</v>
      </c>
      <c r="G144" s="1919" t="s">
        <v>2233</v>
      </c>
      <c r="H144" s="1892">
        <v>105</v>
      </c>
      <c r="I144" s="1918" t="s">
        <v>2232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2234</v>
      </c>
      <c r="C145" s="1897">
        <f>ROUND(MAX(C139:C144)/MIN(C139:C144)-1,3)</f>
        <v>7.2999999999999995E-2</v>
      </c>
      <c r="D145" s="1921"/>
      <c r="E145" s="1921"/>
      <c r="F145" s="1922" t="s">
        <v>2235</v>
      </c>
      <c r="G145" s="1923"/>
      <c r="H145" s="1924"/>
      <c r="I145" s="1925" t="s">
        <v>2232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39" sqref="C39:C4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1684</v>
      </c>
      <c r="B1" s="737"/>
      <c r="C1" s="772" t="s">
        <v>3023</v>
      </c>
      <c r="D1" s="3075" t="s">
        <v>3012</v>
      </c>
      <c r="E1" s="2351" t="s">
        <v>2331</v>
      </c>
      <c r="F1" s="2352">
        <f ca="1">J53</f>
        <v>36.590000000000003</v>
      </c>
      <c r="G1" s="773">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1685</v>
      </c>
      <c r="B2" s="774">
        <f ca="1">C40+J29+L46</f>
        <v>30927</v>
      </c>
      <c r="C2" s="2042"/>
      <c r="D2" s="2040"/>
      <c r="E2" s="2041"/>
      <c r="F2" s="2041"/>
      <c r="G2" s="1576"/>
      <c r="H2" s="2042"/>
      <c r="I2" s="2042"/>
      <c r="J2" s="2042"/>
      <c r="K2" s="2043"/>
      <c r="L2" s="2042"/>
      <c r="M2" s="2042"/>
    </row>
    <row r="3" spans="1:33" ht="18" customHeight="1" thickBot="1">
      <c r="A3" s="832" t="s">
        <v>1686</v>
      </c>
      <c r="B3" s="833">
        <f ca="1">IF(ISERROR(B2*10000/F43),0,ROUND(B2*10000/F43,0))</f>
        <v>5577</v>
      </c>
      <c r="C3" s="2042"/>
      <c r="D3" s="2040"/>
      <c r="E3" s="2041"/>
      <c r="F3" s="2041"/>
      <c r="G3" s="1576"/>
      <c r="H3" s="775" t="s">
        <v>659</v>
      </c>
      <c r="I3" s="1358"/>
      <c r="J3" s="1358"/>
      <c r="K3" s="1577"/>
      <c r="L3" s="1358"/>
      <c r="M3" s="1358"/>
    </row>
    <row r="4" spans="1:33" ht="18" customHeight="1">
      <c r="A4" s="776" t="s">
        <v>1687</v>
      </c>
      <c r="B4" s="777" t="s">
        <v>1688</v>
      </c>
      <c r="C4" s="777" t="s">
        <v>1689</v>
      </c>
      <c r="D4" s="777" t="s">
        <v>597</v>
      </c>
      <c r="E4" s="778" t="s">
        <v>1690</v>
      </c>
      <c r="F4" s="779"/>
      <c r="G4" s="1578"/>
      <c r="H4" s="776" t="s">
        <v>1691</v>
      </c>
      <c r="I4" s="777" t="s">
        <v>1692</v>
      </c>
      <c r="J4" s="777" t="s">
        <v>1693</v>
      </c>
      <c r="K4" s="777" t="s">
        <v>1694</v>
      </c>
      <c r="L4" s="778" t="s">
        <v>1695</v>
      </c>
      <c r="M4" s="779"/>
    </row>
    <row r="5" spans="1:33" ht="18" customHeight="1">
      <c r="A5" s="780">
        <v>1</v>
      </c>
      <c r="B5" s="781" t="s">
        <v>2413</v>
      </c>
      <c r="C5" s="54">
        <f ca="1">C6+C10+C12</f>
        <v>2736</v>
      </c>
      <c r="D5" s="2460" t="s">
        <v>2416</v>
      </c>
      <c r="E5" s="2454"/>
      <c r="F5" s="2455"/>
      <c r="G5" s="1578"/>
      <c r="H5" s="780">
        <v>1</v>
      </c>
      <c r="I5" s="781" t="s">
        <v>2413</v>
      </c>
      <c r="J5" s="54">
        <f ca="1">J6+J10+J12</f>
        <v>0</v>
      </c>
      <c r="K5" s="2460" t="s">
        <v>2416</v>
      </c>
      <c r="L5" s="2454"/>
      <c r="M5" s="2455"/>
    </row>
    <row r="6" spans="1:33" ht="18" customHeight="1">
      <c r="A6" s="1815" t="s">
        <v>1783</v>
      </c>
      <c r="B6" s="3479" t="s">
        <v>2418</v>
      </c>
      <c r="C6" s="782">
        <f ca="1">ROUND(F6*F8*F7*(1-F9)/10000,0)</f>
        <v>2733</v>
      </c>
      <c r="D6" s="2461" t="s">
        <v>2417</v>
      </c>
      <c r="E6" s="783" t="s">
        <v>1697</v>
      </c>
      <c r="F6" s="784">
        <f ca="1">INDIRECT("'数据-取费表'!u"&amp;$G$1)</f>
        <v>1.5</v>
      </c>
      <c r="G6" s="1578"/>
      <c r="H6" s="2468" t="s">
        <v>2423</v>
      </c>
      <c r="I6" s="3479" t="s">
        <v>2418</v>
      </c>
      <c r="J6" s="782">
        <f ca="1">ROUND(M6*M8*M7*(1-M9)/10000,0)</f>
        <v>0</v>
      </c>
      <c r="K6" s="340" t="s">
        <v>1696</v>
      </c>
      <c r="L6" s="783" t="s">
        <v>1697</v>
      </c>
      <c r="M6" s="784">
        <f ca="1">INDIRECT("'数据-取费表'!z"&amp;$G$1)</f>
        <v>0</v>
      </c>
    </row>
    <row r="7" spans="1:33" ht="18" customHeight="1">
      <c r="A7" s="2464"/>
      <c r="B7" s="3480"/>
      <c r="C7" s="787"/>
      <c r="D7" s="788"/>
      <c r="E7" s="783" t="s">
        <v>1698</v>
      </c>
      <c r="F7" s="784">
        <f ca="1">IF(INDIRECT("'数据-取费表'!ah"&amp;$G$1)="",INDIRECT("'数据-取费表'!k"&amp;$G$1),INDIRECT("'数据-取费表'!ah"&amp;$G$1))</f>
        <v>55458.58</v>
      </c>
      <c r="G7" s="1578"/>
      <c r="H7" s="2453"/>
      <c r="I7" s="3480"/>
      <c r="J7" s="787"/>
      <c r="K7" s="788"/>
      <c r="L7" s="783" t="s">
        <v>1698</v>
      </c>
      <c r="M7" s="784">
        <f ca="1">F7</f>
        <v>55458.58</v>
      </c>
    </row>
    <row r="8" spans="1:33" ht="18" customHeight="1">
      <c r="A8" s="2457"/>
      <c r="B8" s="3481"/>
      <c r="C8" s="787"/>
      <c r="D8" s="788"/>
      <c r="E8" s="783" t="s">
        <v>1699</v>
      </c>
      <c r="F8" s="784">
        <f ca="1">INDIRECT("'数据-取费表'!ai"&amp;$G$1)</f>
        <v>365</v>
      </c>
      <c r="G8" s="1578"/>
      <c r="H8" s="2453"/>
      <c r="I8" s="3481"/>
      <c r="J8" s="787"/>
      <c r="K8" s="788"/>
      <c r="L8" s="783" t="s">
        <v>1699</v>
      </c>
      <c r="M8" s="784">
        <f ca="1">INDIRECT("'数据-取费表'!ai"&amp;$G$1)</f>
        <v>365</v>
      </c>
    </row>
    <row r="9" spans="1:33" ht="18" customHeight="1">
      <c r="A9" s="785"/>
      <c r="B9" s="3482"/>
      <c r="C9" s="787"/>
      <c r="D9" s="788"/>
      <c r="E9" s="783" t="s">
        <v>1700</v>
      </c>
      <c r="F9" s="793">
        <f ca="1">INDIRECT("'数据-取费表'!w"&amp;$G$1)</f>
        <v>0.1</v>
      </c>
      <c r="G9" s="1578"/>
      <c r="H9" s="2469"/>
      <c r="I9" s="3481"/>
      <c r="J9" s="787"/>
      <c r="K9" s="788"/>
      <c r="L9" s="794" t="s">
        <v>1700</v>
      </c>
      <c r="M9" s="795">
        <f ca="1">INDIRECT("'数据-取费表'!ab"&amp;$G$1)</f>
        <v>0</v>
      </c>
    </row>
    <row r="10" spans="1:33" ht="18" customHeight="1">
      <c r="A10" s="1815" t="s">
        <v>2421</v>
      </c>
      <c r="B10" s="2458" t="s">
        <v>2414</v>
      </c>
      <c r="C10" s="798">
        <f ca="1">ROUND(IF(F10="押一",C6/12*F11,IF(F10="押二",C6/12*2*F11,IF(F10="押三",C6/12*3*F11,C11*F11))),0)</f>
        <v>3</v>
      </c>
      <c r="D10" s="2465" t="s">
        <v>2914</v>
      </c>
      <c r="E10" s="2462" t="s">
        <v>2419</v>
      </c>
      <c r="F10" s="2585" t="s">
        <v>2977</v>
      </c>
      <c r="G10" s="1578"/>
      <c r="H10" s="2525" t="s">
        <v>2424</v>
      </c>
      <c r="I10" s="2530" t="s">
        <v>2414</v>
      </c>
      <c r="J10" s="782">
        <f ca="1">ROUND(IF(M10="押一",J6/12*M11,IF(M10="押二",J6/12*2*M11,IF(M10="押三",J6/12*3*M11,J11*M11))),0)</f>
        <v>0</v>
      </c>
      <c r="K10" s="2465" t="s">
        <v>2914</v>
      </c>
      <c r="L10" s="2462" t="s">
        <v>2419</v>
      </c>
      <c r="M10" s="2585"/>
    </row>
    <row r="11" spans="1:33" ht="18" customHeight="1">
      <c r="A11" s="789"/>
      <c r="B11" s="2459" t="s">
        <v>2528</v>
      </c>
      <c r="C11" s="2463"/>
      <c r="D11" s="788"/>
      <c r="E11" s="2462" t="s">
        <v>2420</v>
      </c>
      <c r="F11" s="795">
        <f ca="1">'数据-取费表'!B39</f>
        <v>1.4999999999999999E-2</v>
      </c>
      <c r="G11" s="1578"/>
      <c r="H11" s="2526"/>
      <c r="I11" s="2459" t="s">
        <v>2528</v>
      </c>
      <c r="J11" s="2463"/>
      <c r="K11" s="2527"/>
      <c r="L11" s="2462" t="s">
        <v>2420</v>
      </c>
      <c r="M11" s="2456">
        <f ca="1">'数据-取费表'!B39</f>
        <v>1.4999999999999999E-2</v>
      </c>
    </row>
    <row r="12" spans="1:33" ht="18" customHeight="1" thickBot="1">
      <c r="A12" s="2501" t="s">
        <v>2422</v>
      </c>
      <c r="B12" s="2502" t="s">
        <v>2415</v>
      </c>
      <c r="C12" s="2503"/>
      <c r="D12" s="2504"/>
      <c r="E12" s="2505"/>
      <c r="F12" s="2506"/>
      <c r="G12" s="1578"/>
      <c r="H12" s="2515" t="s">
        <v>2425</v>
      </c>
      <c r="I12" s="2528" t="s">
        <v>2415</v>
      </c>
      <c r="J12" s="2529"/>
      <c r="K12" s="2504"/>
      <c r="L12" s="2505"/>
      <c r="M12" s="2518"/>
    </row>
    <row r="13" spans="1:33" ht="18" customHeight="1" thickTop="1">
      <c r="A13" s="1814">
        <v>2</v>
      </c>
      <c r="B13" s="1812" t="s">
        <v>1701</v>
      </c>
      <c r="C13" s="791">
        <f ca="1">ROUND(C29*F13,0)</f>
        <v>25612</v>
      </c>
      <c r="D13" s="1819" t="s">
        <v>2254</v>
      </c>
      <c r="E13" s="1819" t="s">
        <v>1703</v>
      </c>
      <c r="F13" s="2500">
        <f ca="1">INDIRECT("'数据-取费表'!y"&amp;$G$1)</f>
        <v>1</v>
      </c>
      <c r="G13" s="1578"/>
      <c r="H13" s="1814">
        <v>2</v>
      </c>
      <c r="I13" s="1812" t="s">
        <v>1701</v>
      </c>
      <c r="J13" s="1804">
        <f ca="1">ROUND(J14*J15,0)</f>
        <v>0</v>
      </c>
      <c r="K13" s="1806" t="s">
        <v>1702</v>
      </c>
      <c r="L13" s="2516"/>
      <c r="M13" s="2517"/>
    </row>
    <row r="14" spans="1:33" ht="18" customHeight="1">
      <c r="A14" s="1633" t="s">
        <v>1843</v>
      </c>
      <c r="B14" s="783" t="s">
        <v>609</v>
      </c>
      <c r="C14" s="803">
        <f ca="1">INDIRECT("'数据-取费表'!m"&amp;$G$1)+INDIRECT("'数据-取费表'!t"&amp;$G$1)</f>
        <v>16638</v>
      </c>
      <c r="D14" s="1964" t="s">
        <v>1704</v>
      </c>
      <c r="E14" s="1965"/>
      <c r="F14" s="804"/>
      <c r="G14" s="1578"/>
      <c r="H14" s="1634" t="s">
        <v>1789</v>
      </c>
      <c r="I14" s="2216" t="s">
        <v>2781</v>
      </c>
      <c r="J14" s="52">
        <f ca="1">C29</f>
        <v>25612</v>
      </c>
      <c r="K14" s="25"/>
      <c r="L14" s="800"/>
      <c r="M14" s="801"/>
    </row>
    <row r="15" spans="1:33" s="2049" customFormat="1" ht="18" customHeight="1" thickBot="1">
      <c r="A15" s="1633" t="s">
        <v>1844</v>
      </c>
      <c r="B15" s="783" t="s">
        <v>611</v>
      </c>
      <c r="C15" s="52">
        <f ca="1">ROUND(C14*F15,0)</f>
        <v>832</v>
      </c>
      <c r="D15" s="805" t="s">
        <v>1705</v>
      </c>
      <c r="E15" s="805" t="s">
        <v>1706</v>
      </c>
      <c r="F15" s="806">
        <f>'数据-取费表'!B33</f>
        <v>0.05</v>
      </c>
      <c r="G15" s="1579"/>
      <c r="H15" s="2515" t="s">
        <v>1848</v>
      </c>
      <c r="I15" s="2510" t="s">
        <v>1703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1845</v>
      </c>
      <c r="B16" s="783" t="s">
        <v>614</v>
      </c>
      <c r="C16" s="52">
        <f ca="1">ROUND(INDIRECT("'数据-取费表'!m"&amp;$G$1)*F16,0)</f>
        <v>0</v>
      </c>
      <c r="D16" s="783" t="s">
        <v>1705</v>
      </c>
      <c r="E16" s="783" t="s">
        <v>1706</v>
      </c>
      <c r="F16" s="808">
        <f ca="1">IF(INDIRECT("'数据-取费表'!c"&amp;$G$1)="住宅",'数据-取费表'!B34,0)</f>
        <v>0</v>
      </c>
      <c r="G16" s="1578"/>
      <c r="H16" s="1814" t="s">
        <v>1707</v>
      </c>
      <c r="I16" s="1812" t="s">
        <v>1708</v>
      </c>
      <c r="J16" s="791">
        <f ca="1">ROUND(J17+J22+J23+J24,0)</f>
        <v>2669</v>
      </c>
      <c r="K16" s="1806" t="s">
        <v>1709</v>
      </c>
      <c r="L16" s="2450"/>
      <c r="M16" s="2455"/>
    </row>
    <row r="17" spans="1:33" s="2049" customFormat="1" ht="18" customHeight="1">
      <c r="A17" s="1633" t="s">
        <v>1846</v>
      </c>
      <c r="B17" s="783" t="s">
        <v>617</v>
      </c>
      <c r="C17" s="52">
        <f ca="1">ROUND(F17*(F43+INDIRECT("'数据-取费表'!S"&amp;$G$1))/10000,0)</f>
        <v>832</v>
      </c>
      <c r="D17" s="783" t="s">
        <v>1710</v>
      </c>
      <c r="E17" s="783" t="s">
        <v>1711</v>
      </c>
      <c r="F17" s="55">
        <f>'数据-取费表'!B35</f>
        <v>150</v>
      </c>
      <c r="G17" s="1579"/>
      <c r="H17" s="1634" t="s">
        <v>1789</v>
      </c>
      <c r="I17" s="783" t="s">
        <v>620</v>
      </c>
      <c r="J17" s="52">
        <f ca="1">ROUND(IF(项目基本情况!B11="自然人",J5*M17,J18+J19+J20),0)</f>
        <v>2157</v>
      </c>
      <c r="K17" s="2449" t="s">
        <v>1712</v>
      </c>
      <c r="L17" s="2448" t="s">
        <v>1713</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1847</v>
      </c>
      <c r="B18" s="783" t="s">
        <v>623</v>
      </c>
      <c r="C18" s="52">
        <f ca="1">ROUND(C14*F18,0)</f>
        <v>250</v>
      </c>
      <c r="D18" s="783" t="s">
        <v>1705</v>
      </c>
      <c r="E18" s="783" t="s">
        <v>1706</v>
      </c>
      <c r="F18" s="808">
        <f>'数据-取费表'!B36</f>
        <v>1.4999999999999999E-2</v>
      </c>
      <c r="G18" s="1579"/>
      <c r="H18" s="1633" t="s">
        <v>1843</v>
      </c>
      <c r="I18" s="783" t="s">
        <v>1714</v>
      </c>
      <c r="J18" s="52">
        <f ca="1">ROUND(J5*M18/1.05,1)</f>
        <v>0</v>
      </c>
      <c r="K18" s="2448" t="s">
        <v>1715</v>
      </c>
      <c r="L18" s="783" t="s">
        <v>1706</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1789</v>
      </c>
      <c r="B19" s="783" t="s">
        <v>626</v>
      </c>
      <c r="C19" s="52">
        <f ca="1">SUM(C14:C18)</f>
        <v>18552</v>
      </c>
      <c r="D19" s="260" t="s">
        <v>1716</v>
      </c>
      <c r="E19" s="1967"/>
      <c r="F19" s="55"/>
      <c r="G19" s="1578"/>
      <c r="H19" s="1633" t="s">
        <v>1844</v>
      </c>
      <c r="I19" s="783" t="s">
        <v>1717</v>
      </c>
      <c r="J19" s="52">
        <f ca="1">IF(K19="按租金收入计税",ROUND(J5*M19,1),ROUND(C29*F33*0.7,1))</f>
        <v>2151.4</v>
      </c>
      <c r="K19" s="810" t="s">
        <v>629</v>
      </c>
      <c r="L19" s="783" t="s">
        <v>1706</v>
      </c>
      <c r="M19" s="808">
        <f>IF(K19="按租金收入计税",'数据-取费表'!B51,'数据-取费表'!B50)</f>
        <v>1.2E-2</v>
      </c>
    </row>
    <row r="20" spans="1:33" s="2049" customFormat="1" ht="18" customHeight="1">
      <c r="A20" s="1634" t="s">
        <v>1848</v>
      </c>
      <c r="B20" s="783" t="s">
        <v>630</v>
      </c>
      <c r="C20" s="52">
        <f ca="1">ROUND(C19*F20,0)</f>
        <v>371</v>
      </c>
      <c r="D20" s="811" t="s">
        <v>1718</v>
      </c>
      <c r="E20" s="783" t="s">
        <v>1706</v>
      </c>
      <c r="F20" s="808">
        <f>'数据-取费表'!B37</f>
        <v>0.02</v>
      </c>
      <c r="G20" s="1579"/>
      <c r="H20" s="1636" t="s">
        <v>1839</v>
      </c>
      <c r="I20" s="340" t="s">
        <v>1719</v>
      </c>
      <c r="J20" s="53">
        <f ca="1">ROUND(M20*M21/10000,0)</f>
        <v>6</v>
      </c>
      <c r="K20" s="813" t="s">
        <v>1720</v>
      </c>
      <c r="L20" s="783" t="s">
        <v>1721</v>
      </c>
      <c r="M20" s="639">
        <f>'数据-取费表'!B52</f>
        <v>2</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1849</v>
      </c>
      <c r="B21" s="783" t="s">
        <v>1722</v>
      </c>
      <c r="C21" s="52" t="s">
        <v>1723</v>
      </c>
      <c r="D21" s="811" t="s">
        <v>2255</v>
      </c>
      <c r="E21" s="783" t="s">
        <v>1724</v>
      </c>
      <c r="F21" s="808">
        <f>'数据-取费表'!B38</f>
        <v>0.02</v>
      </c>
      <c r="G21" s="1579"/>
      <c r="H21" s="2470"/>
      <c r="I21" s="792"/>
      <c r="J21" s="68"/>
      <c r="K21" s="815"/>
      <c r="L21" s="783" t="s">
        <v>1725</v>
      </c>
      <c r="M21" s="784">
        <f ca="1">INDIRECT("'数据-取费表'!r"&amp;$G$1)</f>
        <v>27729.29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1850</v>
      </c>
      <c r="B22" s="783" t="s">
        <v>1726</v>
      </c>
      <c r="C22" s="52"/>
      <c r="D22" s="2536" t="str">
        <f>IF(F23&lt;=1,"单利计息。","复利计息。")&amp;"建造成本、管理费用、销售费用产生的利息。"</f>
        <v>复利计息。建造成本、管理费用、销售费用产生的利息。</v>
      </c>
      <c r="E22" s="1967"/>
      <c r="F22" s="55"/>
      <c r="G22" s="1578"/>
      <c r="H22" s="1634" t="s">
        <v>1848</v>
      </c>
      <c r="I22" s="783" t="s">
        <v>1727</v>
      </c>
      <c r="J22" s="52">
        <f ca="1">ROUND(J14*M22,0)</f>
        <v>512</v>
      </c>
      <c r="K22" s="2448" t="s">
        <v>1728</v>
      </c>
      <c r="L22" s="783" t="s">
        <v>1706</v>
      </c>
      <c r="M22" s="816">
        <f ca="1">INDIRECT("'数据-取费表'!Ak"&amp;$G$1)</f>
        <v>0.02</v>
      </c>
    </row>
    <row r="23" spans="1:33" s="2049" customFormat="1" ht="18" customHeight="1">
      <c r="A23" s="1633" t="s">
        <v>1790</v>
      </c>
      <c r="B23" s="783" t="s">
        <v>2490</v>
      </c>
      <c r="C23" s="52">
        <f ca="1">ROUND(IF('数据-取费表'!B22&lt;=1,(C19+C20)*F24*F23/2,(C19+C20)*(POWER((1+F24),F23/2)-1)),0)</f>
        <v>899</v>
      </c>
      <c r="D23" s="2535" t="str">
        <f>IF(F23&lt;=1,"(建造成本+管理费用)×利率×(建设周期÷2)","(建造成本+管理费用)×((1+利率)^(建设周期÷2)-1)")</f>
        <v>(建造成本+管理费用)×((1+利率)^(建设周期÷2)-1)</v>
      </c>
      <c r="E23" s="783" t="s">
        <v>1729</v>
      </c>
      <c r="F23" s="639">
        <f>'数据-取费表'!B20</f>
        <v>2</v>
      </c>
      <c r="G23" s="1579"/>
      <c r="H23" s="1634" t="s">
        <v>1849</v>
      </c>
      <c r="I23" s="783" t="s">
        <v>643</v>
      </c>
      <c r="J23" s="52">
        <f ca="1">ROUND(J13*M23,0)</f>
        <v>0</v>
      </c>
      <c r="K23" s="2448" t="s">
        <v>1730</v>
      </c>
      <c r="L23" s="783" t="s">
        <v>1706</v>
      </c>
      <c r="M23" s="817">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1791</v>
      </c>
      <c r="B24" s="783" t="s">
        <v>1731</v>
      </c>
      <c r="C24" s="52">
        <f ca="1">ROUND(IF('数据-取费表'!B22&lt;=1,F21*F24*F23/2,F21*(POWER((1+F24),F23/2)-1)),4)</f>
        <v>1E-3</v>
      </c>
      <c r="D24" s="2535" t="str">
        <f>IF(F23&lt;=1,"销售费用×利率×(建设周期÷2)","销售费用×((1+利率)^(建设周期÷2)-1)")</f>
        <v>销售费用×((1+利率)^(建设周期÷2)-1)</v>
      </c>
      <c r="E24" s="783" t="s">
        <v>1732</v>
      </c>
      <c r="F24" s="818">
        <f ca="1">'数据-取费表'!B40</f>
        <v>4.7500000000000001E-2</v>
      </c>
      <c r="G24" s="1579"/>
      <c r="H24" s="2515" t="s">
        <v>1850</v>
      </c>
      <c r="I24" s="2510" t="s">
        <v>630</v>
      </c>
      <c r="J24" s="2508">
        <f ca="1">ROUND(J5*M24,0)</f>
        <v>0</v>
      </c>
      <c r="K24" s="2509" t="s">
        <v>1733</v>
      </c>
      <c r="L24" s="2510" t="s">
        <v>1706</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1799</v>
      </c>
      <c r="B25" s="783" t="s">
        <v>648</v>
      </c>
      <c r="C25" s="52"/>
      <c r="D25" s="260" t="s">
        <v>1734</v>
      </c>
      <c r="E25" s="1967"/>
      <c r="F25" s="55"/>
      <c r="G25" s="1578"/>
      <c r="H25" s="1814" t="s">
        <v>1735</v>
      </c>
      <c r="I25" s="2962" t="s">
        <v>2777</v>
      </c>
      <c r="J25" s="791">
        <f ca="1">J5-J16</f>
        <v>-2669</v>
      </c>
      <c r="K25" s="2512" t="s">
        <v>1736</v>
      </c>
      <c r="L25" s="2513"/>
      <c r="M25" s="2514"/>
    </row>
    <row r="26" spans="1:33" ht="18" customHeight="1">
      <c r="A26" s="1633" t="s">
        <v>1790</v>
      </c>
      <c r="B26" s="783" t="s">
        <v>2395</v>
      </c>
      <c r="C26" s="52">
        <f ca="1">ROUND((C19+C20)*F26,0)</f>
        <v>3785</v>
      </c>
      <c r="D26" s="811" t="s">
        <v>1737</v>
      </c>
      <c r="E26" s="794" t="s">
        <v>1738</v>
      </c>
      <c r="F26" s="793">
        <f ca="1">INDIRECT("'数据-取费表'!q"&amp;$G$1)</f>
        <v>0.2</v>
      </c>
      <c r="G26" s="1578"/>
      <c r="H26" s="2466" t="s">
        <v>1739</v>
      </c>
      <c r="I26" s="2217" t="s">
        <v>2782</v>
      </c>
      <c r="J26" s="782">
        <f ca="1">IF(J5&lt;&gt;0,ROUND(J25*(1-((1+M28)/(1+M26))^M27)/(M26-M28),0),0)</f>
        <v>0</v>
      </c>
      <c r="K26" s="813" t="s">
        <v>1740</v>
      </c>
      <c r="L26" s="783" t="s">
        <v>2376</v>
      </c>
      <c r="M26" s="793">
        <f ca="1">INDIRECT("'数据-取费表'!I"&amp;$G$1)</f>
        <v>0.06</v>
      </c>
    </row>
    <row r="27" spans="1:33" ht="18" customHeight="1">
      <c r="A27" s="1633" t="s">
        <v>1791</v>
      </c>
      <c r="B27" s="783" t="s">
        <v>650</v>
      </c>
      <c r="C27" s="52">
        <f ca="1">ROUND(F21*F26,4)</f>
        <v>4.0000000000000001E-3</v>
      </c>
      <c r="D27" s="811" t="s">
        <v>1741</v>
      </c>
      <c r="E27" s="805"/>
      <c r="F27" s="806"/>
      <c r="G27" s="1578"/>
      <c r="H27" s="2467"/>
      <c r="I27" s="786"/>
      <c r="J27" s="787"/>
      <c r="K27" s="820" t="s">
        <v>1742</v>
      </c>
      <c r="L27" s="783" t="s">
        <v>1743</v>
      </c>
      <c r="M27" s="821">
        <f ca="1">INDIRECT("'数据-取费表'!ag"&amp;$G$1)</f>
        <v>0</v>
      </c>
    </row>
    <row r="28" spans="1:33" s="2049" customFormat="1" ht="18" customHeight="1">
      <c r="A28" s="1635" t="s">
        <v>1800</v>
      </c>
      <c r="B28" s="783" t="s">
        <v>651</v>
      </c>
      <c r="C28" s="52">
        <f>ROUND(F28/(1+'数据-取费表'!C42),4)</f>
        <v>5.33E-2</v>
      </c>
      <c r="D28" s="811" t="s">
        <v>2256</v>
      </c>
      <c r="E28" s="783" t="s">
        <v>1744</v>
      </c>
      <c r="F28" s="808">
        <f>'数据-取费表'!B41</f>
        <v>5.6000000000000001E-2</v>
      </c>
      <c r="G28" s="1579"/>
      <c r="H28" s="1814"/>
      <c r="I28" s="790"/>
      <c r="J28" s="791"/>
      <c r="K28" s="815"/>
      <c r="L28" s="783" t="s">
        <v>1745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1851</v>
      </c>
      <c r="B29" s="2505" t="s">
        <v>2257</v>
      </c>
      <c r="C29" s="2508">
        <f ca="1">ROUND((C19+C20+C23+C26)/(1-F21-C24-C27-C28),0)</f>
        <v>25612</v>
      </c>
      <c r="D29" s="2509"/>
      <c r="E29" s="2510"/>
      <c r="F29" s="2511"/>
      <c r="G29" s="1579"/>
      <c r="H29" s="822" t="s">
        <v>1746</v>
      </c>
      <c r="I29" s="823" t="s">
        <v>1747</v>
      </c>
      <c r="J29" s="824">
        <f ca="1">ROUND(J26/(1+F40)^F41,0)</f>
        <v>0</v>
      </c>
      <c r="K29" s="825" t="s">
        <v>1748</v>
      </c>
      <c r="L29" s="826"/>
      <c r="M29" s="827">
        <f ca="1">INDIRECT("'数据-取费表'!k"&amp;$G$1)</f>
        <v>55458.58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1852</v>
      </c>
      <c r="B30" s="1812" t="s">
        <v>1749</v>
      </c>
      <c r="C30" s="791">
        <f ca="1">ROUND(C31+C36+C37+C38,0)</f>
        <v>1098</v>
      </c>
      <c r="D30" s="1806" t="s">
        <v>1750</v>
      </c>
      <c r="E30" s="2450"/>
      <c r="F30" s="2455"/>
      <c r="G30" s="2047"/>
      <c r="H30" s="2050"/>
      <c r="I30" s="2051"/>
      <c r="J30" s="2052"/>
      <c r="K30" s="2053"/>
      <c r="L30" s="2054"/>
      <c r="M30" s="2055"/>
    </row>
    <row r="31" spans="1:33" ht="18" customHeight="1">
      <c r="A31" s="1634" t="s">
        <v>1789</v>
      </c>
      <c r="B31" s="783" t="s">
        <v>620</v>
      </c>
      <c r="C31" s="52">
        <f ca="1">ROUND(IF(项目基本情况!B11="自然人",C5*F31,C32+C33+C34),1)</f>
        <v>479.7</v>
      </c>
      <c r="D31" s="1964" t="s">
        <v>1751</v>
      </c>
      <c r="E31" s="1962" t="s">
        <v>1752</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1790</v>
      </c>
      <c r="B32" s="783" t="s">
        <v>1753</v>
      </c>
      <c r="C32" s="52">
        <f ca="1">ROUND(C5*F32/1.05,1)</f>
        <v>145.9</v>
      </c>
      <c r="D32" s="1962" t="s">
        <v>1754</v>
      </c>
      <c r="E32" s="783" t="s">
        <v>1755</v>
      </c>
      <c r="F32" s="808">
        <f>'数据-取费表'!B41</f>
        <v>5.6000000000000001E-2</v>
      </c>
      <c r="G32" s="2047"/>
      <c r="H32" s="2056"/>
      <c r="I32" s="2057"/>
      <c r="J32" s="2058"/>
      <c r="K32" s="2059"/>
      <c r="L32" s="2060"/>
      <c r="M32" s="2061"/>
    </row>
    <row r="33" spans="1:18" ht="18" customHeight="1">
      <c r="A33" s="1633" t="s">
        <v>1791</v>
      </c>
      <c r="B33" s="783" t="s">
        <v>1756</v>
      </c>
      <c r="C33" s="52">
        <f ca="1">IF(D33="按租金收入计税",ROUND(C5*F33,1),IF(D33="按房产原值计税",ROUND(C29*F33*0.7,1),INDIRECT("'数据-取费表'!Aj"&amp;$G$1)))</f>
        <v>328.3</v>
      </c>
      <c r="D33" s="810" t="s">
        <v>2978</v>
      </c>
      <c r="E33" s="783" t="s">
        <v>1755</v>
      </c>
      <c r="F33" s="808">
        <f>IF(D33="按租金收入计税",'数据-取费表'!B51,'数据-取费表'!B50)</f>
        <v>0.12</v>
      </c>
      <c r="G33" s="2047"/>
      <c r="H33" s="2062"/>
      <c r="I33" s="2062"/>
      <c r="J33" s="2062"/>
      <c r="K33" s="2063"/>
      <c r="L33" s="2062"/>
      <c r="M33" s="2062"/>
    </row>
    <row r="34" spans="1:18" ht="18" customHeight="1">
      <c r="A34" s="1636" t="s">
        <v>1792</v>
      </c>
      <c r="B34" s="340" t="s">
        <v>1757</v>
      </c>
      <c r="C34" s="53">
        <f ca="1">ROUND(F34*F35/10000,1)</f>
        <v>5.5</v>
      </c>
      <c r="D34" s="813" t="s">
        <v>1758</v>
      </c>
      <c r="E34" s="783" t="s">
        <v>1759</v>
      </c>
      <c r="F34" s="639">
        <f>'数据-取费表'!B52</f>
        <v>2</v>
      </c>
      <c r="G34" s="2047"/>
      <c r="H34" s="2050"/>
      <c r="I34" s="834" t="s">
        <v>1772</v>
      </c>
      <c r="J34" s="835"/>
      <c r="K34" s="2065"/>
      <c r="L34" s="2064"/>
      <c r="M34" s="2064"/>
    </row>
    <row r="35" spans="1:18" ht="18" customHeight="1">
      <c r="A35" s="814"/>
      <c r="B35" s="792"/>
      <c r="C35" s="68"/>
      <c r="D35" s="815"/>
      <c r="E35" s="783" t="s">
        <v>1760</v>
      </c>
      <c r="F35" s="784">
        <f ca="1">INDIRECT("'数据-取费表'!r"&amp;$G$1)</f>
        <v>27729.29</v>
      </c>
      <c r="G35" s="2047"/>
      <c r="H35" s="2050"/>
      <c r="I35" s="836" t="s">
        <v>1773</v>
      </c>
      <c r="J35" s="837">
        <f ca="1">ROUND(C13*J36,0)</f>
        <v>2177</v>
      </c>
      <c r="K35" s="2063"/>
      <c r="L35" s="2062"/>
      <c r="M35" s="2062"/>
    </row>
    <row r="36" spans="1:18" ht="18" customHeight="1">
      <c r="A36" s="1634" t="s">
        <v>1848</v>
      </c>
      <c r="B36" s="783" t="s">
        <v>1761</v>
      </c>
      <c r="C36" s="52">
        <f ca="1">ROUND(C29*F36,1)</f>
        <v>512.20000000000005</v>
      </c>
      <c r="D36" s="1962" t="s">
        <v>1762</v>
      </c>
      <c r="E36" s="783" t="s">
        <v>1755</v>
      </c>
      <c r="F36" s="816">
        <f ca="1">INDIRECT("'数据-取费表'!Ak"&amp;$G$1)</f>
        <v>0.02</v>
      </c>
      <c r="G36" s="2047"/>
      <c r="H36" s="2062"/>
      <c r="I36" s="838" t="s">
        <v>1774</v>
      </c>
      <c r="J36" s="839">
        <f ca="1">INDIRECT("'数据-取费表'!j"&amp;$G$1)</f>
        <v>8.5000000000000006E-2</v>
      </c>
      <c r="K36" s="2067"/>
      <c r="L36" s="2062"/>
      <c r="M36" s="2062"/>
    </row>
    <row r="37" spans="1:18" ht="18" customHeight="1">
      <c r="A37" s="1634" t="s">
        <v>1849</v>
      </c>
      <c r="B37" s="783" t="s">
        <v>643</v>
      </c>
      <c r="C37" s="52">
        <f ca="1">ROUND(C13*F37,1)</f>
        <v>51.2</v>
      </c>
      <c r="D37" s="1962" t="s">
        <v>1763</v>
      </c>
      <c r="E37" s="783" t="s">
        <v>1755</v>
      </c>
      <c r="F37" s="817">
        <f ca="1">INDIRECT("'数据-取费表'!Al"&amp;$G$1)</f>
        <v>2E-3</v>
      </c>
      <c r="G37" s="2047"/>
      <c r="H37" s="2062"/>
      <c r="I37" s="840" t="s">
        <v>1775</v>
      </c>
      <c r="J37" s="841"/>
      <c r="K37" s="2067"/>
      <c r="L37" s="2062"/>
      <c r="M37" s="2062"/>
    </row>
    <row r="38" spans="1:18" ht="18" customHeight="1" thickBot="1">
      <c r="A38" s="2515" t="s">
        <v>1850</v>
      </c>
      <c r="B38" s="2510" t="s">
        <v>630</v>
      </c>
      <c r="C38" s="2508">
        <f ca="1">ROUND(C5*F38,1)</f>
        <v>54.7</v>
      </c>
      <c r="D38" s="2509" t="s">
        <v>1764</v>
      </c>
      <c r="E38" s="2510" t="s">
        <v>1755</v>
      </c>
      <c r="F38" s="2506">
        <f ca="1">INDIRECT("'数据-取费表'!Am"&amp;$G$1)</f>
        <v>0.02</v>
      </c>
      <c r="G38" s="2047"/>
      <c r="H38" s="2062"/>
      <c r="I38" s="842" t="s">
        <v>1776</v>
      </c>
      <c r="J38" s="843"/>
      <c r="K38" s="2068"/>
      <c r="L38" s="2062"/>
      <c r="M38" s="2062"/>
    </row>
    <row r="39" spans="1:18" ht="24.6" customHeight="1" thickTop="1">
      <c r="A39" s="1814" t="s">
        <v>1853</v>
      </c>
      <c r="B39" s="2962" t="s">
        <v>2777</v>
      </c>
      <c r="C39" s="791">
        <f ca="1">C5-C30</f>
        <v>1638</v>
      </c>
      <c r="D39" s="2512" t="s">
        <v>1765</v>
      </c>
      <c r="E39" s="2513"/>
      <c r="F39" s="2514"/>
      <c r="G39" s="2047"/>
      <c r="H39" s="2062"/>
      <c r="I39" s="836" t="s">
        <v>1777</v>
      </c>
      <c r="J39" s="844">
        <f ca="1">ROUND(J35/C39,3)</f>
        <v>1.329</v>
      </c>
      <c r="K39" s="2068"/>
      <c r="L39" s="2062"/>
      <c r="M39" s="2062"/>
    </row>
    <row r="40" spans="1:18" ht="18" customHeight="1">
      <c r="A40" s="780" t="s">
        <v>1854</v>
      </c>
      <c r="B40" s="2217" t="s">
        <v>2258</v>
      </c>
      <c r="C40" s="782">
        <f ca="1">ROUND(C39*(1-((1+F42)/(1+F40))^F41)/(F40-F42),0)</f>
        <v>30927</v>
      </c>
      <c r="D40" s="813" t="s">
        <v>1766</v>
      </c>
      <c r="E40" s="783" t="s">
        <v>2376</v>
      </c>
      <c r="F40" s="793">
        <f ca="1">INDIRECT("'数据-取费表'!I"&amp;$G$1)</f>
        <v>0.06</v>
      </c>
      <c r="G40" s="2047"/>
      <c r="H40" s="2047"/>
      <c r="I40" s="836" t="s">
        <v>1778</v>
      </c>
      <c r="J40" s="844">
        <f ca="1">1-J39</f>
        <v>-0.32899999999999996</v>
      </c>
      <c r="K40" s="2068"/>
      <c r="L40" s="2047"/>
      <c r="M40" s="2047"/>
    </row>
    <row r="41" spans="1:18" ht="18" customHeight="1">
      <c r="A41" s="785"/>
      <c r="B41" s="786"/>
      <c r="C41" s="787"/>
      <c r="D41" s="820" t="s">
        <v>1767</v>
      </c>
      <c r="E41" s="783" t="s">
        <v>2904</v>
      </c>
      <c r="F41" s="821">
        <f ca="1">IF(INDIRECT("'数据-取费表'!af"&amp;$G$1)=0,INDIRECT("'数据-取费表'!ae"&amp;$G$1),INDIRECT("'数据-取费表'!af"&amp;$G$1))</f>
        <v>36.590000000000003</v>
      </c>
      <c r="G41" s="2047"/>
      <c r="H41" s="1973"/>
      <c r="I41" s="842" t="s">
        <v>1779</v>
      </c>
      <c r="J41" s="845"/>
      <c r="K41" s="2067"/>
      <c r="L41" s="1973"/>
      <c r="M41" s="1973"/>
    </row>
    <row r="42" spans="1:18" ht="18" customHeight="1">
      <c r="A42" s="789"/>
      <c r="B42" s="790"/>
      <c r="C42" s="791"/>
      <c r="D42" s="815"/>
      <c r="E42" s="783" t="s">
        <v>1768</v>
      </c>
      <c r="F42" s="793">
        <f ca="1">INDIRECT("'数据-取费表'!v"&amp;$G$1)</f>
        <v>0.02</v>
      </c>
      <c r="G42" s="2047"/>
      <c r="H42" s="1973"/>
      <c r="I42" s="846" t="s">
        <v>1780</v>
      </c>
      <c r="J42" s="844">
        <f ca="1">ROUND(C13/C40,3)</f>
        <v>0.82799999999999996</v>
      </c>
      <c r="K42" s="2067"/>
      <c r="L42" s="1973"/>
      <c r="M42" s="1973"/>
    </row>
    <row r="43" spans="1:18" ht="18" customHeight="1" thickBot="1">
      <c r="A43" s="822" t="s">
        <v>1746</v>
      </c>
      <c r="B43" s="823" t="s">
        <v>1769</v>
      </c>
      <c r="C43" s="824">
        <f ca="1">ROUND(C40*10000/F43,0)</f>
        <v>5577</v>
      </c>
      <c r="D43" s="825" t="s">
        <v>1770</v>
      </c>
      <c r="E43" s="826" t="s">
        <v>1771</v>
      </c>
      <c r="F43" s="827">
        <f ca="1">INDIRECT("'数据-取费表'!k"&amp;$G$1)</f>
        <v>55458.58</v>
      </c>
      <c r="G43" s="2047"/>
      <c r="H43" s="1973"/>
      <c r="I43" s="846" t="s">
        <v>1781</v>
      </c>
      <c r="J43" s="847">
        <f ca="1">1-J42</f>
        <v>0.17200000000000004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2252</v>
      </c>
      <c r="B46" s="2070"/>
      <c r="C46" s="2538">
        <f ca="1">C67-C40</f>
        <v>-39286</v>
      </c>
      <c r="D46" s="2070"/>
      <c r="E46" s="2070"/>
      <c r="F46" s="2070"/>
      <c r="I46" s="2342" t="s">
        <v>2300</v>
      </c>
      <c r="J46" s="2343"/>
      <c r="K46" s="2344"/>
      <c r="L46" s="3107">
        <f>IF(OR(M47="住宅",D1="土地（套用方法）"),0,IF(L48&gt;J51,L60,J60))</f>
        <v>0</v>
      </c>
      <c r="O46" s="2358" t="s">
        <v>2367</v>
      </c>
      <c r="P46" s="1578"/>
      <c r="Q46" s="1589"/>
      <c r="R46" s="1578"/>
    </row>
    <row r="47" spans="1:18" s="2044" customFormat="1" ht="18" customHeight="1" thickBot="1">
      <c r="A47" s="2336">
        <v>1</v>
      </c>
      <c r="B47" s="2337" t="s">
        <v>599</v>
      </c>
      <c r="C47" s="2538">
        <f ca="1">C48+C52+C54</f>
        <v>0</v>
      </c>
      <c r="D47" s="2070"/>
      <c r="E47" s="2070"/>
      <c r="F47" s="2070"/>
      <c r="I47" s="3097" t="s">
        <v>2301</v>
      </c>
      <c r="J47" s="2345" t="s">
        <v>2964</v>
      </c>
      <c r="K47" s="3104" t="s">
        <v>2306</v>
      </c>
      <c r="L47" s="3108">
        <f ca="1">INDIRECT("'数据-取费表'!d"&amp;$G$1)</f>
        <v>40</v>
      </c>
      <c r="M47" s="1589" t="str">
        <f>IF(ISNUMBER(FIND("住宅",C1)),"住宅","非住宅")</f>
        <v>非住宅</v>
      </c>
      <c r="O47" s="2359" t="s">
        <v>2332</v>
      </c>
      <c r="P47" s="2360" t="s">
        <v>2333</v>
      </c>
      <c r="Q47" s="2361" t="s">
        <v>2334</v>
      </c>
      <c r="R47" s="2360" t="s">
        <v>2335</v>
      </c>
    </row>
    <row r="48" spans="1:18" s="2044" customFormat="1" ht="18" customHeight="1" thickBot="1">
      <c r="A48" s="2606" t="s">
        <v>2492</v>
      </c>
      <c r="B48" s="2607" t="s">
        <v>2493</v>
      </c>
      <c r="C48" s="2338">
        <f ca="1">ROUND(F48*F50*F49*(1-F51)/10000,0)</f>
        <v>0</v>
      </c>
      <c r="D48" s="2339" t="s">
        <v>600</v>
      </c>
      <c r="E48" s="2340" t="s">
        <v>2253</v>
      </c>
      <c r="F48" s="2341"/>
      <c r="G48" s="2075"/>
      <c r="I48" s="3076" t="s">
        <v>2302</v>
      </c>
      <c r="J48" s="2346" t="s">
        <v>2307</v>
      </c>
      <c r="K48" s="3105" t="s">
        <v>2308</v>
      </c>
      <c r="L48" s="1893">
        <f ca="1">INDIRECT("'数据-取费表'!f"&amp;$G$1)</f>
        <v>38.590000000000003</v>
      </c>
      <c r="O48" s="2362" t="s">
        <v>2336</v>
      </c>
      <c r="P48" s="2363" t="s">
        <v>2362</v>
      </c>
      <c r="Q48" s="2364">
        <f ca="1">C40+J29</f>
        <v>30927</v>
      </c>
      <c r="R48" s="2363" t="s">
        <v>2337</v>
      </c>
    </row>
    <row r="49" spans="1:18" s="2044" customFormat="1" ht="18" customHeight="1" thickBot="1">
      <c r="A49" s="785"/>
      <c r="B49" s="786"/>
      <c r="C49" s="787"/>
      <c r="D49" s="788"/>
      <c r="E49" s="783" t="s">
        <v>1698</v>
      </c>
      <c r="F49" s="784">
        <f ca="1">F7</f>
        <v>55458.58</v>
      </c>
      <c r="G49" s="2075"/>
      <c r="H49" s="2078"/>
      <c r="I49" s="3076" t="s">
        <v>2303</v>
      </c>
      <c r="J49" s="2347">
        <v>2019</v>
      </c>
      <c r="K49" s="3106" t="s">
        <v>2309</v>
      </c>
      <c r="L49" s="2348"/>
      <c r="O49" s="2362" t="s">
        <v>2338</v>
      </c>
      <c r="P49" s="2363" t="s">
        <v>2363</v>
      </c>
      <c r="Q49" s="2364">
        <f ca="1">J60</f>
        <v>438</v>
      </c>
      <c r="R49" s="2363" t="s">
        <v>2339</v>
      </c>
    </row>
    <row r="50" spans="1:18" s="2044" customFormat="1" ht="18" customHeight="1" thickBot="1">
      <c r="A50" s="785"/>
      <c r="B50" s="786"/>
      <c r="C50" s="787"/>
      <c r="D50" s="788"/>
      <c r="E50" s="783" t="s">
        <v>1699</v>
      </c>
      <c r="F50" s="784">
        <f ca="1">F8</f>
        <v>365</v>
      </c>
      <c r="G50" s="2080"/>
      <c r="H50" s="2078"/>
      <c r="I50" s="3076" t="s">
        <v>2304</v>
      </c>
      <c r="J50" s="3101">
        <f>SUMPRODUCT((I63:I65=J47)*(J62:L62=J48)*(J63:L65))</f>
        <v>60</v>
      </c>
      <c r="K50" s="3106" t="s">
        <v>2310</v>
      </c>
      <c r="L50" s="2348"/>
      <c r="O50" s="2365" t="s">
        <v>2340</v>
      </c>
      <c r="P50" s="2363" t="s">
        <v>2364</v>
      </c>
      <c r="Q50" s="2364">
        <f ca="1">C29</f>
        <v>25612</v>
      </c>
      <c r="R50" s="2363" t="s">
        <v>2337</v>
      </c>
    </row>
    <row r="51" spans="1:18" s="2044" customFormat="1" ht="18" customHeight="1" thickBot="1">
      <c r="A51" s="785"/>
      <c r="B51" s="786"/>
      <c r="C51" s="787"/>
      <c r="D51" s="788"/>
      <c r="E51" s="783" t="s">
        <v>604</v>
      </c>
      <c r="F51" s="2335"/>
      <c r="H51" s="2078"/>
      <c r="I51" s="3098" t="s">
        <v>2305</v>
      </c>
      <c r="J51" s="3102">
        <f>IF(J49="",J50,J49+J50-YEAR('数据-取费表'!B2))</f>
        <v>60</v>
      </c>
      <c r="K51" s="3076" t="s">
        <v>2311</v>
      </c>
      <c r="L51" s="3109">
        <f ca="1">ROUND(-PV(INDIRECT("'数据-取费表'!h"&amp;$G$1),L48,(C39-C13*J36),0),0)</f>
        <v>-9140</v>
      </c>
      <c r="O51" s="2365" t="s">
        <v>2341</v>
      </c>
      <c r="P51" s="2363" t="s">
        <v>2342</v>
      </c>
      <c r="Q51" s="2366">
        <f ca="1">J58</f>
        <v>0.4</v>
      </c>
      <c r="R51" s="2367"/>
    </row>
    <row r="52" spans="1:18" s="2044" customFormat="1" ht="18" customHeight="1" thickBot="1">
      <c r="A52" s="780" t="s">
        <v>2491</v>
      </c>
      <c r="B52" s="2458" t="s">
        <v>2414</v>
      </c>
      <c r="C52" s="798">
        <f ca="1">ROUND(IF(F52="押一",C48/12*F11,IF(F52="押二",C48/12*2*F11,IF(F52="押三",C48/12*3*F11,C53*F11))),0)</f>
        <v>0</v>
      </c>
      <c r="D52" s="2465" t="s">
        <v>2915</v>
      </c>
      <c r="E52" s="2462" t="s">
        <v>2419</v>
      </c>
      <c r="F52" s="2585"/>
      <c r="I52" s="3099" t="s">
        <v>2378</v>
      </c>
      <c r="J52" s="2349">
        <v>0.09</v>
      </c>
      <c r="K52" s="3099" t="s">
        <v>2377</v>
      </c>
      <c r="L52" s="2349"/>
      <c r="O52" s="2365" t="s">
        <v>2343</v>
      </c>
      <c r="P52" s="2363" t="s">
        <v>2344</v>
      </c>
      <c r="Q52" s="2366">
        <f>J52</f>
        <v>0.09</v>
      </c>
      <c r="R52" s="2367"/>
    </row>
    <row r="53" spans="1:18" s="2044" customFormat="1" ht="39.75" customHeight="1" thickBot="1">
      <c r="A53" s="785"/>
      <c r="B53" s="2459" t="s">
        <v>2528</v>
      </c>
      <c r="C53" s="2463"/>
      <c r="D53" s="2465"/>
      <c r="E53" s="2462"/>
      <c r="F53" s="799"/>
      <c r="I53" s="3100" t="s">
        <v>2918</v>
      </c>
      <c r="J53" s="3103">
        <f ca="1">IF(M47="住宅",IF(D1="——",MAX(J51,L48),MAX(J51,L48-'数据-取费表'!B20)),IF(D1="——",MIN(J51,L48),MIN(J51,L48-'数据-取费表'!B20)))</f>
        <v>36.590000000000003</v>
      </c>
      <c r="K53" s="3490" t="s">
        <v>2906</v>
      </c>
      <c r="L53" s="3491"/>
      <c r="O53" s="2365" t="s">
        <v>2345</v>
      </c>
      <c r="P53" s="2363" t="s">
        <v>2346</v>
      </c>
      <c r="Q53" s="2364">
        <f ca="1">J53</f>
        <v>36.590000000000003</v>
      </c>
      <c r="R53" s="2363" t="s">
        <v>2347</v>
      </c>
    </row>
    <row r="54" spans="1:18" s="2044" customFormat="1" ht="18" customHeight="1" thickBot="1">
      <c r="A54" s="2501" t="s">
        <v>2422</v>
      </c>
      <c r="B54" s="2502" t="s">
        <v>2415</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2348</v>
      </c>
      <c r="P54" s="2363" t="s">
        <v>2365</v>
      </c>
      <c r="Q54" s="2364">
        <f ca="1">Q48+Q49</f>
        <v>31365</v>
      </c>
      <c r="R54" s="2367" t="s">
        <v>2349</v>
      </c>
    </row>
    <row r="55" spans="1:18" s="2044" customFormat="1" ht="18" customHeight="1" thickTop="1" thickBot="1">
      <c r="A55" s="796">
        <v>2</v>
      </c>
      <c r="B55" s="797" t="s">
        <v>608</v>
      </c>
      <c r="C55" s="798">
        <f ca="1">C13</f>
        <v>25612</v>
      </c>
      <c r="D55" s="794"/>
      <c r="E55" s="794"/>
      <c r="F55" s="799"/>
      <c r="I55" s="3112" t="s">
        <v>2312</v>
      </c>
      <c r="J55" s="3051">
        <f ca="1">ROUND(IF(J47="钢混",J57/J50,1-(1-2%)*(J50-J57)/J50),3)</f>
        <v>0.35699999999999998</v>
      </c>
      <c r="K55" s="3113" t="s">
        <v>2313</v>
      </c>
      <c r="L55" s="2350"/>
      <c r="O55" s="2368" t="s">
        <v>2368</v>
      </c>
      <c r="P55" s="1578"/>
      <c r="Q55" s="1589"/>
      <c r="R55" s="1578"/>
    </row>
    <row r="56" spans="1:18" s="2044" customFormat="1" ht="42.75" customHeight="1" thickBot="1">
      <c r="A56" s="1635"/>
      <c r="B56" s="2216" t="s">
        <v>2259</v>
      </c>
      <c r="C56" s="52">
        <f ca="1">C29</f>
        <v>25612</v>
      </c>
      <c r="D56" s="2603"/>
      <c r="E56" s="783"/>
      <c r="F56" s="808"/>
      <c r="I56" s="3114" t="s">
        <v>2314</v>
      </c>
      <c r="J56" s="3124"/>
      <c r="K56" s="3076" t="s">
        <v>2319</v>
      </c>
      <c r="L56" s="1893" t="str">
        <f ca="1">IF(L48&lt;J51,"——",L48-J51)</f>
        <v>——</v>
      </c>
      <c r="O56" s="2359" t="s">
        <v>2332</v>
      </c>
      <c r="P56" s="2360" t="s">
        <v>2333</v>
      </c>
      <c r="Q56" s="2361" t="s">
        <v>2334</v>
      </c>
      <c r="R56" s="2360" t="s">
        <v>2335</v>
      </c>
    </row>
    <row r="57" spans="1:18" s="2044" customFormat="1" ht="28.5" customHeight="1" thickBot="1">
      <c r="A57" s="796" t="s">
        <v>1707</v>
      </c>
      <c r="B57" s="797" t="s">
        <v>615</v>
      </c>
      <c r="C57" s="798">
        <f ca="1">ROUND(C58+C63+C64+C65,0)</f>
        <v>569</v>
      </c>
      <c r="D57" s="25" t="s">
        <v>1709</v>
      </c>
      <c r="E57" s="2604"/>
      <c r="F57" s="55"/>
      <c r="I57" s="3115" t="s">
        <v>2315</v>
      </c>
      <c r="J57" s="3116">
        <f ca="1">IF(OR(M47="住宅",J51&lt;L48,J56="是"),"——",J51-L48)</f>
        <v>21.409999999999997</v>
      </c>
      <c r="K57" s="3076" t="s">
        <v>2320</v>
      </c>
      <c r="L57" s="1893" t="str">
        <f ca="1">IF(L48&lt;J51,"——",IF(L55="比较法",L49,IF(L55="基准地价",L50,L51)))</f>
        <v>——</v>
      </c>
      <c r="O57" s="2362" t="s">
        <v>2336</v>
      </c>
      <c r="P57" s="2363" t="s">
        <v>2366</v>
      </c>
      <c r="Q57" s="2364">
        <f ca="1">C40+J29</f>
        <v>30927</v>
      </c>
      <c r="R57" s="2363" t="s">
        <v>2337</v>
      </c>
    </row>
    <row r="58" spans="1:18" s="2044" customFormat="1" ht="28.5" customHeight="1" thickBot="1">
      <c r="A58" s="1634" t="s">
        <v>1783</v>
      </c>
      <c r="B58" s="783" t="s">
        <v>620</v>
      </c>
      <c r="C58" s="52">
        <f ca="1">ROUND(IF(项目基本情况!B11="自然人",C47*F58,C59+C60+C61),1)</f>
        <v>5.5</v>
      </c>
      <c r="D58" s="2602" t="s">
        <v>621</v>
      </c>
      <c r="E58" s="2603" t="s">
        <v>654</v>
      </c>
      <c r="F58" s="809" t="str">
        <f ca="1">IF(项目基本情况!B11="企业","",IF(INDIRECT("'数据-取费表'!c"&amp;$G$1)="住宅",5%,IF(F48*F49*F50/12/(1+'数据-取费表'!C42)&gt;20000,12%,7%)))</f>
        <v/>
      </c>
      <c r="I58" s="3115" t="s">
        <v>2316</v>
      </c>
      <c r="J58" s="3052">
        <f ca="1">IF(J55&lt;0.4,0.4,J55)</f>
        <v>0.4</v>
      </c>
      <c r="K58" s="3076" t="s">
        <v>2321</v>
      </c>
      <c r="L58" s="1893" t="e">
        <f ca="1">ROUND(POWER(1+L52,L47-L48)*(POWER(1+L52,L48)-1)/(POWER(1+L52,L47)-1),4)</f>
        <v>#DIV/0!</v>
      </c>
      <c r="O58" s="2362" t="s">
        <v>2338</v>
      </c>
      <c r="P58" s="2363" t="s">
        <v>2369</v>
      </c>
      <c r="Q58" s="2364">
        <f ca="1">L60</f>
        <v>0</v>
      </c>
      <c r="R58" s="2367" t="s">
        <v>2371</v>
      </c>
    </row>
    <row r="59" spans="1:18" s="2044" customFormat="1" ht="28.5" customHeight="1" thickBot="1">
      <c r="A59" s="1633" t="s">
        <v>1790</v>
      </c>
      <c r="B59" s="783" t="s">
        <v>624</v>
      </c>
      <c r="C59" s="52">
        <f ca="1">ROUND(C47*F59/1.05,1)</f>
        <v>0</v>
      </c>
      <c r="D59" s="2603" t="s">
        <v>1715</v>
      </c>
      <c r="E59" s="783" t="s">
        <v>1706</v>
      </c>
      <c r="F59" s="808">
        <f t="shared" ref="F59:F65" si="0">F32</f>
        <v>5.6000000000000001E-2</v>
      </c>
      <c r="I59" s="3115" t="s">
        <v>2317</v>
      </c>
      <c r="J59" s="3116">
        <f ca="1">IF(OR(M47="住宅",J51&lt;L48,J56="是"),"——",ROUND(C29*J58,0))</f>
        <v>10245</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2340</v>
      </c>
      <c r="P59" s="2363" t="s">
        <v>2370</v>
      </c>
      <c r="Q59" s="2364">
        <f>IF(L55="比较法",L49,IF(L55="基准地价",L50,0))</f>
        <v>0</v>
      </c>
      <c r="R59" s="2363" t="s">
        <v>2337</v>
      </c>
    </row>
    <row r="60" spans="1:18" s="2044" customFormat="1" ht="18" customHeight="1" thickBot="1">
      <c r="A60" s="1633" t="s">
        <v>1791</v>
      </c>
      <c r="B60" s="783" t="s">
        <v>1717</v>
      </c>
      <c r="C60" s="52">
        <f ca="1">IF(D60="按租金收入计税",ROUND(C47*F60,1),IF(D60="按房产原值计税",ROUND(C56*F60*0.7,1),INDIRECT("'数据-取费表'!Aj"&amp;$G$1)))</f>
        <v>0</v>
      </c>
      <c r="D60" s="2603" t="str">
        <f>D33</f>
        <v>按租金收入计税</v>
      </c>
      <c r="E60" s="783" t="s">
        <v>1706</v>
      </c>
      <c r="F60" s="808">
        <f t="shared" si="0"/>
        <v>0.12</v>
      </c>
      <c r="I60" s="3117" t="s">
        <v>2318</v>
      </c>
      <c r="J60" s="3118">
        <f ca="1">IF(OR(M47="住宅",J51&lt;L48,J56="是"),"0",ROUND(J59/(1+J52)^J53,0))</f>
        <v>438</v>
      </c>
      <c r="K60" s="3119" t="s">
        <v>2323</v>
      </c>
      <c r="L60" s="3118">
        <f ca="1">IF(OR(M47="住宅",L48&lt;J51),0,ROUND(L57*(L58/L59-1),0))</f>
        <v>0</v>
      </c>
      <c r="O60" s="2365" t="s">
        <v>2341</v>
      </c>
      <c r="P60" s="2363" t="s">
        <v>2350</v>
      </c>
      <c r="Q60" s="2366">
        <f>L52</f>
        <v>0</v>
      </c>
      <c r="R60" s="2367"/>
    </row>
    <row r="61" spans="1:18" s="2044" customFormat="1" ht="18" customHeight="1" thickBot="1">
      <c r="A61" s="1636" t="s">
        <v>1792</v>
      </c>
      <c r="B61" s="340" t="s">
        <v>632</v>
      </c>
      <c r="C61" s="53">
        <f ca="1">ROUND(F61*F62/10000,1)</f>
        <v>5.5</v>
      </c>
      <c r="D61" s="813" t="s">
        <v>633</v>
      </c>
      <c r="E61" s="783" t="s">
        <v>634</v>
      </c>
      <c r="F61" s="639">
        <f t="shared" si="0"/>
        <v>2</v>
      </c>
      <c r="K61" s="2071"/>
      <c r="O61" s="2365" t="s">
        <v>2343</v>
      </c>
      <c r="P61" s="2363" t="s">
        <v>2351</v>
      </c>
      <c r="Q61" s="2364" t="e">
        <f ca="1">L58</f>
        <v>#DIV/0!</v>
      </c>
      <c r="R61" s="2367" t="s">
        <v>2352</v>
      </c>
    </row>
    <row r="62" spans="1:18" s="2044" customFormat="1" ht="15.75" thickBot="1">
      <c r="A62" s="814"/>
      <c r="B62" s="792"/>
      <c r="C62" s="68"/>
      <c r="D62" s="815"/>
      <c r="E62" s="783" t="s">
        <v>638</v>
      </c>
      <c r="F62" s="784">
        <f t="shared" ca="1" si="0"/>
        <v>27729.29</v>
      </c>
      <c r="I62" s="3120" t="s">
        <v>2324</v>
      </c>
      <c r="J62" s="3121" t="s">
        <v>2325</v>
      </c>
      <c r="K62" s="3121" t="s">
        <v>2326</v>
      </c>
      <c r="L62" s="3121" t="s">
        <v>2307</v>
      </c>
      <c r="M62" s="3122" t="s">
        <v>2885</v>
      </c>
      <c r="O62" s="2365" t="s">
        <v>2345</v>
      </c>
      <c r="P62" s="2363" t="str">
        <f>K59</f>
        <v>建设期及建筑物耐用年限下的土地年期修正系数Kn</v>
      </c>
      <c r="Q62" s="2364" t="e">
        <f ca="1">L59</f>
        <v>#DIV/0!</v>
      </c>
      <c r="R62" s="2367" t="s">
        <v>2354</v>
      </c>
    </row>
    <row r="63" spans="1:18" s="2044" customFormat="1" ht="15.75" thickBot="1">
      <c r="A63" s="1634" t="s">
        <v>1848</v>
      </c>
      <c r="B63" s="783" t="s">
        <v>640</v>
      </c>
      <c r="C63" s="52">
        <f ca="1">ROUND(C56*F63,1)</f>
        <v>512.20000000000005</v>
      </c>
      <c r="D63" s="2603" t="s">
        <v>1762</v>
      </c>
      <c r="E63" s="783" t="s">
        <v>1706</v>
      </c>
      <c r="F63" s="816">
        <f t="shared" ca="1" si="0"/>
        <v>0.02</v>
      </c>
      <c r="I63" s="3120" t="s">
        <v>2327</v>
      </c>
      <c r="J63" s="3121">
        <v>70</v>
      </c>
      <c r="K63" s="3121">
        <v>50</v>
      </c>
      <c r="L63" s="3121">
        <v>80</v>
      </c>
      <c r="M63" s="3123">
        <v>0.02</v>
      </c>
      <c r="O63" s="2362" t="s">
        <v>2348</v>
      </c>
      <c r="P63" s="2363" t="s">
        <v>2365</v>
      </c>
      <c r="Q63" s="2364">
        <f ca="1">Q57+Q58</f>
        <v>30927</v>
      </c>
      <c r="R63" s="2367" t="s">
        <v>2349</v>
      </c>
    </row>
    <row r="64" spans="1:18" s="2044" customFormat="1" ht="16.5" thickBot="1">
      <c r="A64" s="1634" t="s">
        <v>1849</v>
      </c>
      <c r="B64" s="783" t="s">
        <v>643</v>
      </c>
      <c r="C64" s="52">
        <f ca="1">ROUND(C55*F64,1)</f>
        <v>51.2</v>
      </c>
      <c r="D64" s="2603" t="s">
        <v>644</v>
      </c>
      <c r="E64" s="783" t="s">
        <v>1706</v>
      </c>
      <c r="F64" s="817">
        <f t="shared" ca="1" si="0"/>
        <v>2E-3</v>
      </c>
      <c r="I64" s="3120" t="s">
        <v>2328</v>
      </c>
      <c r="J64" s="3121">
        <v>50</v>
      </c>
      <c r="K64" s="3121">
        <v>35</v>
      </c>
      <c r="L64" s="3121">
        <v>60</v>
      </c>
      <c r="M64" s="845">
        <v>0</v>
      </c>
      <c r="O64" s="2368" t="s">
        <v>2372</v>
      </c>
      <c r="P64" s="1578"/>
      <c r="Q64" s="1589"/>
      <c r="R64" s="1578"/>
    </row>
    <row r="65" spans="1:18" s="2044" customFormat="1" ht="15.75" thickBot="1">
      <c r="A65" s="1634" t="s">
        <v>1850</v>
      </c>
      <c r="B65" s="783" t="s">
        <v>630</v>
      </c>
      <c r="C65" s="52">
        <f ca="1">ROUND(C47*F65,1)</f>
        <v>0</v>
      </c>
      <c r="D65" s="2603" t="s">
        <v>647</v>
      </c>
      <c r="E65" s="783" t="s">
        <v>1706</v>
      </c>
      <c r="F65" s="793">
        <f t="shared" ca="1" si="0"/>
        <v>0.02</v>
      </c>
      <c r="I65" s="3120" t="s">
        <v>2329</v>
      </c>
      <c r="J65" s="3121">
        <v>40</v>
      </c>
      <c r="K65" s="3121">
        <v>30</v>
      </c>
      <c r="L65" s="3121">
        <v>50</v>
      </c>
      <c r="M65" s="3123">
        <v>0.02</v>
      </c>
      <c r="O65" s="2359" t="s">
        <v>2332</v>
      </c>
      <c r="P65" s="2360" t="s">
        <v>2333</v>
      </c>
      <c r="Q65" s="2361" t="s">
        <v>2334</v>
      </c>
      <c r="R65" s="2360" t="s">
        <v>2335</v>
      </c>
    </row>
    <row r="66" spans="1:18" s="2044" customFormat="1" ht="24.75" thickBot="1">
      <c r="A66" s="796" t="s">
        <v>1735</v>
      </c>
      <c r="B66" s="2963" t="s">
        <v>2777</v>
      </c>
      <c r="C66" s="798">
        <f ca="1">C47-C57</f>
        <v>-569</v>
      </c>
      <c r="D66" s="2602" t="s">
        <v>664</v>
      </c>
      <c r="E66" s="2601"/>
      <c r="F66" s="819"/>
      <c r="K66" s="2071"/>
      <c r="O66" s="2362" t="s">
        <v>2336</v>
      </c>
      <c r="P66" s="2363" t="s">
        <v>2366</v>
      </c>
      <c r="Q66" s="2364">
        <f ca="1">C40+J29</f>
        <v>30927</v>
      </c>
      <c r="R66" s="2363" t="s">
        <v>2337</v>
      </c>
    </row>
    <row r="67" spans="1:18" s="2044" customFormat="1" ht="20.25" thickBot="1">
      <c r="A67" s="780" t="s">
        <v>1739</v>
      </c>
      <c r="B67" s="2217" t="s">
        <v>2258</v>
      </c>
      <c r="C67" s="782">
        <f ca="1">ROUND(C66*(1-((1+F69)/(1+F67))^F68)/(F67-F69),0)</f>
        <v>-8359</v>
      </c>
      <c r="D67" s="813" t="s">
        <v>668</v>
      </c>
      <c r="E67" s="783" t="s">
        <v>669</v>
      </c>
      <c r="F67" s="793">
        <f ca="1">F40</f>
        <v>0.06</v>
      </c>
      <c r="K67" s="2071"/>
      <c r="O67" s="2362" t="s">
        <v>2338</v>
      </c>
      <c r="P67" s="2363" t="s">
        <v>2369</v>
      </c>
      <c r="Q67" s="2364">
        <f ca="1">L60</f>
        <v>0</v>
      </c>
      <c r="R67" s="2367" t="s">
        <v>2371</v>
      </c>
    </row>
    <row r="68" spans="1:18" ht="21.75" thickBot="1">
      <c r="A68" s="785"/>
      <c r="B68" s="786"/>
      <c r="C68" s="787"/>
      <c r="D68" s="820" t="s">
        <v>1767</v>
      </c>
      <c r="E68" s="783" t="s">
        <v>1743</v>
      </c>
      <c r="F68" s="821">
        <f ca="1">F41</f>
        <v>36.590000000000003</v>
      </c>
      <c r="O68" s="2365" t="s">
        <v>2340</v>
      </c>
      <c r="P68" s="2363" t="s">
        <v>2370</v>
      </c>
      <c r="Q68" s="2369">
        <f ca="1">L51</f>
        <v>-9140</v>
      </c>
      <c r="R68" s="2370" t="s">
        <v>2373</v>
      </c>
    </row>
    <row r="69" spans="1:18" ht="20.25" thickBot="1">
      <c r="A69" s="789"/>
      <c r="B69" s="790"/>
      <c r="C69" s="791"/>
      <c r="D69" s="815"/>
      <c r="E69" s="783" t="s">
        <v>674</v>
      </c>
      <c r="F69" s="2335"/>
      <c r="O69" s="2365" t="s">
        <v>2341</v>
      </c>
      <c r="P69" s="2371" t="s">
        <v>2355</v>
      </c>
      <c r="Q69" s="2364">
        <f ca="1">ROUND(Q70-Q71*Q72,0)</f>
        <v>-539</v>
      </c>
      <c r="R69" s="2367"/>
    </row>
    <row r="70" spans="1:18" ht="15.75" thickBot="1">
      <c r="A70" s="822" t="s">
        <v>1746</v>
      </c>
      <c r="B70" s="823" t="s">
        <v>1769</v>
      </c>
      <c r="C70" s="824">
        <f ca="1">ROUND(C67*10000/F70,0)</f>
        <v>-1507</v>
      </c>
      <c r="D70" s="825" t="s">
        <v>1770</v>
      </c>
      <c r="E70" s="826" t="s">
        <v>1771</v>
      </c>
      <c r="F70" s="827">
        <f ca="1">F43</f>
        <v>55458.58</v>
      </c>
      <c r="O70" s="2365" t="s">
        <v>2356</v>
      </c>
      <c r="P70" s="2371" t="s">
        <v>2357</v>
      </c>
      <c r="Q70" s="2364">
        <f ca="1">C39</f>
        <v>1638</v>
      </c>
      <c r="R70" s="2363" t="s">
        <v>2337</v>
      </c>
    </row>
    <row r="71" spans="1:18" ht="15.75" thickBot="1">
      <c r="O71" s="2365" t="s">
        <v>2358</v>
      </c>
      <c r="P71" s="2371" t="s">
        <v>2359</v>
      </c>
      <c r="Q71" s="2364">
        <f ca="1">C13</f>
        <v>25612</v>
      </c>
      <c r="R71" s="2363" t="s">
        <v>2337</v>
      </c>
    </row>
    <row r="72" spans="1:18" ht="15.75" thickBot="1">
      <c r="O72" s="2365" t="s">
        <v>2360</v>
      </c>
      <c r="P72" s="2371" t="s">
        <v>2361</v>
      </c>
      <c r="Q72" s="2366">
        <f ca="1">J36</f>
        <v>8.5000000000000006E-2</v>
      </c>
      <c r="R72" s="2367"/>
    </row>
    <row r="73" spans="1:18" ht="15.75" thickBot="1">
      <c r="O73" s="2365" t="s">
        <v>2343</v>
      </c>
      <c r="P73" s="2363" t="s">
        <v>2350</v>
      </c>
      <c r="Q73" s="2366">
        <f>L52</f>
        <v>0</v>
      </c>
      <c r="R73" s="2367"/>
    </row>
    <row r="74" spans="1:18" ht="20.25" thickBot="1">
      <c r="O74" s="2365" t="s">
        <v>2345</v>
      </c>
      <c r="P74" s="2363" t="s">
        <v>2351</v>
      </c>
      <c r="Q74" s="2364" t="e">
        <f ca="1">L58</f>
        <v>#DIV/0!</v>
      </c>
      <c r="R74" s="2367" t="s">
        <v>2352</v>
      </c>
    </row>
    <row r="75" spans="1:18" ht="15.75" thickBot="1">
      <c r="O75" s="2365" t="s">
        <v>2374</v>
      </c>
      <c r="P75" s="2363" t="str">
        <f>K59</f>
        <v>建设期及建筑物耐用年限下的土地年期修正系数Kn</v>
      </c>
      <c r="Q75" s="2364" t="e">
        <f ca="1">L59</f>
        <v>#DIV/0!</v>
      </c>
      <c r="R75" s="2367" t="s">
        <v>2354</v>
      </c>
    </row>
    <row r="76" spans="1:18" ht="15.75" thickBot="1">
      <c r="O76" s="2362" t="s">
        <v>2348</v>
      </c>
      <c r="P76" s="2363" t="s">
        <v>2365</v>
      </c>
      <c r="Q76" s="2364">
        <f ca="1">Q66+Q67</f>
        <v>30927</v>
      </c>
      <c r="R76" s="2367" t="s">
        <v>2349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492" t="s">
        <v>2426</v>
      </c>
      <c r="B1" s="3493"/>
      <c r="C1" s="3494"/>
      <c r="D1" s="3495">
        <f>SUM(I10,I15,I20,I21,I23)</f>
        <v>0</v>
      </c>
      <c r="E1" s="3495"/>
      <c r="F1" s="3495"/>
      <c r="G1" s="3495"/>
      <c r="H1" s="3495"/>
      <c r="I1" s="3496"/>
    </row>
    <row r="2" spans="1:9">
      <c r="A2" s="3497" t="s">
        <v>2427</v>
      </c>
      <c r="B2" s="3498" t="s">
        <v>2428</v>
      </c>
      <c r="C2" s="3498"/>
      <c r="D2" s="2471" t="s">
        <v>2429</v>
      </c>
      <c r="E2" s="2471" t="s">
        <v>2430</v>
      </c>
      <c r="F2" s="2471" t="s">
        <v>2431</v>
      </c>
      <c r="G2" s="2471" t="s">
        <v>2432</v>
      </c>
      <c r="H2" s="2471" t="s">
        <v>2433</v>
      </c>
      <c r="I2" s="2472" t="s">
        <v>2434</v>
      </c>
    </row>
    <row r="3" spans="1:9">
      <c r="A3" s="3497"/>
      <c r="B3" s="3498" t="s">
        <v>2435</v>
      </c>
      <c r="C3" s="3498"/>
      <c r="D3" s="2473"/>
      <c r="E3" s="2471"/>
      <c r="F3" s="2474"/>
      <c r="G3" s="2474"/>
      <c r="H3" s="2475"/>
      <c r="I3" s="2476">
        <f>ROUND(D3*E3*F3*G3*H3/10000,0)</f>
        <v>0</v>
      </c>
    </row>
    <row r="4" spans="1:9">
      <c r="A4" s="3497"/>
      <c r="B4" s="3498" t="s">
        <v>2436</v>
      </c>
      <c r="C4" s="3498"/>
      <c r="D4" s="2473"/>
      <c r="E4" s="2471"/>
      <c r="F4" s="2474"/>
      <c r="G4" s="2474"/>
      <c r="H4" s="2475"/>
      <c r="I4" s="2476">
        <f t="shared" ref="I4:I9" si="0">ROUND(D4*E4*F4*G4*H4/10000,0)</f>
        <v>0</v>
      </c>
    </row>
    <row r="5" spans="1:9">
      <c r="A5" s="3497"/>
      <c r="B5" s="3498" t="s">
        <v>2437</v>
      </c>
      <c r="C5" s="3498"/>
      <c r="D5" s="2473"/>
      <c r="E5" s="2471"/>
      <c r="F5" s="2474"/>
      <c r="G5" s="2474"/>
      <c r="H5" s="2475"/>
      <c r="I5" s="2476">
        <f t="shared" si="0"/>
        <v>0</v>
      </c>
    </row>
    <row r="6" spans="1:9">
      <c r="A6" s="3497"/>
      <c r="B6" s="3498" t="s">
        <v>2438</v>
      </c>
      <c r="C6" s="3498"/>
      <c r="D6" s="2473"/>
      <c r="E6" s="2471"/>
      <c r="F6" s="2474"/>
      <c r="G6" s="2474"/>
      <c r="H6" s="2475"/>
      <c r="I6" s="2476">
        <f t="shared" si="0"/>
        <v>0</v>
      </c>
    </row>
    <row r="7" spans="1:9">
      <c r="A7" s="3497"/>
      <c r="B7" s="3498" t="s">
        <v>2439</v>
      </c>
      <c r="C7" s="3498"/>
      <c r="D7" s="2473"/>
      <c r="E7" s="2471"/>
      <c r="F7" s="2474"/>
      <c r="G7" s="2474"/>
      <c r="H7" s="2475"/>
      <c r="I7" s="2476">
        <f t="shared" si="0"/>
        <v>0</v>
      </c>
    </row>
    <row r="8" spans="1:9">
      <c r="A8" s="3497"/>
      <c r="B8" s="3498" t="s">
        <v>2440</v>
      </c>
      <c r="C8" s="3498"/>
      <c r="D8" s="2473"/>
      <c r="E8" s="2471"/>
      <c r="F8" s="2474"/>
      <c r="G8" s="2474"/>
      <c r="H8" s="2475"/>
      <c r="I8" s="2476">
        <f t="shared" si="0"/>
        <v>0</v>
      </c>
    </row>
    <row r="9" spans="1:9">
      <c r="A9" s="3497"/>
      <c r="B9" s="3498" t="s">
        <v>2441</v>
      </c>
      <c r="C9" s="3498"/>
      <c r="D9" s="2473"/>
      <c r="E9" s="2471"/>
      <c r="F9" s="2474"/>
      <c r="G9" s="2474"/>
      <c r="H9" s="2475"/>
      <c r="I9" s="2476">
        <f t="shared" si="0"/>
        <v>0</v>
      </c>
    </row>
    <row r="10" spans="1:9">
      <c r="A10" s="3497"/>
      <c r="B10" s="3499" t="s">
        <v>2442</v>
      </c>
      <c r="C10" s="3499"/>
      <c r="D10" s="2477">
        <v>527</v>
      </c>
      <c r="E10" s="2477" t="e">
        <f>ROUND(D1*10000/D10/H9,0)</f>
        <v>#DIV/0!</v>
      </c>
      <c r="F10" s="2478"/>
      <c r="G10" s="2478"/>
      <c r="H10" s="2479"/>
      <c r="I10" s="2480">
        <f>SUM(I3:I9)</f>
        <v>0</v>
      </c>
    </row>
    <row r="11" spans="1:9" ht="14.25">
      <c r="A11" s="3497" t="s">
        <v>2443</v>
      </c>
      <c r="B11" s="3498" t="s">
        <v>2444</v>
      </c>
      <c r="C11" s="3498"/>
      <c r="D11" s="2473" t="s">
        <v>2445</v>
      </c>
      <c r="E11" s="2473" t="s">
        <v>2446</v>
      </c>
      <c r="F11" s="2474" t="s">
        <v>2447</v>
      </c>
      <c r="G11" s="2474" t="s">
        <v>2448</v>
      </c>
      <c r="H11" s="2481" t="s">
        <v>2449</v>
      </c>
      <c r="I11" s="2472" t="s">
        <v>2450</v>
      </c>
    </row>
    <row r="12" spans="1:9">
      <c r="A12" s="3497"/>
      <c r="B12" s="3498" t="s">
        <v>2451</v>
      </c>
      <c r="C12" s="3498"/>
      <c r="D12" s="2473"/>
      <c r="E12" s="2473"/>
      <c r="F12" s="2474"/>
      <c r="G12" s="2475"/>
      <c r="H12" s="2482"/>
      <c r="I12" s="2472">
        <f>ROUND(D12*E12*F12*G12/10000,0)</f>
        <v>0</v>
      </c>
    </row>
    <row r="13" spans="1:9">
      <c r="A13" s="3497"/>
      <c r="B13" s="3498" t="s">
        <v>2452</v>
      </c>
      <c r="C13" s="3498"/>
      <c r="D13" s="2473"/>
      <c r="E13" s="2473"/>
      <c r="F13" s="2474"/>
      <c r="G13" s="2475"/>
      <c r="H13" s="2482"/>
      <c r="I13" s="2472">
        <f>ROUND(D13*E13*F13*G13/10000,0)</f>
        <v>0</v>
      </c>
    </row>
    <row r="14" spans="1:9">
      <c r="A14" s="3497"/>
      <c r="B14" s="3498" t="s">
        <v>2453</v>
      </c>
      <c r="C14" s="3498"/>
      <c r="D14" s="2473"/>
      <c r="E14" s="2473"/>
      <c r="F14" s="2474"/>
      <c r="G14" s="2475"/>
      <c r="H14" s="2482"/>
      <c r="I14" s="2472">
        <f>ROUND(D14*E14*F14*G14/10000,0)</f>
        <v>0</v>
      </c>
    </row>
    <row r="15" spans="1:9">
      <c r="A15" s="3497"/>
      <c r="B15" s="3499" t="s">
        <v>2442</v>
      </c>
      <c r="C15" s="3499"/>
      <c r="D15" s="2477"/>
      <c r="E15" s="2477">
        <f>SUM(E12:E14)</f>
        <v>0</v>
      </c>
      <c r="F15" s="2478"/>
      <c r="G15" s="2475"/>
      <c r="H15" s="2482"/>
      <c r="I15" s="2483">
        <f>SUM(I12:I14)</f>
        <v>0</v>
      </c>
    </row>
    <row r="16" spans="1:9" ht="24">
      <c r="A16" s="3497" t="s">
        <v>2454</v>
      </c>
      <c r="B16" s="3498" t="s">
        <v>2455</v>
      </c>
      <c r="C16" s="3498"/>
      <c r="D16" s="2473" t="s">
        <v>2456</v>
      </c>
      <c r="E16" s="2484" t="s">
        <v>2457</v>
      </c>
      <c r="F16" s="2474" t="s">
        <v>2458</v>
      </c>
      <c r="G16" s="2475" t="s">
        <v>2448</v>
      </c>
      <c r="H16" s="2481" t="s">
        <v>2449</v>
      </c>
      <c r="I16" s="2472" t="s">
        <v>2450</v>
      </c>
    </row>
    <row r="17" spans="1:9" ht="14.25">
      <c r="A17" s="3497"/>
      <c r="B17" s="3498" t="s">
        <v>2459</v>
      </c>
      <c r="C17" s="3498"/>
      <c r="D17" s="2473"/>
      <c r="E17" s="2473"/>
      <c r="F17" s="2474"/>
      <c r="G17" s="2475"/>
      <c r="H17" s="2485"/>
      <c r="I17" s="2486">
        <f>ROUND(D17*E17*F17*G17/10000,0)</f>
        <v>0</v>
      </c>
    </row>
    <row r="18" spans="1:9" ht="14.25">
      <c r="A18" s="3497"/>
      <c r="B18" s="3498" t="s">
        <v>2460</v>
      </c>
      <c r="C18" s="3498"/>
      <c r="D18" s="2473"/>
      <c r="E18" s="2473"/>
      <c r="F18" s="2474"/>
      <c r="G18" s="2475"/>
      <c r="H18" s="2485"/>
      <c r="I18" s="2486">
        <f>ROUND(D18*E18*F18*G18/10000,0)</f>
        <v>0</v>
      </c>
    </row>
    <row r="19" spans="1:9" ht="14.25">
      <c r="A19" s="3497"/>
      <c r="B19" s="3498" t="s">
        <v>2461</v>
      </c>
      <c r="C19" s="3498"/>
      <c r="D19" s="2473"/>
      <c r="E19" s="2473"/>
      <c r="F19" s="2474"/>
      <c r="G19" s="2475"/>
      <c r="H19" s="2485"/>
      <c r="I19" s="2486">
        <f>ROUND(D19*E19*F19*G19/10000,0)</f>
        <v>0</v>
      </c>
    </row>
    <row r="20" spans="1:9">
      <c r="A20" s="3497"/>
      <c r="B20" s="3499" t="s">
        <v>2442</v>
      </c>
      <c r="C20" s="3499"/>
      <c r="D20" s="2477">
        <f>SUM(D17:D19)</f>
        <v>0</v>
      </c>
      <c r="E20" s="2477"/>
      <c r="F20" s="2478"/>
      <c r="G20" s="2475"/>
      <c r="H20" s="2482"/>
      <c r="I20" s="2483">
        <f>SUM(I17:I19)</f>
        <v>0</v>
      </c>
    </row>
    <row r="21" spans="1:9">
      <c r="A21" s="3497" t="s">
        <v>2462</v>
      </c>
      <c r="B21" s="3501"/>
      <c r="C21" s="3501"/>
      <c r="D21" s="3501"/>
      <c r="E21" s="3501"/>
      <c r="F21" s="3501"/>
      <c r="G21" s="3501"/>
      <c r="H21" s="2487">
        <v>0.1</v>
      </c>
      <c r="I21" s="2480">
        <f>ROUND(I10*H21,0)</f>
        <v>0</v>
      </c>
    </row>
    <row r="22" spans="1:9" ht="14.25">
      <c r="A22" s="3502" t="s">
        <v>2463</v>
      </c>
      <c r="B22" s="3503"/>
      <c r="C22" s="3504"/>
      <c r="D22" s="2488" t="s">
        <v>2464</v>
      </c>
      <c r="E22" s="2488" t="s">
        <v>2465</v>
      </c>
      <c r="F22" s="2489" t="s">
        <v>2466</v>
      </c>
      <c r="G22" s="2489" t="s">
        <v>2467</v>
      </c>
      <c r="H22" s="2481" t="s">
        <v>2468</v>
      </c>
      <c r="I22" s="2472" t="s">
        <v>2469</v>
      </c>
    </row>
    <row r="23" spans="1:9" ht="14.25" thickBot="1">
      <c r="A23" s="3505"/>
      <c r="B23" s="3506"/>
      <c r="C23" s="3507"/>
      <c r="D23" s="2490"/>
      <c r="E23" s="2490"/>
      <c r="F23" s="2490"/>
      <c r="G23" s="2491"/>
      <c r="H23" s="2492"/>
      <c r="I23" s="2493">
        <f>ROUND(E23*D23*F23*(1-G23)/10000,0)</f>
        <v>0</v>
      </c>
    </row>
    <row r="26" spans="1:9">
      <c r="A26" s="2494" t="s">
        <v>2470</v>
      </c>
      <c r="B26" s="2494"/>
      <c r="C26" s="2494"/>
      <c r="D26" s="2494"/>
      <c r="E26" s="3508">
        <f>C27-C30-C31-C32</f>
        <v>0</v>
      </c>
      <c r="F26" s="3508"/>
      <c r="G26" s="3508"/>
      <c r="H26" s="2995" t="s">
        <v>2798</v>
      </c>
    </row>
    <row r="27" spans="1:9">
      <c r="A27" s="2495">
        <v>1</v>
      </c>
      <c r="B27" s="2496" t="s">
        <v>2471</v>
      </c>
      <c r="C27" s="2496"/>
      <c r="D27" s="2496"/>
      <c r="E27" s="3509"/>
      <c r="F27" s="3509"/>
      <c r="G27" s="3509"/>
    </row>
    <row r="28" spans="1:9">
      <c r="A28" s="2497" t="s">
        <v>2472</v>
      </c>
      <c r="B28" s="2496" t="s">
        <v>2473</v>
      </c>
      <c r="C28" s="2496"/>
      <c r="D28" s="2496"/>
      <c r="E28" s="3509"/>
      <c r="F28" s="3509"/>
      <c r="G28" s="3509"/>
    </row>
    <row r="29" spans="1:9">
      <c r="A29" s="2497" t="s">
        <v>2474</v>
      </c>
      <c r="B29" s="2496" t="s">
        <v>2415</v>
      </c>
      <c r="C29" s="2496"/>
      <c r="D29" s="2496"/>
      <c r="E29" s="2496" t="s">
        <v>2475</v>
      </c>
      <c r="F29" s="2496"/>
      <c r="G29" s="2496"/>
    </row>
    <row r="30" spans="1:9">
      <c r="A30" s="2495">
        <v>2</v>
      </c>
      <c r="B30" s="2496" t="s">
        <v>2476</v>
      </c>
      <c r="C30" s="2496">
        <f>C27*D30</f>
        <v>0</v>
      </c>
      <c r="D30" s="2498">
        <v>0.2</v>
      </c>
      <c r="E30" s="2496" t="s">
        <v>2477</v>
      </c>
      <c r="F30" s="2496"/>
      <c r="G30" s="2496"/>
    </row>
    <row r="31" spans="1:9">
      <c r="A31" s="2495">
        <v>3</v>
      </c>
      <c r="B31" s="2496" t="s">
        <v>2478</v>
      </c>
      <c r="C31" s="2496">
        <f>C25*D31</f>
        <v>0</v>
      </c>
      <c r="D31" s="2498">
        <v>0.15</v>
      </c>
      <c r="E31" s="2496" t="s">
        <v>2479</v>
      </c>
      <c r="F31" s="2496"/>
      <c r="G31" s="2496"/>
    </row>
    <row r="32" spans="1:9">
      <c r="A32" s="2495">
        <v>4</v>
      </c>
      <c r="B32" s="2496" t="s">
        <v>2480</v>
      </c>
      <c r="C32" s="2496">
        <f>C27*D32</f>
        <v>0</v>
      </c>
      <c r="D32" s="2498">
        <v>0.05</v>
      </c>
      <c r="E32" s="3500"/>
      <c r="F32" s="3500"/>
      <c r="G32" s="3500"/>
    </row>
    <row r="33" spans="1:7" hidden="1">
      <c r="A33" s="3510" t="s">
        <v>2481</v>
      </c>
      <c r="B33" s="3511"/>
      <c r="C33" s="3511"/>
      <c r="D33" s="3512"/>
      <c r="E33" s="3508"/>
      <c r="F33" s="3508"/>
      <c r="G33" s="3508"/>
    </row>
    <row r="34" spans="1:7" hidden="1">
      <c r="A34" s="2499">
        <v>1</v>
      </c>
      <c r="B34" s="2496" t="s">
        <v>2482</v>
      </c>
      <c r="C34" s="2496"/>
      <c r="D34" s="2496"/>
      <c r="E34" s="3509"/>
      <c r="F34" s="3509"/>
      <c r="G34" s="3509"/>
    </row>
    <row r="35" spans="1:7" hidden="1">
      <c r="A35" s="2499">
        <v>2</v>
      </c>
      <c r="B35" s="2496" t="s">
        <v>2483</v>
      </c>
      <c r="C35" s="2496"/>
      <c r="D35" s="2496"/>
      <c r="E35" s="3509"/>
      <c r="F35" s="3509"/>
      <c r="G35" s="3509"/>
    </row>
    <row r="36" spans="1:7" hidden="1">
      <c r="A36" s="2499">
        <v>3</v>
      </c>
      <c r="B36" s="2496" t="s">
        <v>2484</v>
      </c>
      <c r="C36" s="2496"/>
      <c r="D36" s="2496"/>
      <c r="E36" s="3509"/>
      <c r="F36" s="3509"/>
      <c r="G36" s="3509"/>
    </row>
    <row r="37" spans="1:7" hidden="1">
      <c r="A37" s="2499">
        <v>4</v>
      </c>
      <c r="B37" s="2496" t="s">
        <v>2485</v>
      </c>
      <c r="C37" s="2496"/>
      <c r="D37" s="2496"/>
      <c r="E37" s="3509"/>
      <c r="F37" s="3509"/>
      <c r="G37" s="3509"/>
    </row>
    <row r="38" spans="1:7" hidden="1">
      <c r="A38" s="3510" t="s">
        <v>2486</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567</v>
      </c>
      <c r="B1" s="741"/>
      <c r="C1" s="2167"/>
      <c r="D1" s="2167"/>
      <c r="E1" s="2167"/>
      <c r="F1" s="2167"/>
      <c r="G1" s="2093"/>
    </row>
    <row r="2" spans="1:25" s="2044" customFormat="1" ht="18" customHeight="1">
      <c r="A2" s="422" t="s">
        <v>431</v>
      </c>
      <c r="B2" s="424">
        <f ca="1">C23</f>
        <v>0</v>
      </c>
      <c r="C2" s="2093"/>
      <c r="D2" s="2093"/>
      <c r="E2" s="2093"/>
      <c r="F2" s="2093"/>
      <c r="G2" s="2093"/>
    </row>
    <row r="3" spans="1:25" s="2044" customFormat="1" ht="18" customHeight="1">
      <c r="A3" s="1375" t="s">
        <v>1644</v>
      </c>
      <c r="B3" s="424">
        <f ca="1">ROUND(B2*10000/'数据-汇总表'!E3,0)</f>
        <v>0</v>
      </c>
      <c r="C3" s="2093"/>
      <c r="D3" s="2093"/>
      <c r="E3" s="2093"/>
      <c r="F3" s="2093"/>
      <c r="G3" s="2093"/>
    </row>
    <row r="4" spans="1:25" s="2044" customFormat="1" ht="18" customHeight="1">
      <c r="A4" s="425" t="s">
        <v>432</v>
      </c>
      <c r="B4" s="426">
        <f ca="1">ROUND(B2*10000/'数据-汇总表'!D3,0)</f>
        <v>0</v>
      </c>
      <c r="C4" s="2046"/>
      <c r="D4" s="2093"/>
      <c r="E4" s="2093"/>
      <c r="F4" s="2093"/>
      <c r="G4" s="2093"/>
    </row>
    <row r="5" spans="1:25" s="2044" customFormat="1" ht="18" customHeight="1" thickBot="1">
      <c r="A5" s="428"/>
      <c r="B5" s="429">
        <f ca="1">ROUND(B2/('数据-汇总表'!D3/666.67),0)</f>
        <v>0</v>
      </c>
      <c r="C5" s="430" t="s">
        <v>433</v>
      </c>
      <c r="D5" s="2093"/>
      <c r="E5" s="2093"/>
      <c r="F5" s="2093"/>
      <c r="G5" s="2093"/>
    </row>
    <row r="6" spans="1:25" s="2168" customFormat="1" ht="13.5" customHeight="1">
      <c r="A6" s="742"/>
      <c r="B6" s="743" t="s">
        <v>568</v>
      </c>
      <c r="C6" s="744" t="s">
        <v>569</v>
      </c>
      <c r="D6" s="744" t="s">
        <v>570</v>
      </c>
      <c r="E6" s="745" t="s">
        <v>571</v>
      </c>
      <c r="F6" s="745" t="s">
        <v>572</v>
      </c>
      <c r="G6" s="746"/>
    </row>
    <row r="7" spans="1:25" s="2168" customFormat="1" ht="13.5" customHeight="1">
      <c r="A7" s="2433">
        <v>1</v>
      </c>
      <c r="B7" s="747" t="s">
        <v>573</v>
      </c>
      <c r="C7" s="748">
        <f>C8+C9</f>
        <v>0</v>
      </c>
      <c r="D7" s="748"/>
      <c r="E7" s="749"/>
      <c r="F7" s="749"/>
      <c r="G7" s="2443"/>
    </row>
    <row r="8" spans="1:25" s="2168" customFormat="1" ht="13.5" customHeight="1">
      <c r="A8" s="2433" t="s">
        <v>2396</v>
      </c>
      <c r="B8" s="2436" t="s">
        <v>2398</v>
      </c>
      <c r="C8" s="2437"/>
      <c r="D8" s="748"/>
      <c r="E8" s="749"/>
      <c r="F8" s="749"/>
      <c r="G8" s="750"/>
    </row>
    <row r="9" spans="1:25" s="2168" customFormat="1" ht="13.5" customHeight="1">
      <c r="A9" s="2433" t="s">
        <v>2397</v>
      </c>
      <c r="B9" s="2436" t="s">
        <v>2399</v>
      </c>
      <c r="C9" s="2437"/>
      <c r="D9" s="748"/>
      <c r="E9" s="749"/>
      <c r="F9" s="749"/>
      <c r="G9" s="750"/>
    </row>
    <row r="10" spans="1:25" s="2168" customFormat="1" ht="36">
      <c r="A10" s="2433">
        <v>2</v>
      </c>
      <c r="B10" s="747" t="s">
        <v>577</v>
      </c>
      <c r="C10" s="748">
        <f>C11+C14+C15</f>
        <v>0</v>
      </c>
      <c r="D10" s="759">
        <f>'数据-汇总表'!E3</f>
        <v>55458.58</v>
      </c>
      <c r="E10" s="748">
        <f>'数据-取费表'!B31</f>
        <v>150</v>
      </c>
      <c r="F10" s="760"/>
      <c r="G10" s="758" t="s">
        <v>578</v>
      </c>
    </row>
    <row r="11" spans="1:25" s="2168" customFormat="1" ht="13.5" customHeight="1">
      <c r="A11" s="2433" t="s">
        <v>2396</v>
      </c>
      <c r="B11" s="751" t="s">
        <v>574</v>
      </c>
      <c r="C11" s="752">
        <f>'数据-取费表'!B29</f>
        <v>0</v>
      </c>
      <c r="D11" s="753"/>
      <c r="E11" s="752"/>
      <c r="F11" s="754"/>
      <c r="G11" s="2442" t="s">
        <v>2407</v>
      </c>
    </row>
    <row r="12" spans="1:25" s="2168" customFormat="1" ht="13.5" customHeight="1">
      <c r="A12" s="2440" t="s">
        <v>2404</v>
      </c>
      <c r="B12" s="755" t="s">
        <v>575</v>
      </c>
      <c r="C12" s="756">
        <f>ROUND(D12*E12/10000,0)</f>
        <v>0</v>
      </c>
      <c r="D12" s="757">
        <f>'数据-汇总表'!E5</f>
        <v>0</v>
      </c>
      <c r="E12" s="756">
        <f>'数据-取费表'!B27</f>
        <v>90</v>
      </c>
      <c r="F12" s="754"/>
      <c r="G12" s="758"/>
    </row>
    <row r="13" spans="1:25" s="2168" customFormat="1" ht="13.5" customHeight="1">
      <c r="A13" s="2440" t="s">
        <v>2403</v>
      </c>
      <c r="B13" s="755" t="s">
        <v>576</v>
      </c>
      <c r="C13" s="756">
        <f>ROUND(D13*E13/10000,0)</f>
        <v>499</v>
      </c>
      <c r="D13" s="757">
        <f>'数据-汇总表'!E6</f>
        <v>55458.58</v>
      </c>
      <c r="E13" s="756">
        <f>'数据-取费表'!B28</f>
        <v>90</v>
      </c>
      <c r="F13" s="754"/>
      <c r="G13" s="758"/>
    </row>
    <row r="14" spans="1:25" s="2168" customFormat="1" ht="13.5" customHeight="1">
      <c r="A14" s="2433" t="s">
        <v>2397</v>
      </c>
      <c r="B14" s="2439" t="s">
        <v>2400</v>
      </c>
      <c r="C14" s="2437"/>
      <c r="D14" s="757"/>
      <c r="E14" s="756"/>
      <c r="F14" s="2438"/>
      <c r="G14" s="2441" t="s">
        <v>2405</v>
      </c>
    </row>
    <row r="15" spans="1:25" s="2168" customFormat="1" ht="13.5" customHeight="1">
      <c r="A15" s="2433" t="s">
        <v>2402</v>
      </c>
      <c r="B15" s="2439" t="s">
        <v>2401</v>
      </c>
      <c r="C15" s="2437"/>
      <c r="D15" s="757"/>
      <c r="E15" s="756"/>
      <c r="F15" s="2438"/>
      <c r="G15" s="2441" t="s">
        <v>2406</v>
      </c>
    </row>
    <row r="16" spans="1:25" s="2169" customFormat="1" ht="48">
      <c r="A16" s="2433">
        <v>3</v>
      </c>
      <c r="B16" s="747" t="s">
        <v>579</v>
      </c>
      <c r="C16" s="2437"/>
      <c r="D16" s="759"/>
      <c r="E16" s="748"/>
      <c r="F16" s="760"/>
      <c r="G16" s="758" t="s">
        <v>2408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580</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581</v>
      </c>
      <c r="C18" s="748">
        <f>ROUND((C7+C10+C16)*F18,0)</f>
        <v>0</v>
      </c>
      <c r="D18" s="761"/>
      <c r="E18" s="762"/>
      <c r="F18" s="760">
        <f>'数据-取费表'!Q16</f>
        <v>0.2</v>
      </c>
      <c r="G18" s="764" t="s">
        <v>582</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583</v>
      </c>
      <c r="C19" s="748">
        <f ca="1">C7+C10+C16+C17+C18</f>
        <v>0</v>
      </c>
      <c r="D19" s="759"/>
      <c r="E19" s="748"/>
      <c r="F19" s="760"/>
      <c r="G19" s="764" t="s">
        <v>584</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585</v>
      </c>
      <c r="C20" s="748">
        <f ca="1">ROUND(C19*F20,0)</f>
        <v>0</v>
      </c>
      <c r="D20" s="759"/>
      <c r="E20" s="748"/>
      <c r="F20" s="1344"/>
      <c r="G20" s="764" t="s">
        <v>586</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587</v>
      </c>
      <c r="C21" s="748">
        <f ca="1">C19+C20</f>
        <v>0</v>
      </c>
      <c r="D21" s="759"/>
      <c r="E21" s="748"/>
      <c r="F21" s="760"/>
      <c r="G21" s="764" t="s">
        <v>588</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589</v>
      </c>
      <c r="C22" s="748">
        <f ca="1">ROUND(C21*F22,0)</f>
        <v>0</v>
      </c>
      <c r="D22" s="759"/>
      <c r="E22" s="748"/>
      <c r="F22" s="765">
        <f>'数据-取费表'!AP16</f>
        <v>0.84799999999999998</v>
      </c>
      <c r="G22" s="764" t="s">
        <v>590</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591</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682</v>
      </c>
      <c r="B1" s="502" t="s">
        <v>720</v>
      </c>
      <c r="C1" s="503" t="s">
        <v>684</v>
      </c>
      <c r="D1" s="2334"/>
      <c r="E1" s="505"/>
      <c r="F1" s="2762"/>
      <c r="G1" s="1586" t="s">
        <v>685</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431</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483</v>
      </c>
      <c r="B3" s="509" t="e">
        <f>C49</f>
        <v>#DIV/0!</v>
      </c>
      <c r="C3" s="851" t="s">
        <v>686</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485</v>
      </c>
      <c r="B4" s="512"/>
      <c r="C4" s="3397" t="s">
        <v>486</v>
      </c>
      <c r="D4" s="3398"/>
      <c r="E4" s="3432" t="s">
        <v>487</v>
      </c>
      <c r="F4" s="3433"/>
      <c r="G4" s="3397" t="s">
        <v>488</v>
      </c>
      <c r="H4" s="3398"/>
      <c r="I4" s="3397" t="s">
        <v>489</v>
      </c>
      <c r="J4" s="3398"/>
      <c r="K4" s="513" t="s">
        <v>490</v>
      </c>
      <c r="L4" s="2118"/>
      <c r="M4" s="2119"/>
      <c r="N4" s="2119"/>
      <c r="O4" s="2119"/>
      <c r="P4" s="3399" t="s">
        <v>491</v>
      </c>
      <c r="Q4" s="3400"/>
      <c r="R4" s="3405" t="s">
        <v>487</v>
      </c>
      <c r="S4" s="3406"/>
      <c r="T4" s="3405" t="s">
        <v>488</v>
      </c>
      <c r="U4" s="3406"/>
      <c r="V4" s="3392" t="s">
        <v>489</v>
      </c>
      <c r="W4" s="3392"/>
      <c r="X4" s="1553"/>
      <c r="Y4" s="3405" t="s">
        <v>491</v>
      </c>
      <c r="Z4" s="3406"/>
      <c r="AA4" s="3394" t="s">
        <v>487</v>
      </c>
      <c r="AB4" s="3392" t="s">
        <v>488</v>
      </c>
      <c r="AC4" s="3394" t="s">
        <v>489</v>
      </c>
    </row>
    <row r="5" spans="1:29" ht="15">
      <c r="A5" s="514"/>
      <c r="B5" s="515"/>
      <c r="C5" s="3413" t="s">
        <v>2872</v>
      </c>
      <c r="D5" s="3414"/>
      <c r="E5" s="3434" t="s">
        <v>2873</v>
      </c>
      <c r="F5" s="3435"/>
      <c r="G5" s="3413" t="s">
        <v>2874</v>
      </c>
      <c r="H5" s="3414"/>
      <c r="I5" s="3413" t="s">
        <v>2875</v>
      </c>
      <c r="J5" s="3414"/>
      <c r="K5" s="513"/>
      <c r="L5" s="2118"/>
      <c r="M5" s="2119"/>
      <c r="N5" s="2119"/>
      <c r="O5" s="2119"/>
      <c r="P5" s="3401"/>
      <c r="Q5" s="3402"/>
      <c r="R5" s="3407"/>
      <c r="S5" s="3408"/>
      <c r="T5" s="3407"/>
      <c r="U5" s="3408"/>
      <c r="V5" s="3392"/>
      <c r="W5" s="3392"/>
      <c r="X5" s="1553"/>
      <c r="Y5" s="3407"/>
      <c r="Z5" s="3408"/>
      <c r="AA5" s="3395"/>
      <c r="AB5" s="3392"/>
      <c r="AC5" s="3395"/>
    </row>
    <row r="6" spans="1:29" ht="15.75" thickBot="1">
      <c r="A6" s="516"/>
      <c r="B6" s="517"/>
      <c r="C6" s="3411" t="s">
        <v>2876</v>
      </c>
      <c r="D6" s="3412"/>
      <c r="E6" s="3430" t="s">
        <v>2876</v>
      </c>
      <c r="F6" s="3431"/>
      <c r="G6" s="3411" t="s">
        <v>2876</v>
      </c>
      <c r="H6" s="3412"/>
      <c r="I6" s="3411" t="s">
        <v>2876</v>
      </c>
      <c r="J6" s="3412"/>
      <c r="K6" s="513" t="s">
        <v>492</v>
      </c>
      <c r="L6" s="2118"/>
      <c r="M6" s="2119"/>
      <c r="N6" s="2119"/>
      <c r="O6" s="2119"/>
      <c r="P6" s="3403"/>
      <c r="Q6" s="3404"/>
      <c r="R6" s="3407"/>
      <c r="S6" s="3408"/>
      <c r="T6" s="3409"/>
      <c r="U6" s="3410"/>
      <c r="V6" s="3392"/>
      <c r="W6" s="3392"/>
      <c r="X6" s="1553"/>
      <c r="Y6" s="3409"/>
      <c r="Z6" s="3410"/>
      <c r="AA6" s="3396"/>
      <c r="AB6" s="3392"/>
      <c r="AC6" s="3396"/>
    </row>
    <row r="7" spans="1:29" s="1215" customFormat="1" ht="15.75" thickBot="1">
      <c r="A7" s="2867"/>
      <c r="B7" s="2874" t="s">
        <v>493</v>
      </c>
      <c r="C7" s="518">
        <f>'数据-取费表'!B2</f>
        <v>43724</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23" t="s">
        <v>494</v>
      </c>
      <c r="Q7" s="3425"/>
      <c r="R7" s="1554" t="s">
        <v>8</v>
      </c>
      <c r="S7" s="1555">
        <f t="shared" ref="S7:S15" si="0">F7</f>
        <v>0</v>
      </c>
      <c r="T7" s="1554" t="s">
        <v>8</v>
      </c>
      <c r="U7" s="1555">
        <f t="shared" ref="U7:U15" si="1">H7</f>
        <v>0</v>
      </c>
      <c r="V7" s="1554" t="s">
        <v>8</v>
      </c>
      <c r="W7" s="1555">
        <f t="shared" ref="W7:W15" si="2">J7</f>
        <v>0</v>
      </c>
      <c r="X7" s="1556"/>
      <c r="Y7" s="3423" t="s">
        <v>494</v>
      </c>
      <c r="Z7" s="3424"/>
      <c r="AA7" s="1557" t="e">
        <f>D7/F7</f>
        <v>#DIV/0!</v>
      </c>
      <c r="AB7" s="1557" t="e">
        <f>D7/H7</f>
        <v>#DIV/0!</v>
      </c>
      <c r="AC7" s="1557" t="e">
        <f>D7/J7</f>
        <v>#DIV/0!</v>
      </c>
    </row>
    <row r="8" spans="1:29" s="1215" customFormat="1" ht="15.75" thickBot="1">
      <c r="A8" s="2868"/>
      <c r="B8" s="2875" t="s">
        <v>495</v>
      </c>
      <c r="C8" s="524" t="s">
        <v>540</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23" t="s">
        <v>497</v>
      </c>
      <c r="Q8" s="3424"/>
      <c r="R8" s="1554" t="s">
        <v>8</v>
      </c>
      <c r="S8" s="1555">
        <f t="shared" si="0"/>
        <v>0</v>
      </c>
      <c r="T8" s="1554" t="s">
        <v>8</v>
      </c>
      <c r="U8" s="1555">
        <f t="shared" si="1"/>
        <v>0</v>
      </c>
      <c r="V8" s="1554" t="s">
        <v>8</v>
      </c>
      <c r="W8" s="1555">
        <f t="shared" si="2"/>
        <v>0</v>
      </c>
      <c r="X8" s="1556"/>
      <c r="Y8" s="3423" t="s">
        <v>497</v>
      </c>
      <c r="Z8" s="3424"/>
      <c r="AA8" s="1557" t="e">
        <f t="shared" ref="AA8:AA46" si="3">D8/F8</f>
        <v>#DIV/0!</v>
      </c>
      <c r="AB8" s="1557" t="e">
        <f t="shared" ref="AB8:AB46" si="4">D8/H8</f>
        <v>#DIV/0!</v>
      </c>
      <c r="AC8" s="1557" t="e">
        <f t="shared" ref="AC8:AC46" si="5">D8/J8</f>
        <v>#DIV/0!</v>
      </c>
    </row>
    <row r="9" spans="1:29" s="1215" customFormat="1" ht="15">
      <c r="A9" s="2869"/>
      <c r="B9" s="2876" t="s">
        <v>2711</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91" t="s">
        <v>499</v>
      </c>
      <c r="Q9" s="1146" t="str">
        <f t="shared" ref="Q9:Q15" si="6">B9</f>
        <v>用途</v>
      </c>
      <c r="R9" s="1554" t="s">
        <v>8</v>
      </c>
      <c r="S9" s="1555">
        <f t="shared" si="0"/>
        <v>100</v>
      </c>
      <c r="T9" s="1554" t="s">
        <v>8</v>
      </c>
      <c r="U9" s="1555">
        <f t="shared" si="1"/>
        <v>100</v>
      </c>
      <c r="V9" s="1554" t="s">
        <v>8</v>
      </c>
      <c r="W9" s="1555">
        <f t="shared" si="2"/>
        <v>100</v>
      </c>
      <c r="X9" s="1556"/>
      <c r="Y9" s="3337" t="s">
        <v>500</v>
      </c>
      <c r="Z9" s="1145" t="str">
        <f t="shared" ref="Z9:Z15" si="7">Q9</f>
        <v>用途</v>
      </c>
      <c r="AA9" s="1557">
        <f t="shared" si="3"/>
        <v>1</v>
      </c>
      <c r="AB9" s="1557">
        <f t="shared" si="4"/>
        <v>1</v>
      </c>
      <c r="AC9" s="1557">
        <f t="shared" si="5"/>
        <v>1</v>
      </c>
    </row>
    <row r="10" spans="1:29" s="1333" customFormat="1" ht="27">
      <c r="A10" s="2870"/>
      <c r="B10" s="2875" t="s">
        <v>2712</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2713</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91"/>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91"/>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85.5">
      <c r="A15" s="2865" t="s">
        <v>2709</v>
      </c>
      <c r="B15" s="165" t="s">
        <v>505</v>
      </c>
      <c r="C15" s="866" t="str">
        <f>估价对象房地状况!C4</f>
        <v>估价对象位于南大港产业园，周边商业氛围成熟度一般，人流量大一般，商业繁华度一般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26" t="s">
        <v>504</v>
      </c>
      <c r="Q15" s="1558" t="str">
        <f t="shared" si="6"/>
        <v>商业繁华度</v>
      </c>
      <c r="R15" s="1559" t="s">
        <v>8</v>
      </c>
      <c r="S15" s="1560">
        <f t="shared" si="0"/>
        <v>100</v>
      </c>
      <c r="T15" s="1559" t="s">
        <v>8</v>
      </c>
      <c r="U15" s="1560">
        <f t="shared" si="1"/>
        <v>100</v>
      </c>
      <c r="V15" s="1559" t="s">
        <v>8</v>
      </c>
      <c r="W15" s="1560">
        <f t="shared" si="2"/>
        <v>100</v>
      </c>
      <c r="X15" s="1553"/>
      <c r="Y15" s="3426" t="s">
        <v>504</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27"/>
      <c r="Q16" s="1558"/>
      <c r="R16" s="1559"/>
      <c r="S16" s="1560"/>
      <c r="T16" s="1559"/>
      <c r="U16" s="1560"/>
      <c r="V16" s="1559"/>
      <c r="W16" s="1560"/>
      <c r="X16" s="1553"/>
      <c r="Y16" s="3427"/>
      <c r="Z16" s="1561"/>
      <c r="AA16" s="1562">
        <v>1</v>
      </c>
      <c r="AB16" s="1562">
        <v>1</v>
      </c>
      <c r="AC16" s="1562">
        <v>1</v>
      </c>
    </row>
    <row r="17" spans="1:29" ht="99.75">
      <c r="A17" s="531"/>
      <c r="B17" s="870" t="s">
        <v>261</v>
      </c>
      <c r="C17" s="871" t="str">
        <f>估价对象房地状况!C6</f>
        <v>估价对象周边道路状况一般、公共交通通达情况一般、停车便捷程度较好，综合评价交通便捷度一般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27"/>
      <c r="Q17" s="1558" t="str">
        <f>B17</f>
        <v>交通便捷度</v>
      </c>
      <c r="R17" s="1559" t="s">
        <v>8</v>
      </c>
      <c r="S17" s="1560">
        <f>F17</f>
        <v>100</v>
      </c>
      <c r="T17" s="1559" t="s">
        <v>8</v>
      </c>
      <c r="U17" s="1560">
        <f>H17</f>
        <v>100</v>
      </c>
      <c r="V17" s="1559" t="s">
        <v>8</v>
      </c>
      <c r="W17" s="1560">
        <f>J17</f>
        <v>100</v>
      </c>
      <c r="X17" s="1553"/>
      <c r="Y17" s="342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27"/>
      <c r="Q18" s="1558"/>
      <c r="R18" s="1559"/>
      <c r="S18" s="1560"/>
      <c r="T18" s="1559"/>
      <c r="U18" s="1560"/>
      <c r="V18" s="1559"/>
      <c r="W18" s="1560"/>
      <c r="X18" s="1553"/>
      <c r="Y18" s="3427"/>
      <c r="Z18" s="1561"/>
      <c r="AA18" s="1562">
        <v>1</v>
      </c>
      <c r="AB18" s="1562">
        <v>1</v>
      </c>
      <c r="AC18" s="1562">
        <v>1</v>
      </c>
    </row>
    <row r="19" spans="1:29" ht="42.75">
      <c r="A19" s="531"/>
      <c r="B19" s="2564" t="s">
        <v>2501</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27"/>
      <c r="Q19" s="1558" t="str">
        <f>B19</f>
        <v>公共配套设施</v>
      </c>
      <c r="R19" s="1559" t="s">
        <v>8</v>
      </c>
      <c r="S19" s="1560">
        <f>F19</f>
        <v>100</v>
      </c>
      <c r="T19" s="1559" t="s">
        <v>8</v>
      </c>
      <c r="U19" s="1560">
        <f>H19</f>
        <v>100</v>
      </c>
      <c r="V19" s="1559" t="s">
        <v>8</v>
      </c>
      <c r="W19" s="1560">
        <f>J19</f>
        <v>100</v>
      </c>
      <c r="X19" s="1553"/>
      <c r="Y19" s="342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27"/>
      <c r="Q20" s="1558"/>
      <c r="R20" s="1559"/>
      <c r="S20" s="1560"/>
      <c r="T20" s="1559"/>
      <c r="U20" s="1560"/>
      <c r="V20" s="1559"/>
      <c r="W20" s="1560"/>
      <c r="X20" s="1553"/>
      <c r="Y20" s="3427"/>
      <c r="Z20" s="1561"/>
      <c r="AA20" s="1562">
        <v>1</v>
      </c>
      <c r="AB20" s="1562">
        <v>1</v>
      </c>
      <c r="AC20" s="1562">
        <v>1</v>
      </c>
    </row>
    <row r="21" spans="1:29" ht="42.75">
      <c r="A21" s="531"/>
      <c r="B21" s="2557" t="s">
        <v>2513</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27"/>
      <c r="Q21" s="2543" t="str">
        <f>B21</f>
        <v>基础设施水平</v>
      </c>
      <c r="R21" s="1559" t="s">
        <v>8</v>
      </c>
      <c r="S21" s="1560">
        <f>F21</f>
        <v>100</v>
      </c>
      <c r="T21" s="1559" t="s">
        <v>8</v>
      </c>
      <c r="U21" s="1560">
        <f>H21</f>
        <v>100</v>
      </c>
      <c r="V21" s="1559" t="s">
        <v>8</v>
      </c>
      <c r="W21" s="1560">
        <f>J21</f>
        <v>100</v>
      </c>
      <c r="X21" s="2545"/>
      <c r="Y21" s="3427"/>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27"/>
      <c r="Q22" s="2543"/>
      <c r="R22" s="1559"/>
      <c r="S22" s="1560"/>
      <c r="T22" s="1559"/>
      <c r="U22" s="1560"/>
      <c r="V22" s="1559"/>
      <c r="W22" s="1560"/>
      <c r="X22" s="2545"/>
      <c r="Y22" s="3427"/>
      <c r="Z22" s="2544"/>
      <c r="AA22" s="1562">
        <v>1</v>
      </c>
      <c r="AB22" s="1562">
        <v>1</v>
      </c>
      <c r="AC22" s="1562">
        <v>1</v>
      </c>
    </row>
    <row r="23" spans="1:29" ht="57">
      <c r="A23" s="531"/>
      <c r="B23" s="870" t="s">
        <v>262</v>
      </c>
      <c r="C23" s="899" t="str">
        <f>估价对象房地状况!C9</f>
        <v>区域自然环境：好；人文环境：一般；综合评价环境状况好</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27"/>
      <c r="Q23" s="1558" t="str">
        <f>B23</f>
        <v>自然及人文环境</v>
      </c>
      <c r="R23" s="1559" t="s">
        <v>8</v>
      </c>
      <c r="S23" s="1560">
        <f>F23</f>
        <v>100</v>
      </c>
      <c r="T23" s="1559" t="s">
        <v>8</v>
      </c>
      <c r="U23" s="1560">
        <f>H23</f>
        <v>100</v>
      </c>
      <c r="V23" s="1559" t="s">
        <v>8</v>
      </c>
      <c r="W23" s="1560">
        <f>J23</f>
        <v>100</v>
      </c>
      <c r="X23" s="1553"/>
      <c r="Y23" s="342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27"/>
      <c r="Q24" s="1558"/>
      <c r="R24" s="1559"/>
      <c r="S24" s="1560"/>
      <c r="T24" s="1559"/>
      <c r="U24" s="1560"/>
      <c r="V24" s="1559"/>
      <c r="W24" s="1560"/>
      <c r="X24" s="1553"/>
      <c r="Y24" s="3427"/>
      <c r="Z24" s="1561"/>
      <c r="AA24" s="1562">
        <v>1</v>
      </c>
      <c r="AB24" s="1562">
        <v>1</v>
      </c>
      <c r="AC24" s="1562">
        <v>1</v>
      </c>
    </row>
    <row r="25" spans="1:29" ht="15">
      <c r="A25" s="531"/>
      <c r="B25" s="526" t="s">
        <v>511</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27"/>
      <c r="Q25" s="1558" t="str">
        <f t="shared" ref="Q25:Q46" si="11">B25</f>
        <v>临街状况</v>
      </c>
      <c r="R25" s="1559" t="s">
        <v>8</v>
      </c>
      <c r="S25" s="1560">
        <f>F25</f>
        <v>100</v>
      </c>
      <c r="T25" s="1559" t="s">
        <v>8</v>
      </c>
      <c r="U25" s="1560">
        <f>H25</f>
        <v>100</v>
      </c>
      <c r="V25" s="1559" t="s">
        <v>8</v>
      </c>
      <c r="W25" s="1560">
        <f>J25</f>
        <v>100</v>
      </c>
      <c r="X25" s="1553"/>
      <c r="Y25" s="3427"/>
      <c r="Z25" s="1561" t="str">
        <f>Q25</f>
        <v>临街状况</v>
      </c>
      <c r="AA25" s="1562">
        <f t="shared" si="3"/>
        <v>1</v>
      </c>
      <c r="AB25" s="1562">
        <f t="shared" si="4"/>
        <v>1</v>
      </c>
      <c r="AC25" s="1562">
        <f t="shared" si="5"/>
        <v>1</v>
      </c>
    </row>
    <row r="26" spans="1:29" ht="15">
      <c r="A26" s="531"/>
      <c r="B26" s="876" t="s">
        <v>721</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27"/>
      <c r="Q26" s="1558" t="str">
        <f t="shared" si="11"/>
        <v>平面位置/可视性</v>
      </c>
      <c r="R26" s="1559" t="s">
        <v>8</v>
      </c>
      <c r="S26" s="1560">
        <f>F26</f>
        <v>100</v>
      </c>
      <c r="T26" s="1559" t="s">
        <v>8</v>
      </c>
      <c r="U26" s="1560">
        <f>H26</f>
        <v>100</v>
      </c>
      <c r="V26" s="1559" t="s">
        <v>8</v>
      </c>
      <c r="W26" s="1560">
        <f>J26</f>
        <v>100</v>
      </c>
      <c r="X26" s="1553"/>
      <c r="Y26" s="3427"/>
      <c r="Z26" s="1561" t="str">
        <f>Q26</f>
        <v>平面位置/可视性</v>
      </c>
      <c r="AA26" s="1562">
        <f t="shared" si="3"/>
        <v>1</v>
      </c>
      <c r="AB26" s="1562">
        <f t="shared" si="4"/>
        <v>1</v>
      </c>
      <c r="AC26" s="1562">
        <f t="shared" si="5"/>
        <v>1</v>
      </c>
    </row>
    <row r="27" spans="1:29" s="1215" customFormat="1" ht="15">
      <c r="A27" s="535"/>
      <c r="B27" s="870" t="s">
        <v>722</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27"/>
      <c r="Q27" s="1146" t="str">
        <f t="shared" si="11"/>
        <v>人流量</v>
      </c>
      <c r="R27" s="1554" t="s">
        <v>8</v>
      </c>
      <c r="S27" s="1555">
        <f>F27</f>
        <v>100</v>
      </c>
      <c r="T27" s="1554" t="s">
        <v>8</v>
      </c>
      <c r="U27" s="1555">
        <f>H27</f>
        <v>100</v>
      </c>
      <c r="V27" s="1554" t="s">
        <v>8</v>
      </c>
      <c r="W27" s="1555">
        <f>J27</f>
        <v>100</v>
      </c>
      <c r="X27" s="1556"/>
      <c r="Y27" s="3427"/>
      <c r="Z27" s="1145" t="str">
        <f>Q27</f>
        <v>人流量</v>
      </c>
      <c r="AA27" s="1562">
        <f>D27/F27</f>
        <v>1</v>
      </c>
      <c r="AB27" s="1562">
        <f>D27/H27</f>
        <v>1</v>
      </c>
      <c r="AC27" s="1562">
        <f>D27/J27</f>
        <v>1</v>
      </c>
    </row>
    <row r="28" spans="1:29" ht="15">
      <c r="A28" s="531"/>
      <c r="B28" s="526" t="s">
        <v>724</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2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7"/>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27"/>
      <c r="Q29" s="1558">
        <f t="shared" si="11"/>
        <v>111</v>
      </c>
      <c r="R29" s="1559" t="s">
        <v>8</v>
      </c>
      <c r="S29" s="1560">
        <f t="shared" si="12"/>
        <v>100</v>
      </c>
      <c r="T29" s="1559" t="s">
        <v>8</v>
      </c>
      <c r="U29" s="1560">
        <f t="shared" si="13"/>
        <v>100</v>
      </c>
      <c r="V29" s="1559" t="s">
        <v>8</v>
      </c>
      <c r="W29" s="1560">
        <f t="shared" si="14"/>
        <v>100</v>
      </c>
      <c r="X29" s="1553"/>
      <c r="Y29" s="342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27"/>
      <c r="Q30" s="1558">
        <f t="shared" si="11"/>
        <v>111</v>
      </c>
      <c r="R30" s="1559" t="s">
        <v>8</v>
      </c>
      <c r="S30" s="1560">
        <f t="shared" si="12"/>
        <v>100</v>
      </c>
      <c r="T30" s="1559" t="s">
        <v>8</v>
      </c>
      <c r="U30" s="1560">
        <f t="shared" si="13"/>
        <v>100</v>
      </c>
      <c r="V30" s="1559" t="s">
        <v>8</v>
      </c>
      <c r="W30" s="1560">
        <f t="shared" si="14"/>
        <v>100</v>
      </c>
      <c r="X30" s="1553"/>
      <c r="Y30" s="3427"/>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27"/>
      <c r="Q31" s="1558">
        <f t="shared" si="11"/>
        <v>111</v>
      </c>
      <c r="R31" s="1559" t="s">
        <v>8</v>
      </c>
      <c r="S31" s="1560">
        <f t="shared" si="12"/>
        <v>100</v>
      </c>
      <c r="T31" s="1559" t="s">
        <v>8</v>
      </c>
      <c r="U31" s="1560">
        <f t="shared" si="13"/>
        <v>100</v>
      </c>
      <c r="V31" s="1559" t="s">
        <v>8</v>
      </c>
      <c r="W31" s="1560">
        <f t="shared" si="14"/>
        <v>100</v>
      </c>
      <c r="X31" s="1553"/>
      <c r="Y31" s="3427"/>
      <c r="Z31" s="1561">
        <f t="shared" si="15"/>
        <v>111</v>
      </c>
      <c r="AA31" s="1562">
        <f t="shared" si="3"/>
        <v>1</v>
      </c>
      <c r="AB31" s="1562">
        <f t="shared" si="4"/>
        <v>1</v>
      </c>
      <c r="AC31" s="1562">
        <f t="shared" si="5"/>
        <v>1</v>
      </c>
    </row>
    <row r="32" spans="1:29" ht="15">
      <c r="A32" s="2862" t="s">
        <v>2710</v>
      </c>
      <c r="B32" s="171" t="s">
        <v>725</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28" t="s">
        <v>514</v>
      </c>
      <c r="Q32" s="1558" t="str">
        <f t="shared" si="11"/>
        <v>商业类型</v>
      </c>
      <c r="R32" s="1559" t="s">
        <v>8</v>
      </c>
      <c r="S32" s="1560">
        <f t="shared" si="12"/>
        <v>100</v>
      </c>
      <c r="T32" s="1559" t="s">
        <v>8</v>
      </c>
      <c r="U32" s="1560">
        <f t="shared" si="13"/>
        <v>100</v>
      </c>
      <c r="V32" s="1559" t="s">
        <v>8</v>
      </c>
      <c r="W32" s="1560">
        <f t="shared" si="14"/>
        <v>100</v>
      </c>
      <c r="X32" s="1553"/>
      <c r="Y32" s="3429" t="s">
        <v>514</v>
      </c>
      <c r="Z32" s="1561" t="str">
        <f t="shared" si="15"/>
        <v>商业类型</v>
      </c>
      <c r="AA32" s="1562">
        <f t="shared" si="3"/>
        <v>1</v>
      </c>
      <c r="AB32" s="1562">
        <f t="shared" si="4"/>
        <v>1</v>
      </c>
      <c r="AC32" s="1562">
        <f t="shared" si="5"/>
        <v>1</v>
      </c>
    </row>
    <row r="33" spans="1:29" s="1334" customFormat="1" ht="15">
      <c r="A33" s="602"/>
      <c r="B33" s="526" t="s">
        <v>689</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29"/>
      <c r="Q33" s="1590" t="str">
        <f t="shared" si="11"/>
        <v>项目建筑规模</v>
      </c>
      <c r="R33" s="1563" t="s">
        <v>8</v>
      </c>
      <c r="S33" s="1564" t="e">
        <f t="shared" si="12"/>
        <v>#N/A</v>
      </c>
      <c r="T33" s="1563" t="s">
        <v>8</v>
      </c>
      <c r="U33" s="1564" t="e">
        <f t="shared" si="13"/>
        <v>#N/A</v>
      </c>
      <c r="V33" s="1563" t="s">
        <v>8</v>
      </c>
      <c r="W33" s="1564" t="e">
        <f t="shared" si="14"/>
        <v>#N/A</v>
      </c>
      <c r="X33" s="1565"/>
      <c r="Y33" s="3429"/>
      <c r="Z33" s="1566" t="str">
        <f t="shared" si="15"/>
        <v>项目建筑规模</v>
      </c>
      <c r="AA33" s="1562" t="e">
        <f t="shared" si="3"/>
        <v>#N/A</v>
      </c>
      <c r="AB33" s="1562" t="e">
        <f t="shared" si="4"/>
        <v>#N/A</v>
      </c>
      <c r="AC33" s="1562" t="e">
        <f t="shared" si="5"/>
        <v>#N/A</v>
      </c>
    </row>
    <row r="34" spans="1:29" ht="15">
      <c r="A34" s="593"/>
      <c r="B34" s="526" t="s">
        <v>690</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29"/>
      <c r="Q34" s="1558" t="str">
        <f t="shared" si="11"/>
        <v>建筑结构</v>
      </c>
      <c r="R34" s="1559" t="s">
        <v>8</v>
      </c>
      <c r="S34" s="1560">
        <f t="shared" si="12"/>
        <v>100</v>
      </c>
      <c r="T34" s="1559" t="s">
        <v>8</v>
      </c>
      <c r="U34" s="1560">
        <f t="shared" si="13"/>
        <v>100</v>
      </c>
      <c r="V34" s="1559" t="s">
        <v>8</v>
      </c>
      <c r="W34" s="1560">
        <f t="shared" si="14"/>
        <v>100</v>
      </c>
      <c r="X34" s="1553"/>
      <c r="Y34" s="3429"/>
      <c r="Z34" s="1561" t="str">
        <f t="shared" si="15"/>
        <v>建筑结构</v>
      </c>
      <c r="AA34" s="1562">
        <f t="shared" si="3"/>
        <v>1</v>
      </c>
      <c r="AB34" s="1562">
        <f t="shared" si="4"/>
        <v>1</v>
      </c>
      <c r="AC34" s="1562">
        <f t="shared" si="5"/>
        <v>1</v>
      </c>
    </row>
    <row r="35" spans="1:29" ht="15">
      <c r="A35" s="593"/>
      <c r="B35" s="526" t="s">
        <v>726</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29"/>
      <c r="Q35" s="1558" t="str">
        <f t="shared" si="11"/>
        <v>公共部分装修</v>
      </c>
      <c r="R35" s="1559" t="s">
        <v>8</v>
      </c>
      <c r="S35" s="1560">
        <f t="shared" si="12"/>
        <v>100</v>
      </c>
      <c r="T35" s="1559" t="s">
        <v>8</v>
      </c>
      <c r="U35" s="1560">
        <f t="shared" si="13"/>
        <v>100</v>
      </c>
      <c r="V35" s="1559" t="s">
        <v>8</v>
      </c>
      <c r="W35" s="1560">
        <f t="shared" si="14"/>
        <v>100</v>
      </c>
      <c r="X35" s="1553"/>
      <c r="Y35" s="3429"/>
      <c r="Z35" s="1561" t="str">
        <f t="shared" si="15"/>
        <v>公共部分装修</v>
      </c>
      <c r="AA35" s="1562">
        <f t="shared" si="3"/>
        <v>1</v>
      </c>
      <c r="AB35" s="1562">
        <f t="shared" si="4"/>
        <v>1</v>
      </c>
      <c r="AC35" s="1562">
        <f t="shared" si="5"/>
        <v>1</v>
      </c>
    </row>
    <row r="36" spans="1:29" ht="15">
      <c r="A36" s="593"/>
      <c r="B36" s="526" t="s">
        <v>727</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29"/>
      <c r="Q36" s="1558" t="str">
        <f t="shared" si="11"/>
        <v>成新度</v>
      </c>
      <c r="R36" s="1559" t="s">
        <v>8</v>
      </c>
      <c r="S36" s="1560" t="e">
        <f t="shared" si="12"/>
        <v>#N/A</v>
      </c>
      <c r="T36" s="1559" t="s">
        <v>8</v>
      </c>
      <c r="U36" s="1560" t="e">
        <f t="shared" si="13"/>
        <v>#N/A</v>
      </c>
      <c r="V36" s="1559" t="s">
        <v>8</v>
      </c>
      <c r="W36" s="1560" t="e">
        <f t="shared" si="14"/>
        <v>#N/A</v>
      </c>
      <c r="X36" s="1553"/>
      <c r="Y36" s="3429"/>
      <c r="Z36" s="1561" t="str">
        <f t="shared" si="15"/>
        <v>成新度</v>
      </c>
      <c r="AA36" s="1562" t="e">
        <f t="shared" si="3"/>
        <v>#N/A</v>
      </c>
      <c r="AB36" s="1562" t="e">
        <f t="shared" si="4"/>
        <v>#N/A</v>
      </c>
      <c r="AC36" s="1562" t="e">
        <f t="shared" si="5"/>
        <v>#N/A</v>
      </c>
    </row>
    <row r="37" spans="1:29" s="1215" customFormat="1" ht="15">
      <c r="A37" s="599"/>
      <c r="B37" s="1880" t="s">
        <v>2520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29"/>
      <c r="Q37" s="1146" t="str">
        <f t="shared" si="11"/>
        <v>市政基础设施</v>
      </c>
      <c r="R37" s="1554" t="s">
        <v>8</v>
      </c>
      <c r="S37" s="1555">
        <f t="shared" si="12"/>
        <v>100</v>
      </c>
      <c r="T37" s="1554" t="s">
        <v>8</v>
      </c>
      <c r="U37" s="1555">
        <f t="shared" si="13"/>
        <v>100</v>
      </c>
      <c r="V37" s="1554" t="s">
        <v>8</v>
      </c>
      <c r="W37" s="1555">
        <f t="shared" si="14"/>
        <v>100</v>
      </c>
      <c r="X37" s="1556"/>
      <c r="Y37" s="3429"/>
      <c r="Z37" s="1145" t="str">
        <f t="shared" si="15"/>
        <v>市政基础设施</v>
      </c>
      <c r="AA37" s="1557">
        <f t="shared" si="3"/>
        <v>1</v>
      </c>
      <c r="AB37" s="1557">
        <f t="shared" si="4"/>
        <v>1</v>
      </c>
      <c r="AC37" s="1557">
        <f t="shared" si="5"/>
        <v>1</v>
      </c>
    </row>
    <row r="38" spans="1:29" ht="15">
      <c r="A38" s="593"/>
      <c r="B38" s="526" t="s">
        <v>728</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29" t="s">
        <v>729</v>
      </c>
      <c r="Q38" s="1558" t="str">
        <f t="shared" si="11"/>
        <v>业态</v>
      </c>
      <c r="R38" s="1559" t="s">
        <v>8</v>
      </c>
      <c r="S38" s="1560">
        <f t="shared" si="12"/>
        <v>100</v>
      </c>
      <c r="T38" s="1559" t="s">
        <v>8</v>
      </c>
      <c r="U38" s="1560">
        <f t="shared" si="13"/>
        <v>100</v>
      </c>
      <c r="V38" s="1559" t="s">
        <v>8</v>
      </c>
      <c r="W38" s="1560">
        <f t="shared" si="14"/>
        <v>100</v>
      </c>
      <c r="X38" s="1553"/>
      <c r="Y38" s="3429" t="s">
        <v>729</v>
      </c>
      <c r="Z38" s="1561" t="str">
        <f t="shared" si="15"/>
        <v>业态</v>
      </c>
      <c r="AA38" s="1562">
        <f t="shared" si="3"/>
        <v>1</v>
      </c>
      <c r="AB38" s="1562">
        <f t="shared" si="4"/>
        <v>1</v>
      </c>
      <c r="AC38" s="1562">
        <f t="shared" si="5"/>
        <v>1</v>
      </c>
    </row>
    <row r="39" spans="1:29" ht="15">
      <c r="A39" s="593"/>
      <c r="B39" s="526" t="s">
        <v>730</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29"/>
      <c r="Q39" s="1558" t="str">
        <f t="shared" si="11"/>
        <v>层高</v>
      </c>
      <c r="R39" s="1559" t="s">
        <v>8</v>
      </c>
      <c r="S39" s="1560">
        <f t="shared" si="12"/>
        <v>100</v>
      </c>
      <c r="T39" s="1559" t="s">
        <v>8</v>
      </c>
      <c r="U39" s="1560">
        <f t="shared" si="13"/>
        <v>100</v>
      </c>
      <c r="V39" s="1559" t="s">
        <v>8</v>
      </c>
      <c r="W39" s="1560">
        <f t="shared" si="14"/>
        <v>100</v>
      </c>
      <c r="X39" s="1553"/>
      <c r="Y39" s="3429"/>
      <c r="Z39" s="1561" t="str">
        <f t="shared" si="15"/>
        <v>层高</v>
      </c>
      <c r="AA39" s="1562">
        <f t="shared" si="3"/>
        <v>1</v>
      </c>
      <c r="AB39" s="1562">
        <f t="shared" si="4"/>
        <v>1</v>
      </c>
      <c r="AC39" s="1562">
        <f t="shared" si="5"/>
        <v>1</v>
      </c>
    </row>
    <row r="40" spans="1:29" ht="15">
      <c r="A40" s="593"/>
      <c r="B40" s="526" t="s">
        <v>731</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29"/>
      <c r="Q40" s="1558" t="str">
        <f t="shared" si="11"/>
        <v>单套建筑面积</v>
      </c>
      <c r="R40" s="1559" t="s">
        <v>8</v>
      </c>
      <c r="S40" s="1560">
        <f t="shared" si="12"/>
        <v>100</v>
      </c>
      <c r="T40" s="1559" t="s">
        <v>8</v>
      </c>
      <c r="U40" s="1560">
        <f t="shared" si="13"/>
        <v>100</v>
      </c>
      <c r="V40" s="1559" t="s">
        <v>8</v>
      </c>
      <c r="W40" s="1560">
        <f t="shared" si="14"/>
        <v>100</v>
      </c>
      <c r="X40" s="1553"/>
      <c r="Y40" s="3429"/>
      <c r="Z40" s="1561" t="str">
        <f t="shared" si="15"/>
        <v>单套建筑面积</v>
      </c>
      <c r="AA40" s="1562">
        <f t="shared" si="3"/>
        <v>1</v>
      </c>
      <c r="AB40" s="1562">
        <f t="shared" si="4"/>
        <v>1</v>
      </c>
      <c r="AC40" s="1562">
        <f t="shared" si="5"/>
        <v>1</v>
      </c>
    </row>
    <row r="41" spans="1:29" s="1334" customFormat="1" ht="15">
      <c r="A41" s="602"/>
      <c r="B41" s="903" t="s">
        <v>732</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29"/>
      <c r="Q41" s="1590" t="str">
        <f t="shared" si="11"/>
        <v>进深比</v>
      </c>
      <c r="R41" s="1563" t="s">
        <v>8</v>
      </c>
      <c r="S41" s="1564">
        <f t="shared" si="12"/>
        <v>100</v>
      </c>
      <c r="T41" s="1563" t="s">
        <v>8</v>
      </c>
      <c r="U41" s="1564">
        <f t="shared" si="13"/>
        <v>100</v>
      </c>
      <c r="V41" s="1563" t="s">
        <v>8</v>
      </c>
      <c r="W41" s="1564">
        <f t="shared" si="14"/>
        <v>100</v>
      </c>
      <c r="X41" s="1565"/>
      <c r="Y41" s="3429"/>
      <c r="Z41" s="1566" t="str">
        <f t="shared" si="15"/>
        <v>进深比</v>
      </c>
      <c r="AA41" s="1562">
        <f t="shared" si="3"/>
        <v>1</v>
      </c>
      <c r="AB41" s="1562">
        <f t="shared" si="4"/>
        <v>1</v>
      </c>
      <c r="AC41" s="1562">
        <f t="shared" si="5"/>
        <v>1</v>
      </c>
    </row>
    <row r="42" spans="1:29" ht="15">
      <c r="A42" s="593"/>
      <c r="B42" s="526" t="s">
        <v>733</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29"/>
      <c r="Q42" s="1558" t="str">
        <f t="shared" si="11"/>
        <v>内部装修</v>
      </c>
      <c r="R42" s="1559" t="s">
        <v>8</v>
      </c>
      <c r="S42" s="1560">
        <f t="shared" si="12"/>
        <v>100</v>
      </c>
      <c r="T42" s="1559" t="s">
        <v>8</v>
      </c>
      <c r="U42" s="1560">
        <f t="shared" si="13"/>
        <v>100</v>
      </c>
      <c r="V42" s="1559" t="s">
        <v>8</v>
      </c>
      <c r="W42" s="1560">
        <f t="shared" si="14"/>
        <v>100</v>
      </c>
      <c r="X42" s="1553"/>
      <c r="Y42" s="3429"/>
      <c r="Z42" s="1561" t="str">
        <f t="shared" si="15"/>
        <v>内部装修</v>
      </c>
      <c r="AA42" s="1562">
        <f t="shared" si="3"/>
        <v>1</v>
      </c>
      <c r="AB42" s="1562">
        <f t="shared" si="4"/>
        <v>1</v>
      </c>
      <c r="AC42" s="1562">
        <f t="shared" si="5"/>
        <v>1</v>
      </c>
    </row>
    <row r="43" spans="1:29" ht="27">
      <c r="A43" s="593"/>
      <c r="B43" s="526" t="s">
        <v>698</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29"/>
      <c r="Q43" s="1558" t="str">
        <f t="shared" si="11"/>
        <v>内部装修维护情况</v>
      </c>
      <c r="R43" s="1559" t="s">
        <v>8</v>
      </c>
      <c r="S43" s="1560">
        <f t="shared" si="12"/>
        <v>100</v>
      </c>
      <c r="T43" s="1559" t="s">
        <v>8</v>
      </c>
      <c r="U43" s="1560">
        <f t="shared" si="13"/>
        <v>100</v>
      </c>
      <c r="V43" s="1559" t="s">
        <v>8</v>
      </c>
      <c r="W43" s="1560">
        <f t="shared" si="14"/>
        <v>100</v>
      </c>
      <c r="X43" s="1553"/>
      <c r="Y43" s="342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29"/>
      <c r="Q44" s="1146">
        <f t="shared" si="11"/>
        <v>111</v>
      </c>
      <c r="R44" s="1554" t="s">
        <v>8</v>
      </c>
      <c r="S44" s="1555">
        <f t="shared" si="12"/>
        <v>100</v>
      </c>
      <c r="T44" s="1554" t="s">
        <v>8</v>
      </c>
      <c r="U44" s="1555">
        <f t="shared" si="13"/>
        <v>100</v>
      </c>
      <c r="V44" s="1554" t="s">
        <v>8</v>
      </c>
      <c r="W44" s="1555">
        <f t="shared" si="14"/>
        <v>100</v>
      </c>
      <c r="X44" s="1556"/>
      <c r="Y44" s="342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29"/>
      <c r="Q45" s="1558">
        <f t="shared" si="11"/>
        <v>111</v>
      </c>
      <c r="R45" s="1559" t="s">
        <v>8</v>
      </c>
      <c r="S45" s="1560">
        <f t="shared" si="12"/>
        <v>100</v>
      </c>
      <c r="T45" s="1559" t="s">
        <v>8</v>
      </c>
      <c r="U45" s="1560">
        <f t="shared" si="13"/>
        <v>100</v>
      </c>
      <c r="V45" s="1559" t="s">
        <v>8</v>
      </c>
      <c r="W45" s="1560">
        <f t="shared" si="14"/>
        <v>100</v>
      </c>
      <c r="X45" s="1553"/>
      <c r="Y45" s="3429"/>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87"/>
      <c r="Q46" s="1558">
        <f t="shared" si="11"/>
        <v>111</v>
      </c>
      <c r="R46" s="1559" t="s">
        <v>8</v>
      </c>
      <c r="S46" s="1560">
        <f t="shared" si="12"/>
        <v>100</v>
      </c>
      <c r="T46" s="1559" t="s">
        <v>8</v>
      </c>
      <c r="U46" s="1560">
        <f t="shared" si="13"/>
        <v>100</v>
      </c>
      <c r="V46" s="1559" t="s">
        <v>8</v>
      </c>
      <c r="W46" s="1560">
        <f t="shared" si="14"/>
        <v>100</v>
      </c>
      <c r="X46" s="1553"/>
      <c r="Y46" s="3487"/>
      <c r="Z46" s="1561">
        <f t="shared" si="15"/>
        <v>111</v>
      </c>
      <c r="AA46" s="1562">
        <f t="shared" si="3"/>
        <v>1</v>
      </c>
      <c r="AB46" s="1562">
        <f t="shared" si="4"/>
        <v>1</v>
      </c>
      <c r="AC46" s="1562">
        <f t="shared" si="5"/>
        <v>1</v>
      </c>
    </row>
    <row r="47" spans="1:29" ht="15">
      <c r="A47" s="606" t="s">
        <v>699</v>
      </c>
      <c r="B47" s="886"/>
      <c r="C47" s="2591" t="s">
        <v>1</v>
      </c>
      <c r="D47" s="2592"/>
      <c r="E47" s="2593"/>
      <c r="F47" s="2594"/>
      <c r="G47" s="2595"/>
      <c r="H47" s="2596"/>
      <c r="I47" s="2593"/>
      <c r="J47" s="2596"/>
      <c r="K47" s="1596"/>
      <c r="L47" s="2129"/>
      <c r="M47" s="2130"/>
      <c r="N47" s="2119"/>
      <c r="O47" s="2130"/>
      <c r="P47" s="3391" t="str">
        <f>A47</f>
        <v>成交单价（元/平方米）</v>
      </c>
      <c r="Q47" s="3391"/>
      <c r="R47" s="3486">
        <f>E47</f>
        <v>0</v>
      </c>
      <c r="S47" s="3486"/>
      <c r="T47" s="3486">
        <f>G47</f>
        <v>0</v>
      </c>
      <c r="U47" s="3486"/>
      <c r="V47" s="3486">
        <f>I47</f>
        <v>0</v>
      </c>
      <c r="W47" s="3486"/>
      <c r="X47" s="1545"/>
      <c r="Y47" s="1567"/>
      <c r="Z47" s="1545"/>
      <c r="AA47" s="1545"/>
      <c r="AB47" s="1545"/>
      <c r="AC47" s="1545"/>
    </row>
    <row r="48" spans="1:29" ht="15.75" thickBot="1">
      <c r="A48" s="614" t="s">
        <v>2715</v>
      </c>
      <c r="B48" s="887"/>
      <c r="C48" s="2597" t="e">
        <f>R49</f>
        <v>#DIV/0!</v>
      </c>
      <c r="D48" s="2598"/>
      <c r="E48" s="2599" t="e">
        <f>R48</f>
        <v>#DIV/0!</v>
      </c>
      <c r="F48" s="2599"/>
      <c r="G48" s="2597" t="e">
        <f>T48</f>
        <v>#DIV/0!</v>
      </c>
      <c r="H48" s="2598"/>
      <c r="I48" s="2599" t="e">
        <f>V48</f>
        <v>#DIV/0!</v>
      </c>
      <c r="J48" s="2598"/>
      <c r="K48" s="1597"/>
      <c r="L48" s="2129"/>
      <c r="M48" s="2130"/>
      <c r="N48" s="2119"/>
      <c r="O48" s="2130"/>
      <c r="P48" s="3391" t="str">
        <f>A48</f>
        <v>比较价格（元/平方米）</v>
      </c>
      <c r="Q48" s="3391"/>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5"/>
      <c r="Y48" s="1545"/>
      <c r="Z48" s="1545"/>
      <c r="AA48" s="1545"/>
      <c r="AB48" s="1545"/>
      <c r="AC48" s="1545"/>
    </row>
    <row r="49" spans="1:29" ht="15.75" thickBot="1">
      <c r="A49" s="620" t="s">
        <v>2878</v>
      </c>
      <c r="B49" s="621"/>
      <c r="C49" s="2600" t="e">
        <f>R49</f>
        <v>#DIV/0!</v>
      </c>
      <c r="D49" s="2600"/>
      <c r="E49" s="2600"/>
      <c r="F49" s="2600"/>
      <c r="G49" s="2600"/>
      <c r="H49" s="2600"/>
      <c r="I49" s="2600"/>
      <c r="J49" s="2600"/>
      <c r="K49" s="1598"/>
      <c r="L49" s="2129"/>
      <c r="M49" s="2130"/>
      <c r="N49" s="2119"/>
      <c r="O49" s="2130"/>
      <c r="P49" s="3388" t="str">
        <f>A49</f>
        <v>估价对象XX用房的比较价格（楼面单价，元/平方米）</v>
      </c>
      <c r="Q49" s="3389"/>
      <c r="R49" s="3485" t="e">
        <f>IF(F1="售价",ROUND(AVERAGE(R48:V48),0),ROUND(AVERAGE(R48:V48),1))</f>
        <v>#DIV/0!</v>
      </c>
      <c r="S49" s="3485"/>
      <c r="T49" s="3485"/>
      <c r="U49" s="3485"/>
      <c r="V49" s="3485"/>
      <c r="W49" s="348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538</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493</v>
      </c>
      <c r="B58" s="645"/>
      <c r="C58" s="2757" t="str">
        <f>YEAR(C7)&amp;"-"&amp;MONTH(C7)</f>
        <v>2019-9</v>
      </c>
      <c r="D58" s="2759">
        <f>EDATE(C58,-1)</f>
        <v>43678</v>
      </c>
      <c r="E58" s="2759">
        <f t="shared" ref="E58:O58" si="16">EDATE(D58,-1)</f>
        <v>43647</v>
      </c>
      <c r="F58" s="2759">
        <f t="shared" si="16"/>
        <v>43617</v>
      </c>
      <c r="G58" s="2759">
        <f t="shared" si="16"/>
        <v>43586</v>
      </c>
      <c r="H58" s="2759">
        <f t="shared" si="16"/>
        <v>43556</v>
      </c>
      <c r="I58" s="2759">
        <f t="shared" si="16"/>
        <v>43525</v>
      </c>
      <c r="J58" s="2759">
        <f t="shared" si="16"/>
        <v>43497</v>
      </c>
      <c r="K58" s="2759">
        <f t="shared" si="16"/>
        <v>43466</v>
      </c>
      <c r="L58" s="2759">
        <f t="shared" si="16"/>
        <v>43435</v>
      </c>
      <c r="M58" s="2759">
        <f t="shared" si="16"/>
        <v>43405</v>
      </c>
      <c r="N58" s="2759">
        <f t="shared" si="16"/>
        <v>43374</v>
      </c>
      <c r="O58" s="2759">
        <f t="shared" si="16"/>
        <v>43344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539</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495</v>
      </c>
      <c r="B61" s="647"/>
      <c r="C61" s="659" t="s">
        <v>540</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541</v>
      </c>
      <c r="B63" s="664" t="s">
        <v>498</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501</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502</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503</v>
      </c>
      <c r="B76" s="664" t="s">
        <v>542</v>
      </c>
      <c r="C76" s="702" t="s">
        <v>543</v>
      </c>
      <c r="D76" s="702" t="s">
        <v>544</v>
      </c>
      <c r="E76" s="702" t="s">
        <v>545</v>
      </c>
      <c r="F76" s="702" t="s">
        <v>546</v>
      </c>
      <c r="G76" s="702" t="s">
        <v>547</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550</v>
      </c>
      <c r="C78" s="707" t="s">
        <v>543</v>
      </c>
      <c r="D78" s="707" t="s">
        <v>544</v>
      </c>
      <c r="E78" s="707" t="s">
        <v>545</v>
      </c>
      <c r="F78" s="707" t="s">
        <v>546</v>
      </c>
      <c r="G78" s="707" t="s">
        <v>547</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2512</v>
      </c>
      <c r="C80" s="707" t="s">
        <v>543</v>
      </c>
      <c r="D80" s="707" t="s">
        <v>544</v>
      </c>
      <c r="E80" s="707" t="s">
        <v>545</v>
      </c>
      <c r="F80" s="707" t="s">
        <v>546</v>
      </c>
      <c r="G80" s="707" t="s">
        <v>547</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2513</v>
      </c>
      <c r="C82" s="2562" t="s">
        <v>2514</v>
      </c>
      <c r="D82" s="2562" t="s">
        <v>2515</v>
      </c>
      <c r="E82" s="2562" t="s">
        <v>2516</v>
      </c>
      <c r="F82" s="2562" t="s">
        <v>2517</v>
      </c>
      <c r="G82" s="2562" t="s">
        <v>2518</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543</v>
      </c>
      <c r="D84" s="707" t="s">
        <v>544</v>
      </c>
      <c r="E84" s="707" t="s">
        <v>545</v>
      </c>
      <c r="F84" s="707" t="s">
        <v>546</v>
      </c>
      <c r="G84" s="707" t="s">
        <v>547</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734</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515</v>
      </c>
      <c r="B100" s="664" t="s">
        <v>735</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711</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714</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715</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2511</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736</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737</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738</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739</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543</v>
      </c>
      <c r="D124" s="707" t="s">
        <v>544</v>
      </c>
      <c r="E124" s="707" t="s">
        <v>545</v>
      </c>
      <c r="F124" s="707" t="s">
        <v>546</v>
      </c>
      <c r="G124" s="707" t="s">
        <v>547</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682</v>
      </c>
      <c r="B1" s="502" t="s">
        <v>740</v>
      </c>
      <c r="C1" s="503" t="s">
        <v>684</v>
      </c>
      <c r="D1" s="848"/>
      <c r="E1" s="505"/>
      <c r="F1" s="2762"/>
      <c r="G1" s="1586" t="s">
        <v>685</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431</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483</v>
      </c>
      <c r="B3" s="509" t="e">
        <f>C50</f>
        <v>#DIV/0!</v>
      </c>
      <c r="C3" s="851" t="s">
        <v>686</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485</v>
      </c>
      <c r="B4" s="512"/>
      <c r="C4" s="3397" t="s">
        <v>486</v>
      </c>
      <c r="D4" s="3398"/>
      <c r="E4" s="3432" t="s">
        <v>487</v>
      </c>
      <c r="F4" s="3433"/>
      <c r="G4" s="3397" t="s">
        <v>488</v>
      </c>
      <c r="H4" s="3398"/>
      <c r="I4" s="3397" t="s">
        <v>489</v>
      </c>
      <c r="J4" s="3398"/>
      <c r="K4" s="513" t="s">
        <v>490</v>
      </c>
      <c r="L4" s="2118"/>
      <c r="M4" s="2119"/>
      <c r="N4" s="2119"/>
      <c r="O4" s="2119"/>
      <c r="P4" s="3514" t="s">
        <v>491</v>
      </c>
      <c r="Q4" s="3400"/>
      <c r="R4" s="3405" t="s">
        <v>487</v>
      </c>
      <c r="S4" s="3406"/>
      <c r="T4" s="3405" t="s">
        <v>488</v>
      </c>
      <c r="U4" s="3406"/>
      <c r="V4" s="3392" t="s">
        <v>489</v>
      </c>
      <c r="W4" s="3392"/>
      <c r="X4" s="1553"/>
      <c r="Y4" s="3405" t="s">
        <v>491</v>
      </c>
      <c r="Z4" s="3406"/>
      <c r="AA4" s="3394" t="s">
        <v>487</v>
      </c>
      <c r="AB4" s="3394" t="s">
        <v>488</v>
      </c>
      <c r="AC4" s="3394" t="s">
        <v>489</v>
      </c>
    </row>
    <row r="5" spans="1:29" ht="15">
      <c r="A5" s="514"/>
      <c r="B5" s="515"/>
      <c r="C5" s="3413" t="s">
        <v>2872</v>
      </c>
      <c r="D5" s="3414"/>
      <c r="E5" s="3434" t="s">
        <v>2873</v>
      </c>
      <c r="F5" s="3435"/>
      <c r="G5" s="3413" t="s">
        <v>2874</v>
      </c>
      <c r="H5" s="3414"/>
      <c r="I5" s="3413" t="s">
        <v>2875</v>
      </c>
      <c r="J5" s="3414"/>
      <c r="K5" s="513"/>
      <c r="L5" s="2118"/>
      <c r="M5" s="2119"/>
      <c r="N5" s="2119"/>
      <c r="O5" s="2119"/>
      <c r="P5" s="3515"/>
      <c r="Q5" s="3402"/>
      <c r="R5" s="3407"/>
      <c r="S5" s="3408"/>
      <c r="T5" s="3407"/>
      <c r="U5" s="3408"/>
      <c r="V5" s="3392"/>
      <c r="W5" s="3392"/>
      <c r="X5" s="1553"/>
      <c r="Y5" s="3407"/>
      <c r="Z5" s="3408"/>
      <c r="AA5" s="3395"/>
      <c r="AB5" s="3395"/>
      <c r="AC5" s="3395"/>
    </row>
    <row r="6" spans="1:29" ht="15.75" thickBot="1">
      <c r="A6" s="516"/>
      <c r="B6" s="517"/>
      <c r="C6" s="3411" t="s">
        <v>2876</v>
      </c>
      <c r="D6" s="3412"/>
      <c r="E6" s="3430" t="s">
        <v>2876</v>
      </c>
      <c r="F6" s="3431"/>
      <c r="G6" s="3411" t="s">
        <v>2876</v>
      </c>
      <c r="H6" s="3412"/>
      <c r="I6" s="3411" t="s">
        <v>2876</v>
      </c>
      <c r="J6" s="3412"/>
      <c r="K6" s="513" t="s">
        <v>492</v>
      </c>
      <c r="L6" s="2118"/>
      <c r="M6" s="2119"/>
      <c r="N6" s="2119"/>
      <c r="O6" s="2119"/>
      <c r="P6" s="3516"/>
      <c r="Q6" s="3404"/>
      <c r="R6" s="3407"/>
      <c r="S6" s="3408"/>
      <c r="T6" s="3409"/>
      <c r="U6" s="3410"/>
      <c r="V6" s="3392"/>
      <c r="W6" s="3392"/>
      <c r="X6" s="1553"/>
      <c r="Y6" s="3409"/>
      <c r="Z6" s="3410"/>
      <c r="AA6" s="3396"/>
      <c r="AB6" s="3396"/>
      <c r="AC6" s="3396"/>
    </row>
    <row r="7" spans="1:29" s="1215" customFormat="1" ht="15.75" thickBot="1">
      <c r="A7" s="2867"/>
      <c r="B7" s="2874" t="s">
        <v>493</v>
      </c>
      <c r="C7" s="518">
        <f>'数据-取费表'!B2</f>
        <v>43724</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25" t="s">
        <v>494</v>
      </c>
      <c r="Q7" s="3425"/>
      <c r="R7" s="1554" t="s">
        <v>8</v>
      </c>
      <c r="S7" s="1555">
        <f t="shared" ref="S7:S15" si="0">F7</f>
        <v>0</v>
      </c>
      <c r="T7" s="1554" t="s">
        <v>8</v>
      </c>
      <c r="U7" s="1555">
        <f t="shared" ref="U7:U15" si="1">H7</f>
        <v>0</v>
      </c>
      <c r="V7" s="1554" t="s">
        <v>8</v>
      </c>
      <c r="W7" s="1555">
        <f t="shared" ref="W7:W15" si="2">J7</f>
        <v>0</v>
      </c>
      <c r="X7" s="1556"/>
      <c r="Y7" s="3423" t="s">
        <v>494</v>
      </c>
      <c r="Z7" s="3424"/>
      <c r="AA7" s="1557" t="e">
        <f>D7/F7</f>
        <v>#DIV/0!</v>
      </c>
      <c r="AB7" s="1557" t="e">
        <f>D7/H7</f>
        <v>#DIV/0!</v>
      </c>
      <c r="AC7" s="1557" t="e">
        <f>D7/J7</f>
        <v>#DIV/0!</v>
      </c>
    </row>
    <row r="8" spans="1:29" s="1215" customFormat="1" ht="15.75" thickBot="1">
      <c r="A8" s="2868"/>
      <c r="B8" s="2875" t="s">
        <v>495</v>
      </c>
      <c r="C8" s="524" t="s">
        <v>540</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25" t="s">
        <v>497</v>
      </c>
      <c r="Q8" s="3424"/>
      <c r="R8" s="1554" t="s">
        <v>8</v>
      </c>
      <c r="S8" s="1555">
        <f t="shared" si="0"/>
        <v>0</v>
      </c>
      <c r="T8" s="1554" t="s">
        <v>8</v>
      </c>
      <c r="U8" s="1555">
        <f t="shared" si="1"/>
        <v>0</v>
      </c>
      <c r="V8" s="1554" t="s">
        <v>8</v>
      </c>
      <c r="W8" s="1555">
        <f t="shared" si="2"/>
        <v>0</v>
      </c>
      <c r="X8" s="1556"/>
      <c r="Y8" s="3423" t="s">
        <v>497</v>
      </c>
      <c r="Z8" s="3424"/>
      <c r="AA8" s="1557" t="e">
        <f t="shared" ref="AA8:AA47" si="3">D8/F8</f>
        <v>#DIV/0!</v>
      </c>
      <c r="AB8" s="1557" t="e">
        <f t="shared" ref="AB8:AB47" si="4">D8/H8</f>
        <v>#DIV/0!</v>
      </c>
      <c r="AC8" s="1557" t="e">
        <f t="shared" ref="AC8:AC47" si="5">D8/J8</f>
        <v>#DIV/0!</v>
      </c>
    </row>
    <row r="9" spans="1:29" s="1215" customFormat="1" ht="15">
      <c r="A9" s="2869"/>
      <c r="B9" s="2876" t="s">
        <v>2711</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91" t="s">
        <v>499</v>
      </c>
      <c r="Q9" s="1146" t="str">
        <f t="shared" ref="Q9:Q15" si="6">B9</f>
        <v>用途</v>
      </c>
      <c r="R9" s="1554" t="s">
        <v>8</v>
      </c>
      <c r="S9" s="1555">
        <f t="shared" si="0"/>
        <v>100</v>
      </c>
      <c r="T9" s="1554" t="s">
        <v>8</v>
      </c>
      <c r="U9" s="1555">
        <f t="shared" si="1"/>
        <v>100</v>
      </c>
      <c r="V9" s="1554" t="s">
        <v>8</v>
      </c>
      <c r="W9" s="1555">
        <f t="shared" si="2"/>
        <v>100</v>
      </c>
      <c r="X9" s="1556"/>
      <c r="Y9" s="3337" t="s">
        <v>500</v>
      </c>
      <c r="Z9" s="1145" t="str">
        <f t="shared" ref="Z9:Z15" si="7">Q9</f>
        <v>用途</v>
      </c>
      <c r="AA9" s="1557">
        <f t="shared" si="3"/>
        <v>1</v>
      </c>
      <c r="AB9" s="1557">
        <f t="shared" si="4"/>
        <v>1</v>
      </c>
      <c r="AC9" s="1557">
        <f t="shared" si="5"/>
        <v>1</v>
      </c>
    </row>
    <row r="10" spans="1:29" s="1333" customFormat="1" ht="27">
      <c r="A10" s="2870"/>
      <c r="B10" s="2875" t="s">
        <v>2712</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2713</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91"/>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91"/>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15">
      <c r="A15" s="2865" t="s">
        <v>2709</v>
      </c>
      <c r="B15" s="546" t="s">
        <v>506</v>
      </c>
      <c r="C15" s="547" t="str">
        <f>估价对象房地状况!C5</f>
        <v>——</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26" t="s">
        <v>504</v>
      </c>
      <c r="Q15" s="1558" t="str">
        <f t="shared" si="6"/>
        <v>办公集聚程度</v>
      </c>
      <c r="R15" s="1559" t="s">
        <v>8</v>
      </c>
      <c r="S15" s="1560">
        <f t="shared" si="0"/>
        <v>100</v>
      </c>
      <c r="T15" s="1559" t="s">
        <v>8</v>
      </c>
      <c r="U15" s="1560">
        <f t="shared" si="1"/>
        <v>100</v>
      </c>
      <c r="V15" s="1559" t="s">
        <v>8</v>
      </c>
      <c r="W15" s="1560">
        <f t="shared" si="2"/>
        <v>100</v>
      </c>
      <c r="X15" s="1553"/>
      <c r="Y15" s="3426" t="s">
        <v>504</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27"/>
      <c r="Q16" s="1558"/>
      <c r="R16" s="1559"/>
      <c r="S16" s="1560"/>
      <c r="T16" s="1559"/>
      <c r="U16" s="1560"/>
      <c r="V16" s="1559"/>
      <c r="W16" s="1560"/>
      <c r="X16" s="1553"/>
      <c r="Y16" s="3427"/>
      <c r="Z16" s="1561"/>
      <c r="AA16" s="1562">
        <v>1</v>
      </c>
      <c r="AB16" s="1562">
        <v>1</v>
      </c>
      <c r="AC16" s="1562">
        <v>1</v>
      </c>
    </row>
    <row r="17" spans="1:29" ht="99.75">
      <c r="A17" s="531"/>
      <c r="B17" s="559" t="s">
        <v>261</v>
      </c>
      <c r="C17" s="572" t="str">
        <f>估价对象房地状况!C6</f>
        <v>估价对象周边道路状况一般、公共交通通达情况一般、停车便捷程度较好，综合评价交通便捷度一般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27"/>
      <c r="Q17" s="1558" t="str">
        <f>B17</f>
        <v>交通便捷度</v>
      </c>
      <c r="R17" s="1559" t="s">
        <v>8</v>
      </c>
      <c r="S17" s="1560">
        <f>F17</f>
        <v>100</v>
      </c>
      <c r="T17" s="1559" t="s">
        <v>8</v>
      </c>
      <c r="U17" s="1560">
        <f>H17</f>
        <v>100</v>
      </c>
      <c r="V17" s="1559" t="s">
        <v>8</v>
      </c>
      <c r="W17" s="1560">
        <f>J17</f>
        <v>100</v>
      </c>
      <c r="X17" s="1553"/>
      <c r="Y17" s="3427"/>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27"/>
      <c r="Q18" s="1558"/>
      <c r="R18" s="1559"/>
      <c r="S18" s="1560"/>
      <c r="T18" s="1559"/>
      <c r="U18" s="1560"/>
      <c r="V18" s="1559"/>
      <c r="W18" s="1560"/>
      <c r="X18" s="1553"/>
      <c r="Y18" s="3427"/>
      <c r="Z18" s="1561"/>
      <c r="AA18" s="1562">
        <v>1</v>
      </c>
      <c r="AB18" s="1562">
        <v>1</v>
      </c>
      <c r="AC18" s="1562">
        <v>1</v>
      </c>
    </row>
    <row r="19" spans="1:29" ht="42.75">
      <c r="A19" s="531"/>
      <c r="B19" s="2567" t="s">
        <v>2501</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27"/>
      <c r="Q19" s="1558" t="str">
        <f>B19</f>
        <v>公共配套设施</v>
      </c>
      <c r="R19" s="1559" t="s">
        <v>8</v>
      </c>
      <c r="S19" s="1560">
        <f>F19</f>
        <v>100</v>
      </c>
      <c r="T19" s="1559" t="s">
        <v>8</v>
      </c>
      <c r="U19" s="1560">
        <f>H19</f>
        <v>100</v>
      </c>
      <c r="V19" s="1559" t="s">
        <v>8</v>
      </c>
      <c r="W19" s="1560">
        <f>J19</f>
        <v>100</v>
      </c>
      <c r="X19" s="1553"/>
      <c r="Y19" s="3427"/>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27"/>
      <c r="Q20" s="1558"/>
      <c r="R20" s="1559"/>
      <c r="S20" s="1560"/>
      <c r="T20" s="1559"/>
      <c r="U20" s="1560"/>
      <c r="V20" s="1559"/>
      <c r="W20" s="1560"/>
      <c r="X20" s="1553"/>
      <c r="Y20" s="3427"/>
      <c r="Z20" s="1561"/>
      <c r="AA20" s="1562">
        <v>1</v>
      </c>
      <c r="AB20" s="1562">
        <v>1</v>
      </c>
      <c r="AC20" s="1562">
        <v>1</v>
      </c>
    </row>
    <row r="21" spans="1:29" ht="42.75">
      <c r="A21" s="531"/>
      <c r="B21" s="2555" t="s">
        <v>2513</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27"/>
      <c r="Q21" s="2543" t="str">
        <f>B21</f>
        <v>基础设施水平</v>
      </c>
      <c r="R21" s="1559" t="s">
        <v>8</v>
      </c>
      <c r="S21" s="1560">
        <f>F21</f>
        <v>100</v>
      </c>
      <c r="T21" s="1559" t="s">
        <v>8</v>
      </c>
      <c r="U21" s="1560">
        <f>H21</f>
        <v>100</v>
      </c>
      <c r="V21" s="1559" t="s">
        <v>8</v>
      </c>
      <c r="W21" s="1560">
        <f>J21</f>
        <v>100</v>
      </c>
      <c r="X21" s="2545"/>
      <c r="Y21" s="3427"/>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27"/>
      <c r="Q22" s="2543"/>
      <c r="R22" s="1559"/>
      <c r="S22" s="1560"/>
      <c r="T22" s="1559"/>
      <c r="U22" s="1560"/>
      <c r="V22" s="1559"/>
      <c r="W22" s="1560"/>
      <c r="X22" s="2545"/>
      <c r="Y22" s="3427"/>
      <c r="Z22" s="2544"/>
      <c r="AA22" s="1562">
        <v>1</v>
      </c>
      <c r="AB22" s="1562">
        <v>1</v>
      </c>
      <c r="AC22" s="1562">
        <v>1</v>
      </c>
    </row>
    <row r="23" spans="1:29" ht="57">
      <c r="A23" s="531"/>
      <c r="B23" s="559" t="s">
        <v>741</v>
      </c>
      <c r="C23" s="572" t="str">
        <f>估价对象房地状况!C9</f>
        <v>区域自然环境：好；人文环境：一般；综合评价环境状况好</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27"/>
      <c r="Q23" s="1558" t="str">
        <f>B23</f>
        <v>环境质量</v>
      </c>
      <c r="R23" s="1559" t="s">
        <v>8</v>
      </c>
      <c r="S23" s="1560">
        <f>F23</f>
        <v>100</v>
      </c>
      <c r="T23" s="1559" t="s">
        <v>8</v>
      </c>
      <c r="U23" s="1560">
        <f>H23</f>
        <v>100</v>
      </c>
      <c r="V23" s="1559" t="s">
        <v>8</v>
      </c>
      <c r="W23" s="1560">
        <f>J23</f>
        <v>100</v>
      </c>
      <c r="X23" s="1553"/>
      <c r="Y23" s="3427"/>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27"/>
      <c r="Q24" s="1558"/>
      <c r="R24" s="1559"/>
      <c r="S24" s="1560"/>
      <c r="T24" s="1559"/>
      <c r="U24" s="1560"/>
      <c r="V24" s="1559"/>
      <c r="W24" s="1560"/>
      <c r="X24" s="1553"/>
      <c r="Y24" s="3427"/>
      <c r="Z24" s="1561"/>
      <c r="AA24" s="1562">
        <v>1</v>
      </c>
      <c r="AB24" s="1562">
        <v>1</v>
      </c>
      <c r="AC24" s="1562">
        <v>1</v>
      </c>
    </row>
    <row r="25" spans="1:29" ht="27">
      <c r="A25" s="514"/>
      <c r="B25" s="559" t="s">
        <v>512</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27"/>
      <c r="Q25" s="1558" t="str">
        <f>B25</f>
        <v>毗邻道路的类型与等级</v>
      </c>
      <c r="R25" s="1559" t="s">
        <v>8</v>
      </c>
      <c r="S25" s="1560">
        <f>F25</f>
        <v>100</v>
      </c>
      <c r="T25" s="1559" t="s">
        <v>8</v>
      </c>
      <c r="U25" s="1560">
        <f>H25</f>
        <v>100</v>
      </c>
      <c r="V25" s="1559" t="s">
        <v>8</v>
      </c>
      <c r="W25" s="1560">
        <f>J25</f>
        <v>100</v>
      </c>
      <c r="X25" s="1553"/>
      <c r="Y25" s="3427"/>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27"/>
      <c r="Q26" s="1558"/>
      <c r="R26" s="1559"/>
      <c r="S26" s="1560"/>
      <c r="T26" s="1559"/>
      <c r="U26" s="1560"/>
      <c r="V26" s="1559"/>
      <c r="W26" s="1560"/>
      <c r="X26" s="1553"/>
      <c r="Y26" s="3427"/>
      <c r="Z26" s="1561"/>
      <c r="AA26" s="1562">
        <v>1</v>
      </c>
      <c r="AB26" s="1562">
        <v>1</v>
      </c>
      <c r="AC26" s="1562">
        <v>1</v>
      </c>
    </row>
    <row r="27" spans="1:29" ht="15">
      <c r="A27" s="531"/>
      <c r="B27" s="565" t="s">
        <v>724</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27"/>
      <c r="Q27" s="1558" t="str">
        <f t="shared" ref="Q27:Q47" si="11">B27</f>
        <v>楼层</v>
      </c>
      <c r="R27" s="1559" t="s">
        <v>8</v>
      </c>
      <c r="S27" s="1560">
        <f>F27</f>
        <v>100</v>
      </c>
      <c r="T27" s="1559" t="s">
        <v>8</v>
      </c>
      <c r="U27" s="1560">
        <f>H27</f>
        <v>100</v>
      </c>
      <c r="V27" s="1559" t="s">
        <v>8</v>
      </c>
      <c r="W27" s="1560">
        <f>J27</f>
        <v>100</v>
      </c>
      <c r="X27" s="1553"/>
      <c r="Y27" s="3427"/>
      <c r="Z27" s="1561" t="str">
        <f>Q27</f>
        <v>楼层</v>
      </c>
      <c r="AA27" s="1562">
        <f t="shared" si="3"/>
        <v>1</v>
      </c>
      <c r="AB27" s="1562">
        <f t="shared" si="4"/>
        <v>1</v>
      </c>
      <c r="AC27" s="1562">
        <f t="shared" si="5"/>
        <v>1</v>
      </c>
    </row>
    <row r="28" spans="1:29" s="1215" customFormat="1" ht="15">
      <c r="A28" s="535"/>
      <c r="B28" s="559" t="s">
        <v>742</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27"/>
      <c r="Q28" s="1146" t="str">
        <f t="shared" si="11"/>
        <v>朝向</v>
      </c>
      <c r="R28" s="1554" t="s">
        <v>8</v>
      </c>
      <c r="S28" s="1555">
        <f>F28</f>
        <v>100</v>
      </c>
      <c r="T28" s="1554" t="s">
        <v>8</v>
      </c>
      <c r="U28" s="1555">
        <f>H28</f>
        <v>100</v>
      </c>
      <c r="V28" s="1554" t="s">
        <v>8</v>
      </c>
      <c r="W28" s="1555">
        <f>J28</f>
        <v>100</v>
      </c>
      <c r="X28" s="1556"/>
      <c r="Y28" s="3427"/>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27"/>
      <c r="Q29" s="1558">
        <f t="shared" si="11"/>
        <v>111</v>
      </c>
      <c r="R29" s="1559" t="s">
        <v>8</v>
      </c>
      <c r="S29" s="1560">
        <f t="shared" ref="S29:S47" si="12">F29</f>
        <v>100</v>
      </c>
      <c r="T29" s="1559" t="s">
        <v>8</v>
      </c>
      <c r="U29" s="1560">
        <f t="shared" ref="U29:U47" si="13">H29</f>
        <v>100</v>
      </c>
      <c r="V29" s="1559" t="s">
        <v>8</v>
      </c>
      <c r="W29" s="1560">
        <f t="shared" ref="W29:W47" si="14">J29</f>
        <v>100</v>
      </c>
      <c r="X29" s="1553"/>
      <c r="Y29" s="3427"/>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27"/>
      <c r="Q30" s="1558">
        <f t="shared" si="11"/>
        <v>111</v>
      </c>
      <c r="R30" s="1559" t="s">
        <v>8</v>
      </c>
      <c r="S30" s="1560">
        <f t="shared" si="12"/>
        <v>100</v>
      </c>
      <c r="T30" s="1559" t="s">
        <v>8</v>
      </c>
      <c r="U30" s="1560">
        <f t="shared" si="13"/>
        <v>100</v>
      </c>
      <c r="V30" s="1559" t="s">
        <v>8</v>
      </c>
      <c r="W30" s="1560">
        <f t="shared" si="14"/>
        <v>100</v>
      </c>
      <c r="X30" s="1553"/>
      <c r="Y30" s="3427"/>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27"/>
      <c r="Q31" s="1558">
        <f t="shared" si="11"/>
        <v>111</v>
      </c>
      <c r="R31" s="1559" t="s">
        <v>8</v>
      </c>
      <c r="S31" s="1560">
        <f t="shared" si="12"/>
        <v>100</v>
      </c>
      <c r="T31" s="1559" t="s">
        <v>8</v>
      </c>
      <c r="U31" s="1560">
        <f t="shared" si="13"/>
        <v>100</v>
      </c>
      <c r="V31" s="1559" t="s">
        <v>8</v>
      </c>
      <c r="W31" s="1560">
        <f t="shared" si="14"/>
        <v>100</v>
      </c>
      <c r="X31" s="1553"/>
      <c r="Y31" s="3427"/>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27"/>
      <c r="Q32" s="1558">
        <f t="shared" si="11"/>
        <v>111</v>
      </c>
      <c r="R32" s="1559" t="s">
        <v>8</v>
      </c>
      <c r="S32" s="1560">
        <f t="shared" si="12"/>
        <v>100</v>
      </c>
      <c r="T32" s="1559" t="s">
        <v>8</v>
      </c>
      <c r="U32" s="1560">
        <f t="shared" si="13"/>
        <v>100</v>
      </c>
      <c r="V32" s="1559" t="s">
        <v>8</v>
      </c>
      <c r="W32" s="1560">
        <f t="shared" si="14"/>
        <v>100</v>
      </c>
      <c r="X32" s="1553"/>
      <c r="Y32" s="3427"/>
      <c r="Z32" s="1561">
        <f t="shared" si="15"/>
        <v>111</v>
      </c>
      <c r="AA32" s="1562">
        <f t="shared" si="3"/>
        <v>1</v>
      </c>
      <c r="AB32" s="1562">
        <f t="shared" si="4"/>
        <v>1</v>
      </c>
      <c r="AC32" s="1562">
        <f t="shared" si="5"/>
        <v>1</v>
      </c>
    </row>
    <row r="33" spans="1:29" ht="15">
      <c r="A33" s="2862" t="s">
        <v>2710</v>
      </c>
      <c r="B33" s="171" t="s">
        <v>743</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28" t="s">
        <v>514</v>
      </c>
      <c r="Q33" s="1558" t="str">
        <f t="shared" si="11"/>
        <v>建筑类型</v>
      </c>
      <c r="R33" s="1559" t="s">
        <v>8</v>
      </c>
      <c r="S33" s="1560">
        <f t="shared" si="12"/>
        <v>100</v>
      </c>
      <c r="T33" s="1559" t="s">
        <v>8</v>
      </c>
      <c r="U33" s="1560">
        <f t="shared" si="13"/>
        <v>100</v>
      </c>
      <c r="V33" s="1559" t="s">
        <v>8</v>
      </c>
      <c r="W33" s="1560">
        <f t="shared" si="14"/>
        <v>100</v>
      </c>
      <c r="X33" s="1553"/>
      <c r="Y33" s="3429" t="s">
        <v>514</v>
      </c>
      <c r="Z33" s="1561" t="str">
        <f t="shared" si="15"/>
        <v>建筑类型</v>
      </c>
      <c r="AA33" s="1562">
        <f t="shared" si="3"/>
        <v>1</v>
      </c>
      <c r="AB33" s="1562">
        <f t="shared" si="4"/>
        <v>1</v>
      </c>
      <c r="AC33" s="1562">
        <f t="shared" si="5"/>
        <v>1</v>
      </c>
    </row>
    <row r="34" spans="1:29" s="1334" customFormat="1" ht="15">
      <c r="A34" s="602"/>
      <c r="B34" s="526" t="s">
        <v>689</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29"/>
      <c r="Q34" s="1590" t="str">
        <f t="shared" si="11"/>
        <v>项目建筑规模</v>
      </c>
      <c r="R34" s="1563" t="s">
        <v>8</v>
      </c>
      <c r="S34" s="1564" t="e">
        <f t="shared" si="12"/>
        <v>#N/A</v>
      </c>
      <c r="T34" s="1563" t="s">
        <v>8</v>
      </c>
      <c r="U34" s="1564" t="e">
        <f t="shared" si="13"/>
        <v>#N/A</v>
      </c>
      <c r="V34" s="1563" t="s">
        <v>8</v>
      </c>
      <c r="W34" s="1564" t="e">
        <f t="shared" si="14"/>
        <v>#N/A</v>
      </c>
      <c r="X34" s="1565"/>
      <c r="Y34" s="3429"/>
      <c r="Z34" s="1566" t="str">
        <f t="shared" si="15"/>
        <v>项目建筑规模</v>
      </c>
      <c r="AA34" s="1562" t="e">
        <f t="shared" si="3"/>
        <v>#N/A</v>
      </c>
      <c r="AB34" s="1562" t="e">
        <f t="shared" si="4"/>
        <v>#N/A</v>
      </c>
      <c r="AC34" s="1562" t="e">
        <f t="shared" si="5"/>
        <v>#N/A</v>
      </c>
    </row>
    <row r="35" spans="1:29" ht="15">
      <c r="A35" s="593"/>
      <c r="B35" s="526" t="s">
        <v>690</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29"/>
      <c r="Q35" s="1558" t="str">
        <f t="shared" si="11"/>
        <v>建筑结构</v>
      </c>
      <c r="R35" s="1559" t="s">
        <v>8</v>
      </c>
      <c r="S35" s="1560">
        <f t="shared" si="12"/>
        <v>100</v>
      </c>
      <c r="T35" s="1559" t="s">
        <v>8</v>
      </c>
      <c r="U35" s="1560">
        <f t="shared" si="13"/>
        <v>100</v>
      </c>
      <c r="V35" s="1559" t="s">
        <v>8</v>
      </c>
      <c r="W35" s="1560">
        <f t="shared" si="14"/>
        <v>100</v>
      </c>
      <c r="X35" s="1553"/>
      <c r="Y35" s="3429"/>
      <c r="Z35" s="1561" t="str">
        <f t="shared" si="15"/>
        <v>建筑结构</v>
      </c>
      <c r="AA35" s="1562">
        <f t="shared" si="3"/>
        <v>1</v>
      </c>
      <c r="AB35" s="1562">
        <f t="shared" si="4"/>
        <v>1</v>
      </c>
      <c r="AC35" s="1562">
        <f t="shared" si="5"/>
        <v>1</v>
      </c>
    </row>
    <row r="36" spans="1:29" ht="15">
      <c r="A36" s="593"/>
      <c r="B36" s="526" t="s">
        <v>726</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29"/>
      <c r="Q36" s="1558" t="str">
        <f t="shared" si="11"/>
        <v>公共部分装修</v>
      </c>
      <c r="R36" s="1559" t="s">
        <v>8</v>
      </c>
      <c r="S36" s="1560">
        <f t="shared" si="12"/>
        <v>100</v>
      </c>
      <c r="T36" s="1559" t="s">
        <v>8</v>
      </c>
      <c r="U36" s="1560">
        <f t="shared" si="13"/>
        <v>100</v>
      </c>
      <c r="V36" s="1559" t="s">
        <v>8</v>
      </c>
      <c r="W36" s="1560">
        <f t="shared" si="14"/>
        <v>100</v>
      </c>
      <c r="X36" s="1553"/>
      <c r="Y36" s="3429"/>
      <c r="Z36" s="1561" t="str">
        <f t="shared" si="15"/>
        <v>公共部分装修</v>
      </c>
      <c r="AA36" s="1562">
        <f t="shared" si="3"/>
        <v>1</v>
      </c>
      <c r="AB36" s="1562">
        <f t="shared" si="4"/>
        <v>1</v>
      </c>
      <c r="AC36" s="1562">
        <f t="shared" si="5"/>
        <v>1</v>
      </c>
    </row>
    <row r="37" spans="1:29" ht="15">
      <c r="A37" s="593"/>
      <c r="B37" s="526" t="s">
        <v>727</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29"/>
      <c r="Q37" s="1558" t="str">
        <f t="shared" si="11"/>
        <v>成新度</v>
      </c>
      <c r="R37" s="1559" t="s">
        <v>8</v>
      </c>
      <c r="S37" s="1560" t="e">
        <f t="shared" si="12"/>
        <v>#N/A</v>
      </c>
      <c r="T37" s="1559" t="s">
        <v>8</v>
      </c>
      <c r="U37" s="1560" t="e">
        <f t="shared" si="13"/>
        <v>#N/A</v>
      </c>
      <c r="V37" s="1559" t="s">
        <v>8</v>
      </c>
      <c r="W37" s="1560" t="e">
        <f t="shared" si="14"/>
        <v>#N/A</v>
      </c>
      <c r="X37" s="1553"/>
      <c r="Y37" s="3429"/>
      <c r="Z37" s="1561" t="str">
        <f t="shared" si="15"/>
        <v>成新度</v>
      </c>
      <c r="AA37" s="1562" t="e">
        <f t="shared" si="3"/>
        <v>#N/A</v>
      </c>
      <c r="AB37" s="1562" t="e">
        <f t="shared" si="4"/>
        <v>#N/A</v>
      </c>
      <c r="AC37" s="1562" t="e">
        <f t="shared" si="5"/>
        <v>#N/A</v>
      </c>
    </row>
    <row r="38" spans="1:29" s="1215" customFormat="1" ht="15">
      <c r="A38" s="599"/>
      <c r="B38" s="526" t="s">
        <v>744</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29"/>
      <c r="Q38" s="1146" t="str">
        <f t="shared" si="11"/>
        <v>写字楼等级</v>
      </c>
      <c r="R38" s="1554" t="s">
        <v>8</v>
      </c>
      <c r="S38" s="1555">
        <f t="shared" si="12"/>
        <v>100</v>
      </c>
      <c r="T38" s="1554" t="s">
        <v>8</v>
      </c>
      <c r="U38" s="1555">
        <f t="shared" si="13"/>
        <v>100</v>
      </c>
      <c r="V38" s="1554" t="s">
        <v>8</v>
      </c>
      <c r="W38" s="1555">
        <f t="shared" si="14"/>
        <v>100</v>
      </c>
      <c r="X38" s="1556"/>
      <c r="Y38" s="3429"/>
      <c r="Z38" s="1145" t="str">
        <f t="shared" si="15"/>
        <v>写字楼等级</v>
      </c>
      <c r="AA38" s="1557">
        <f t="shared" si="3"/>
        <v>1</v>
      </c>
      <c r="AB38" s="1557">
        <f t="shared" si="4"/>
        <v>1</v>
      </c>
      <c r="AC38" s="1557">
        <f t="shared" si="5"/>
        <v>1</v>
      </c>
    </row>
    <row r="39" spans="1:29" ht="15">
      <c r="A39" s="593"/>
      <c r="B39" s="526" t="s">
        <v>745</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29" t="s">
        <v>514</v>
      </c>
      <c r="Q39" s="1558" t="str">
        <f t="shared" si="11"/>
        <v>物业管理</v>
      </c>
      <c r="R39" s="1559" t="s">
        <v>8</v>
      </c>
      <c r="S39" s="1560">
        <f t="shared" si="12"/>
        <v>100</v>
      </c>
      <c r="T39" s="1559" t="s">
        <v>8</v>
      </c>
      <c r="U39" s="1560">
        <f t="shared" si="13"/>
        <v>100</v>
      </c>
      <c r="V39" s="1559" t="s">
        <v>8</v>
      </c>
      <c r="W39" s="1560">
        <f t="shared" si="14"/>
        <v>100</v>
      </c>
      <c r="X39" s="1553"/>
      <c r="Y39" s="3429" t="s">
        <v>514</v>
      </c>
      <c r="Z39" s="1561" t="str">
        <f t="shared" si="15"/>
        <v>物业管理</v>
      </c>
      <c r="AA39" s="1562">
        <f t="shared" si="3"/>
        <v>1</v>
      </c>
      <c r="AB39" s="1562">
        <f t="shared" si="4"/>
        <v>1</v>
      </c>
      <c r="AC39" s="1562">
        <f t="shared" si="5"/>
        <v>1</v>
      </c>
    </row>
    <row r="40" spans="1:29" ht="15">
      <c r="A40" s="593"/>
      <c r="B40" s="1880" t="s">
        <v>2520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29"/>
      <c r="Q40" s="1558" t="str">
        <f t="shared" si="11"/>
        <v>市政基础设施</v>
      </c>
      <c r="R40" s="1559" t="s">
        <v>8</v>
      </c>
      <c r="S40" s="1560">
        <f t="shared" si="12"/>
        <v>100</v>
      </c>
      <c r="T40" s="1559" t="s">
        <v>8</v>
      </c>
      <c r="U40" s="1560">
        <f t="shared" si="13"/>
        <v>100</v>
      </c>
      <c r="V40" s="1559" t="s">
        <v>8</v>
      </c>
      <c r="W40" s="1560">
        <f t="shared" si="14"/>
        <v>100</v>
      </c>
      <c r="X40" s="1553"/>
      <c r="Y40" s="3429"/>
      <c r="Z40" s="1561" t="str">
        <f t="shared" si="15"/>
        <v>市政基础设施</v>
      </c>
      <c r="AA40" s="1562">
        <f t="shared" si="3"/>
        <v>1</v>
      </c>
      <c r="AB40" s="1562">
        <f t="shared" si="4"/>
        <v>1</v>
      </c>
      <c r="AC40" s="1562">
        <f t="shared" si="5"/>
        <v>1</v>
      </c>
    </row>
    <row r="41" spans="1:29" ht="15">
      <c r="A41" s="593"/>
      <c r="B41" s="526" t="s">
        <v>730</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29"/>
      <c r="Q41" s="1558" t="str">
        <f t="shared" si="11"/>
        <v>层高</v>
      </c>
      <c r="R41" s="1559" t="s">
        <v>8</v>
      </c>
      <c r="S41" s="1560">
        <f t="shared" si="12"/>
        <v>100</v>
      </c>
      <c r="T41" s="1559" t="s">
        <v>8</v>
      </c>
      <c r="U41" s="1560">
        <f t="shared" si="13"/>
        <v>100</v>
      </c>
      <c r="V41" s="1559" t="s">
        <v>8</v>
      </c>
      <c r="W41" s="1560">
        <f t="shared" si="14"/>
        <v>100</v>
      </c>
      <c r="X41" s="1553"/>
      <c r="Y41" s="3429"/>
      <c r="Z41" s="1561" t="str">
        <f t="shared" si="15"/>
        <v>层高</v>
      </c>
      <c r="AA41" s="1562">
        <f t="shared" si="3"/>
        <v>1</v>
      </c>
      <c r="AB41" s="1562">
        <f t="shared" si="4"/>
        <v>1</v>
      </c>
      <c r="AC41" s="1562">
        <f t="shared" si="5"/>
        <v>1</v>
      </c>
    </row>
    <row r="42" spans="1:29" s="1334" customFormat="1" ht="15">
      <c r="A42" s="602"/>
      <c r="B42" s="903" t="s">
        <v>746</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29"/>
      <c r="Q42" s="1590" t="str">
        <f t="shared" si="11"/>
        <v>单套建筑面积</v>
      </c>
      <c r="R42" s="1563" t="s">
        <v>8</v>
      </c>
      <c r="S42" s="1564">
        <f t="shared" si="12"/>
        <v>100</v>
      </c>
      <c r="T42" s="1563" t="s">
        <v>8</v>
      </c>
      <c r="U42" s="1564">
        <f t="shared" si="13"/>
        <v>100</v>
      </c>
      <c r="V42" s="1563" t="s">
        <v>8</v>
      </c>
      <c r="W42" s="1564">
        <f t="shared" si="14"/>
        <v>100</v>
      </c>
      <c r="X42" s="1565"/>
      <c r="Y42" s="3429"/>
      <c r="Z42" s="1566" t="str">
        <f t="shared" si="15"/>
        <v>单套建筑面积</v>
      </c>
      <c r="AA42" s="1562">
        <f t="shared" si="3"/>
        <v>1</v>
      </c>
      <c r="AB42" s="1562">
        <f t="shared" si="4"/>
        <v>1</v>
      </c>
      <c r="AC42" s="1562">
        <f t="shared" si="5"/>
        <v>1</v>
      </c>
    </row>
    <row r="43" spans="1:29" ht="15">
      <c r="A43" s="593"/>
      <c r="B43" s="526" t="s">
        <v>733</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29"/>
      <c r="Q43" s="1558" t="str">
        <f t="shared" si="11"/>
        <v>内部装修</v>
      </c>
      <c r="R43" s="1559" t="s">
        <v>8</v>
      </c>
      <c r="S43" s="1560">
        <f t="shared" si="12"/>
        <v>100</v>
      </c>
      <c r="T43" s="1559" t="s">
        <v>8</v>
      </c>
      <c r="U43" s="1560">
        <f t="shared" si="13"/>
        <v>100</v>
      </c>
      <c r="V43" s="1559" t="s">
        <v>8</v>
      </c>
      <c r="W43" s="1560">
        <f t="shared" si="14"/>
        <v>100</v>
      </c>
      <c r="X43" s="1553"/>
      <c r="Y43" s="3429"/>
      <c r="Z43" s="1561" t="str">
        <f t="shared" si="15"/>
        <v>内部装修</v>
      </c>
      <c r="AA43" s="1562">
        <f t="shared" si="3"/>
        <v>1</v>
      </c>
      <c r="AB43" s="1562">
        <f t="shared" si="4"/>
        <v>1</v>
      </c>
      <c r="AC43" s="1562">
        <f t="shared" si="5"/>
        <v>1</v>
      </c>
    </row>
    <row r="44" spans="1:29" ht="27">
      <c r="A44" s="593"/>
      <c r="B44" s="526" t="s">
        <v>698</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29"/>
      <c r="Q44" s="1558" t="str">
        <f t="shared" si="11"/>
        <v>内部装修维护情况</v>
      </c>
      <c r="R44" s="1559" t="s">
        <v>8</v>
      </c>
      <c r="S44" s="1560">
        <f t="shared" si="12"/>
        <v>100</v>
      </c>
      <c r="T44" s="1559" t="s">
        <v>8</v>
      </c>
      <c r="U44" s="1560">
        <f t="shared" si="13"/>
        <v>100</v>
      </c>
      <c r="V44" s="1559" t="s">
        <v>8</v>
      </c>
      <c r="W44" s="1560">
        <f t="shared" si="14"/>
        <v>100</v>
      </c>
      <c r="X44" s="1553"/>
      <c r="Y44" s="3429"/>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29"/>
      <c r="Q45" s="1146">
        <f t="shared" si="11"/>
        <v>111</v>
      </c>
      <c r="R45" s="1554" t="s">
        <v>8</v>
      </c>
      <c r="S45" s="1555">
        <f t="shared" si="12"/>
        <v>100</v>
      </c>
      <c r="T45" s="1554" t="s">
        <v>8</v>
      </c>
      <c r="U45" s="1555">
        <f t="shared" si="13"/>
        <v>100</v>
      </c>
      <c r="V45" s="1554" t="s">
        <v>8</v>
      </c>
      <c r="W45" s="1555">
        <f t="shared" si="14"/>
        <v>100</v>
      </c>
      <c r="X45" s="1556"/>
      <c r="Y45" s="3429"/>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29"/>
      <c r="Q46" s="1558">
        <f t="shared" si="11"/>
        <v>111</v>
      </c>
      <c r="R46" s="1559" t="s">
        <v>8</v>
      </c>
      <c r="S46" s="1560">
        <f t="shared" si="12"/>
        <v>100</v>
      </c>
      <c r="T46" s="1559" t="s">
        <v>8</v>
      </c>
      <c r="U46" s="1560">
        <f t="shared" si="13"/>
        <v>100</v>
      </c>
      <c r="V46" s="1559" t="s">
        <v>8</v>
      </c>
      <c r="W46" s="1560">
        <f t="shared" si="14"/>
        <v>100</v>
      </c>
      <c r="X46" s="1553"/>
      <c r="Y46" s="3429"/>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87"/>
      <c r="Q47" s="1558">
        <f t="shared" si="11"/>
        <v>111</v>
      </c>
      <c r="R47" s="1559" t="s">
        <v>8</v>
      </c>
      <c r="S47" s="1560">
        <f t="shared" si="12"/>
        <v>100</v>
      </c>
      <c r="T47" s="1559" t="s">
        <v>8</v>
      </c>
      <c r="U47" s="1560">
        <f t="shared" si="13"/>
        <v>100</v>
      </c>
      <c r="V47" s="1559" t="s">
        <v>8</v>
      </c>
      <c r="W47" s="1560">
        <f t="shared" si="14"/>
        <v>100</v>
      </c>
      <c r="X47" s="1553"/>
      <c r="Y47" s="3487"/>
      <c r="Z47" s="1561">
        <f t="shared" si="15"/>
        <v>111</v>
      </c>
      <c r="AA47" s="1562">
        <f t="shared" si="3"/>
        <v>1</v>
      </c>
      <c r="AB47" s="1562">
        <f t="shared" si="4"/>
        <v>1</v>
      </c>
      <c r="AC47" s="1562">
        <f t="shared" si="5"/>
        <v>1</v>
      </c>
    </row>
    <row r="48" spans="1:29" ht="15">
      <c r="A48" s="606" t="s">
        <v>699</v>
      </c>
      <c r="B48" s="886"/>
      <c r="C48" s="2591" t="s">
        <v>1</v>
      </c>
      <c r="D48" s="2592"/>
      <c r="E48" s="2593"/>
      <c r="F48" s="2594"/>
      <c r="G48" s="2595"/>
      <c r="H48" s="2596"/>
      <c r="I48" s="2593"/>
      <c r="J48" s="2596"/>
      <c r="K48" s="1596"/>
      <c r="L48" s="2129"/>
      <c r="M48" s="2119"/>
      <c r="N48" s="2119"/>
      <c r="O48" s="2119"/>
      <c r="P48" s="3389" t="str">
        <f>A48</f>
        <v>成交单价（元/平方米）</v>
      </c>
      <c r="Q48" s="3391"/>
      <c r="R48" s="3486">
        <f>E48</f>
        <v>0</v>
      </c>
      <c r="S48" s="3486"/>
      <c r="T48" s="3486">
        <f>G48</f>
        <v>0</v>
      </c>
      <c r="U48" s="3486"/>
      <c r="V48" s="3486">
        <f>I48</f>
        <v>0</v>
      </c>
      <c r="W48" s="3486"/>
      <c r="X48" s="1545"/>
      <c r="Y48" s="1567"/>
      <c r="Z48" s="1545"/>
      <c r="AA48" s="1545"/>
      <c r="AB48" s="1545"/>
      <c r="AC48" s="1545"/>
    </row>
    <row r="49" spans="1:29" ht="15.75" thickBot="1">
      <c r="A49" s="614" t="s">
        <v>2715</v>
      </c>
      <c r="B49" s="887"/>
      <c r="C49" s="2597" t="e">
        <f>R50</f>
        <v>#DIV/0!</v>
      </c>
      <c r="D49" s="2598"/>
      <c r="E49" s="2599" t="e">
        <f>R49</f>
        <v>#DIV/0!</v>
      </c>
      <c r="F49" s="2599"/>
      <c r="G49" s="2597" t="e">
        <f>T49</f>
        <v>#DIV/0!</v>
      </c>
      <c r="H49" s="2598"/>
      <c r="I49" s="2599" t="e">
        <f>V49</f>
        <v>#DIV/0!</v>
      </c>
      <c r="J49" s="2598"/>
      <c r="K49" s="1597"/>
      <c r="L49" s="2129"/>
      <c r="M49" s="2119"/>
      <c r="N49" s="2119"/>
      <c r="O49" s="2119"/>
      <c r="P49" s="3389" t="str">
        <f>A49</f>
        <v>比较价格（元/平方米）</v>
      </c>
      <c r="Q49" s="3391"/>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45"/>
      <c r="Y49" s="1545"/>
      <c r="Z49" s="1545"/>
      <c r="AA49" s="1545"/>
      <c r="AB49" s="1545"/>
      <c r="AC49" s="1545"/>
    </row>
    <row r="50" spans="1:29" ht="15.75" thickBot="1">
      <c r="A50" s="620" t="s">
        <v>2878</v>
      </c>
      <c r="B50" s="621"/>
      <c r="C50" s="2600" t="e">
        <f>R50</f>
        <v>#DIV/0!</v>
      </c>
      <c r="D50" s="2600"/>
      <c r="E50" s="2600"/>
      <c r="F50" s="2600"/>
      <c r="G50" s="2600"/>
      <c r="H50" s="2600"/>
      <c r="I50" s="2600"/>
      <c r="J50" s="2600"/>
      <c r="K50" s="1598"/>
      <c r="L50" s="2129"/>
      <c r="M50" s="2119"/>
      <c r="N50" s="2119"/>
      <c r="O50" s="2119"/>
      <c r="P50" s="3513" t="str">
        <f>A50</f>
        <v>估价对象XX用房的比较价格（楼面单价，元/平方米）</v>
      </c>
      <c r="Q50" s="3389"/>
      <c r="R50" s="3485" t="e">
        <f>IF(F1="售价",ROUND(AVERAGE(R49:V49),0),ROUND(AVERAGE(R49:V49),1))</f>
        <v>#DIV/0!</v>
      </c>
      <c r="S50" s="3485"/>
      <c r="T50" s="3485"/>
      <c r="U50" s="3485"/>
      <c r="V50" s="3485"/>
      <c r="W50" s="348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521</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522</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523</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538</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493</v>
      </c>
      <c r="B59" s="645"/>
      <c r="C59" s="2757" t="str">
        <f>YEAR(C7)&amp;"-"&amp;MONTH(C7)</f>
        <v>2019-9</v>
      </c>
      <c r="D59" s="2759">
        <f>EDATE(C59,-1)</f>
        <v>43678</v>
      </c>
      <c r="E59" s="2759">
        <f t="shared" ref="E59:O59" si="16">EDATE(D59,-1)</f>
        <v>43647</v>
      </c>
      <c r="F59" s="2759">
        <f t="shared" si="16"/>
        <v>43617</v>
      </c>
      <c r="G59" s="2759">
        <f t="shared" si="16"/>
        <v>43586</v>
      </c>
      <c r="H59" s="2759">
        <f t="shared" si="16"/>
        <v>43556</v>
      </c>
      <c r="I59" s="2759">
        <f t="shared" si="16"/>
        <v>43525</v>
      </c>
      <c r="J59" s="2759">
        <f t="shared" si="16"/>
        <v>43497</v>
      </c>
      <c r="K59" s="2759">
        <f t="shared" si="16"/>
        <v>43466</v>
      </c>
      <c r="L59" s="2759">
        <f t="shared" si="16"/>
        <v>43435</v>
      </c>
      <c r="M59" s="2759">
        <f t="shared" si="16"/>
        <v>43405</v>
      </c>
      <c r="N59" s="2759">
        <f t="shared" si="16"/>
        <v>43374</v>
      </c>
      <c r="O59" s="2759">
        <f t="shared" si="16"/>
        <v>43344</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539</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495</v>
      </c>
      <c r="B62" s="647"/>
      <c r="C62" s="659" t="s">
        <v>540</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541</v>
      </c>
      <c r="B64" s="664" t="s">
        <v>498</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501</v>
      </c>
      <c r="C66" s="673" t="s">
        <v>700</v>
      </c>
      <c r="D66" s="673" t="s">
        <v>701</v>
      </c>
      <c r="E66" s="673" t="s">
        <v>702</v>
      </c>
      <c r="F66" s="673" t="s">
        <v>703</v>
      </c>
      <c r="G66" s="673" t="s">
        <v>704</v>
      </c>
      <c r="H66" s="673" t="s">
        <v>705</v>
      </c>
      <c r="I66" s="673" t="s">
        <v>706</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502</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503</v>
      </c>
      <c r="B77" s="664" t="s">
        <v>549</v>
      </c>
      <c r="C77" s="702" t="s">
        <v>543</v>
      </c>
      <c r="D77" s="702" t="s">
        <v>544</v>
      </c>
      <c r="E77" s="702" t="s">
        <v>545</v>
      </c>
      <c r="F77" s="702" t="s">
        <v>546</v>
      </c>
      <c r="G77" s="702" t="s">
        <v>547</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550</v>
      </c>
      <c r="C79" s="707" t="s">
        <v>543</v>
      </c>
      <c r="D79" s="707" t="s">
        <v>544</v>
      </c>
      <c r="E79" s="707" t="s">
        <v>545</v>
      </c>
      <c r="F79" s="707" t="s">
        <v>546</v>
      </c>
      <c r="G79" s="707" t="s">
        <v>547</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2512</v>
      </c>
      <c r="C81" s="707" t="s">
        <v>543</v>
      </c>
      <c r="D81" s="707" t="s">
        <v>544</v>
      </c>
      <c r="E81" s="707" t="s">
        <v>545</v>
      </c>
      <c r="F81" s="707" t="s">
        <v>546</v>
      </c>
      <c r="G81" s="707" t="s">
        <v>547</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2513</v>
      </c>
      <c r="C83" s="2562" t="s">
        <v>2514</v>
      </c>
      <c r="D83" s="2562" t="s">
        <v>2515</v>
      </c>
      <c r="E83" s="2562" t="s">
        <v>2516</v>
      </c>
      <c r="F83" s="2562" t="s">
        <v>2517</v>
      </c>
      <c r="G83" s="2562" t="s">
        <v>2518</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747</v>
      </c>
      <c r="C85" s="707" t="s">
        <v>543</v>
      </c>
      <c r="D85" s="707" t="s">
        <v>544</v>
      </c>
      <c r="E85" s="707" t="s">
        <v>545</v>
      </c>
      <c r="F85" s="707" t="s">
        <v>546</v>
      </c>
      <c r="G85" s="707" t="s">
        <v>547</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748</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515</v>
      </c>
      <c r="B101" s="664" t="s">
        <v>710</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711</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712</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714</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715</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749</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716</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2511</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750</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738</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718</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719</v>
      </c>
      <c r="C125" s="707" t="s">
        <v>543</v>
      </c>
      <c r="D125" s="707" t="s">
        <v>544</v>
      </c>
      <c r="E125" s="707" t="s">
        <v>545</v>
      </c>
      <c r="F125" s="707" t="s">
        <v>546</v>
      </c>
      <c r="G125" s="707" t="s">
        <v>547</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682</v>
      </c>
      <c r="B1" s="502" t="s">
        <v>751</v>
      </c>
      <c r="C1" s="503" t="s">
        <v>684</v>
      </c>
      <c r="D1" s="848"/>
      <c r="E1" s="505"/>
      <c r="F1" s="2762"/>
      <c r="G1" s="1586" t="s">
        <v>685</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431</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483</v>
      </c>
      <c r="B3" s="509" t="e">
        <f>C43</f>
        <v>#DIV/0!</v>
      </c>
      <c r="C3" s="851" t="s">
        <v>686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485</v>
      </c>
      <c r="B4" s="512"/>
      <c r="C4" s="3397" t="s">
        <v>486</v>
      </c>
      <c r="D4" s="3398"/>
      <c r="E4" s="3432" t="s">
        <v>487</v>
      </c>
      <c r="F4" s="3433"/>
      <c r="G4" s="3397" t="s">
        <v>488</v>
      </c>
      <c r="H4" s="3398"/>
      <c r="I4" s="3397" t="s">
        <v>489</v>
      </c>
      <c r="J4" s="3398"/>
      <c r="K4" s="513" t="s">
        <v>490</v>
      </c>
      <c r="L4" s="2118"/>
      <c r="M4" s="2119"/>
      <c r="N4" s="2119"/>
      <c r="O4" s="2119"/>
      <c r="P4" s="3399" t="s">
        <v>491</v>
      </c>
      <c r="Q4" s="3400"/>
      <c r="R4" s="3405" t="s">
        <v>487</v>
      </c>
      <c r="S4" s="3406"/>
      <c r="T4" s="3405" t="s">
        <v>488</v>
      </c>
      <c r="U4" s="3406"/>
      <c r="V4" s="3392" t="s">
        <v>489</v>
      </c>
      <c r="W4" s="3392"/>
      <c r="X4" s="1553"/>
      <c r="Y4" s="3405" t="s">
        <v>491</v>
      </c>
      <c r="Z4" s="3406"/>
      <c r="AA4" s="3394" t="s">
        <v>487</v>
      </c>
      <c r="AB4" s="3395" t="s">
        <v>488</v>
      </c>
      <c r="AC4" s="3394" t="s">
        <v>489</v>
      </c>
    </row>
    <row r="5" spans="1:29" ht="15">
      <c r="A5" s="514"/>
      <c r="B5" s="515"/>
      <c r="C5" s="3413" t="s">
        <v>2872</v>
      </c>
      <c r="D5" s="3414"/>
      <c r="E5" s="3434" t="s">
        <v>2873</v>
      </c>
      <c r="F5" s="3435"/>
      <c r="G5" s="3413" t="s">
        <v>2874</v>
      </c>
      <c r="H5" s="3414"/>
      <c r="I5" s="3413" t="s">
        <v>2875</v>
      </c>
      <c r="J5" s="3414"/>
      <c r="K5" s="513"/>
      <c r="L5" s="2118"/>
      <c r="M5" s="2119"/>
      <c r="N5" s="2119"/>
      <c r="O5" s="2119"/>
      <c r="P5" s="3401"/>
      <c r="Q5" s="3402"/>
      <c r="R5" s="3407"/>
      <c r="S5" s="3408"/>
      <c r="T5" s="3407"/>
      <c r="U5" s="3408"/>
      <c r="V5" s="3392"/>
      <c r="W5" s="3392"/>
      <c r="X5" s="1553"/>
      <c r="Y5" s="3407"/>
      <c r="Z5" s="3408"/>
      <c r="AA5" s="3395"/>
      <c r="AB5" s="3395"/>
      <c r="AC5" s="3395"/>
    </row>
    <row r="6" spans="1:29" ht="15.75" thickBot="1">
      <c r="A6" s="516"/>
      <c r="B6" s="517"/>
      <c r="C6" s="3411" t="s">
        <v>2876</v>
      </c>
      <c r="D6" s="3412"/>
      <c r="E6" s="3430" t="s">
        <v>2876</v>
      </c>
      <c r="F6" s="3431"/>
      <c r="G6" s="3411" t="s">
        <v>2876</v>
      </c>
      <c r="H6" s="3412"/>
      <c r="I6" s="3411" t="s">
        <v>2876</v>
      </c>
      <c r="J6" s="3412"/>
      <c r="K6" s="513" t="s">
        <v>492</v>
      </c>
      <c r="L6" s="2118"/>
      <c r="M6" s="2119"/>
      <c r="N6" s="2119"/>
      <c r="O6" s="2119"/>
      <c r="P6" s="3403"/>
      <c r="Q6" s="3404"/>
      <c r="R6" s="3407"/>
      <c r="S6" s="3408"/>
      <c r="T6" s="3409"/>
      <c r="U6" s="3410"/>
      <c r="V6" s="3392"/>
      <c r="W6" s="3392"/>
      <c r="X6" s="1553"/>
      <c r="Y6" s="3409"/>
      <c r="Z6" s="3410"/>
      <c r="AA6" s="3396"/>
      <c r="AB6" s="3396"/>
      <c r="AC6" s="3396"/>
    </row>
    <row r="7" spans="1:29" s="1215" customFormat="1" ht="15.75" thickBot="1">
      <c r="A7" s="2867"/>
      <c r="B7" s="2874" t="s">
        <v>493</v>
      </c>
      <c r="C7" s="518">
        <f>'数据-取费表'!B2</f>
        <v>43724</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23" t="s">
        <v>494</v>
      </c>
      <c r="Q7" s="3425"/>
      <c r="R7" s="1554" t="s">
        <v>8</v>
      </c>
      <c r="S7" s="1555">
        <f t="shared" ref="S7:S15" si="0">F7</f>
        <v>0</v>
      </c>
      <c r="T7" s="1554" t="s">
        <v>8</v>
      </c>
      <c r="U7" s="1555">
        <f t="shared" ref="U7:U15" si="1">H7</f>
        <v>0</v>
      </c>
      <c r="V7" s="1554" t="s">
        <v>8</v>
      </c>
      <c r="W7" s="1555">
        <f t="shared" ref="W7:W15" si="2">J7</f>
        <v>0</v>
      </c>
      <c r="X7" s="1556"/>
      <c r="Y7" s="3423" t="s">
        <v>494</v>
      </c>
      <c r="Z7" s="3424"/>
      <c r="AA7" s="1557" t="e">
        <f>D7/F7</f>
        <v>#DIV/0!</v>
      </c>
      <c r="AB7" s="1557" t="e">
        <f>D7/H7</f>
        <v>#DIV/0!</v>
      </c>
      <c r="AC7" s="1557" t="e">
        <f>D7/J7</f>
        <v>#DIV/0!</v>
      </c>
    </row>
    <row r="8" spans="1:29" s="1215" customFormat="1" ht="15.75" thickBot="1">
      <c r="A8" s="2868"/>
      <c r="B8" s="2875" t="s">
        <v>495</v>
      </c>
      <c r="C8" s="524" t="s">
        <v>540</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23" t="s">
        <v>497</v>
      </c>
      <c r="Q8" s="3424"/>
      <c r="R8" s="1554" t="s">
        <v>8</v>
      </c>
      <c r="S8" s="1555">
        <f t="shared" si="0"/>
        <v>0</v>
      </c>
      <c r="T8" s="1554" t="s">
        <v>8</v>
      </c>
      <c r="U8" s="1555">
        <f t="shared" si="1"/>
        <v>0</v>
      </c>
      <c r="V8" s="1554" t="s">
        <v>8</v>
      </c>
      <c r="W8" s="1555">
        <f t="shared" si="2"/>
        <v>0</v>
      </c>
      <c r="X8" s="1556"/>
      <c r="Y8" s="3423" t="s">
        <v>497</v>
      </c>
      <c r="Z8" s="3424"/>
      <c r="AA8" s="1557" t="e">
        <f t="shared" ref="AA8:AA40" si="3">D8/F8</f>
        <v>#DIV/0!</v>
      </c>
      <c r="AB8" s="1557" t="e">
        <f t="shared" ref="AB8:AB40" si="4">D8/H8</f>
        <v>#DIV/0!</v>
      </c>
      <c r="AC8" s="1557" t="e">
        <f t="shared" ref="AC8:AC40" si="5">D8/J8</f>
        <v>#DIV/0!</v>
      </c>
    </row>
    <row r="9" spans="1:29" s="1215" customFormat="1" ht="15">
      <c r="A9" s="2869"/>
      <c r="B9" s="2876" t="s">
        <v>2711</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91" t="s">
        <v>499</v>
      </c>
      <c r="Q9" s="1146" t="str">
        <f t="shared" ref="Q9:Q15" si="6">B9</f>
        <v>用途</v>
      </c>
      <c r="R9" s="1554" t="s">
        <v>8</v>
      </c>
      <c r="S9" s="1555">
        <f t="shared" si="0"/>
        <v>100</v>
      </c>
      <c r="T9" s="1554" t="s">
        <v>8</v>
      </c>
      <c r="U9" s="1555">
        <f t="shared" si="1"/>
        <v>100</v>
      </c>
      <c r="V9" s="1554" t="s">
        <v>8</v>
      </c>
      <c r="W9" s="1555">
        <f t="shared" si="2"/>
        <v>100</v>
      </c>
      <c r="X9" s="1556"/>
      <c r="Y9" s="3337" t="s">
        <v>500</v>
      </c>
      <c r="Z9" s="1145" t="str">
        <f t="shared" ref="Z9:Z15" si="7">Q9</f>
        <v>用途</v>
      </c>
      <c r="AA9" s="1557">
        <f t="shared" si="3"/>
        <v>1</v>
      </c>
      <c r="AB9" s="1557">
        <f t="shared" si="4"/>
        <v>1</v>
      </c>
      <c r="AC9" s="1557">
        <f t="shared" si="5"/>
        <v>1</v>
      </c>
    </row>
    <row r="10" spans="1:29" s="1333" customFormat="1" ht="27">
      <c r="A10" s="2870"/>
      <c r="B10" s="2875" t="s">
        <v>2712</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5" t="s">
        <v>2713</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91"/>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91"/>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15">
      <c r="A15" s="2865" t="s">
        <v>2709</v>
      </c>
      <c r="B15" s="165" t="s">
        <v>752</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26" t="s">
        <v>504</v>
      </c>
      <c r="Q15" s="1558" t="str">
        <f t="shared" si="6"/>
        <v>产业集聚程度</v>
      </c>
      <c r="R15" s="1559" t="s">
        <v>8</v>
      </c>
      <c r="S15" s="1560">
        <f t="shared" si="0"/>
        <v>100</v>
      </c>
      <c r="T15" s="1559" t="s">
        <v>8</v>
      </c>
      <c r="U15" s="1560">
        <f t="shared" si="1"/>
        <v>100</v>
      </c>
      <c r="V15" s="1559" t="s">
        <v>8</v>
      </c>
      <c r="W15" s="1560">
        <f t="shared" si="2"/>
        <v>100</v>
      </c>
      <c r="X15" s="1553"/>
      <c r="Y15" s="3426" t="s">
        <v>504</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27"/>
      <c r="Q16" s="1558"/>
      <c r="R16" s="1559"/>
      <c r="S16" s="1560"/>
      <c r="T16" s="1559"/>
      <c r="U16" s="1560"/>
      <c r="V16" s="1559"/>
      <c r="W16" s="1560"/>
      <c r="X16" s="1553"/>
      <c r="Y16" s="3427"/>
      <c r="Z16" s="1561"/>
      <c r="AA16" s="1562">
        <v>1</v>
      </c>
      <c r="AB16" s="1562">
        <v>1</v>
      </c>
      <c r="AC16" s="1562">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27"/>
      <c r="Q17" s="1558" t="str">
        <f>B17</f>
        <v>交通便捷度</v>
      </c>
      <c r="R17" s="1559" t="s">
        <v>8</v>
      </c>
      <c r="S17" s="1560">
        <f>F17</f>
        <v>100</v>
      </c>
      <c r="T17" s="1559" t="s">
        <v>8</v>
      </c>
      <c r="U17" s="1560">
        <f>H17</f>
        <v>100</v>
      </c>
      <c r="V17" s="1559" t="s">
        <v>8</v>
      </c>
      <c r="W17" s="1560">
        <f>J17</f>
        <v>100</v>
      </c>
      <c r="X17" s="1553"/>
      <c r="Y17" s="342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27"/>
      <c r="Q18" s="1558"/>
      <c r="R18" s="1559"/>
      <c r="S18" s="1560"/>
      <c r="T18" s="1559"/>
      <c r="U18" s="1560"/>
      <c r="V18" s="1559"/>
      <c r="W18" s="1560"/>
      <c r="X18" s="1553"/>
      <c r="Y18" s="3427"/>
      <c r="Z18" s="1561"/>
      <c r="AA18" s="1562">
        <v>1</v>
      </c>
      <c r="AB18" s="1562">
        <v>1</v>
      </c>
      <c r="AC18" s="1562">
        <v>1</v>
      </c>
    </row>
    <row r="19" spans="1:29" ht="15">
      <c r="A19" s="531"/>
      <c r="B19" s="2567" t="s">
        <v>2501</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27"/>
      <c r="Q19" s="1558" t="str">
        <f>B19</f>
        <v>公共配套设施</v>
      </c>
      <c r="R19" s="1559" t="s">
        <v>8</v>
      </c>
      <c r="S19" s="1560">
        <f>F19</f>
        <v>100</v>
      </c>
      <c r="T19" s="1559" t="s">
        <v>8</v>
      </c>
      <c r="U19" s="1560">
        <f>H19</f>
        <v>100</v>
      </c>
      <c r="V19" s="1559" t="s">
        <v>8</v>
      </c>
      <c r="W19" s="1560">
        <f>J19</f>
        <v>100</v>
      </c>
      <c r="X19" s="1553"/>
      <c r="Y19" s="3427"/>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27"/>
      <c r="Q20" s="1558"/>
      <c r="R20" s="1559"/>
      <c r="S20" s="1560"/>
      <c r="T20" s="1559"/>
      <c r="U20" s="1560"/>
      <c r="V20" s="1559"/>
      <c r="W20" s="1560"/>
      <c r="X20" s="1553"/>
      <c r="Y20" s="3427"/>
      <c r="Z20" s="1561"/>
      <c r="AA20" s="1562">
        <v>1</v>
      </c>
      <c r="AB20" s="1562">
        <v>1</v>
      </c>
      <c r="AC20" s="1562">
        <v>1</v>
      </c>
    </row>
    <row r="21" spans="1:29" ht="15">
      <c r="A21" s="531"/>
      <c r="B21" s="2555" t="s">
        <v>2513</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27"/>
      <c r="Q21" s="2543" t="str">
        <f>B21</f>
        <v>基础设施水平</v>
      </c>
      <c r="R21" s="1559" t="s">
        <v>8</v>
      </c>
      <c r="S21" s="1560">
        <f>F21</f>
        <v>100</v>
      </c>
      <c r="T21" s="1559" t="s">
        <v>8</v>
      </c>
      <c r="U21" s="1560">
        <f>H21</f>
        <v>100</v>
      </c>
      <c r="V21" s="1559" t="s">
        <v>8</v>
      </c>
      <c r="W21" s="1560">
        <f>J21</f>
        <v>100</v>
      </c>
      <c r="X21" s="2545"/>
      <c r="Y21" s="3427"/>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27"/>
      <c r="Q22" s="2543"/>
      <c r="R22" s="1559"/>
      <c r="S22" s="1560"/>
      <c r="T22" s="1559"/>
      <c r="U22" s="1560"/>
      <c r="V22" s="1559"/>
      <c r="W22" s="1560"/>
      <c r="X22" s="2545"/>
      <c r="Y22" s="3427"/>
      <c r="Z22" s="2544"/>
      <c r="AA22" s="1562">
        <v>1</v>
      </c>
      <c r="AB22" s="1562">
        <v>1</v>
      </c>
      <c r="AC22" s="1562">
        <v>1</v>
      </c>
    </row>
    <row r="23" spans="1:29" ht="15">
      <c r="A23" s="531"/>
      <c r="B23" s="870" t="s">
        <v>741</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27"/>
      <c r="Q23" s="1558" t="str">
        <f>B23</f>
        <v>环境质量</v>
      </c>
      <c r="R23" s="1559" t="s">
        <v>8</v>
      </c>
      <c r="S23" s="1560">
        <f>F23</f>
        <v>100</v>
      </c>
      <c r="T23" s="1559" t="s">
        <v>8</v>
      </c>
      <c r="U23" s="1560">
        <f>H23</f>
        <v>100</v>
      </c>
      <c r="V23" s="1559" t="s">
        <v>8</v>
      </c>
      <c r="W23" s="1560">
        <f>J23</f>
        <v>100</v>
      </c>
      <c r="X23" s="1553"/>
      <c r="Y23" s="3427"/>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27"/>
      <c r="Q24" s="1558"/>
      <c r="R24" s="1559"/>
      <c r="S24" s="1560"/>
      <c r="T24" s="1559"/>
      <c r="U24" s="1560"/>
      <c r="V24" s="1559"/>
      <c r="W24" s="1560"/>
      <c r="X24" s="1553"/>
      <c r="Y24" s="3427"/>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27"/>
      <c r="Q25" s="1558">
        <f>B25</f>
        <v>111</v>
      </c>
      <c r="R25" s="1559" t="s">
        <v>8</v>
      </c>
      <c r="S25" s="1560">
        <f>F25</f>
        <v>100</v>
      </c>
      <c r="T25" s="1559" t="s">
        <v>8</v>
      </c>
      <c r="U25" s="1560">
        <f>H25</f>
        <v>100</v>
      </c>
      <c r="V25" s="1559" t="s">
        <v>8</v>
      </c>
      <c r="W25" s="1560">
        <f>J25</f>
        <v>100</v>
      </c>
      <c r="X25" s="1553"/>
      <c r="Y25" s="3427"/>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27"/>
      <c r="Q26" s="1558">
        <f t="shared" ref="Q26:Q40" si="11">B26</f>
        <v>111</v>
      </c>
      <c r="R26" s="1559" t="s">
        <v>8</v>
      </c>
      <c r="S26" s="1560">
        <f>F26</f>
        <v>100</v>
      </c>
      <c r="T26" s="1559" t="s">
        <v>8</v>
      </c>
      <c r="U26" s="1560">
        <f>H26</f>
        <v>100</v>
      </c>
      <c r="V26" s="1559" t="s">
        <v>8</v>
      </c>
      <c r="W26" s="1560">
        <f>J26</f>
        <v>100</v>
      </c>
      <c r="X26" s="1553"/>
      <c r="Y26" s="3427"/>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27"/>
      <c r="Q27" s="1146">
        <f t="shared" si="11"/>
        <v>111</v>
      </c>
      <c r="R27" s="1554" t="s">
        <v>8</v>
      </c>
      <c r="S27" s="1555">
        <f>F27</f>
        <v>100</v>
      </c>
      <c r="T27" s="1554" t="s">
        <v>8</v>
      </c>
      <c r="U27" s="1555">
        <f>H27</f>
        <v>100</v>
      </c>
      <c r="V27" s="1554" t="s">
        <v>8</v>
      </c>
      <c r="W27" s="1555">
        <f>J27</f>
        <v>100</v>
      </c>
      <c r="X27" s="1556"/>
      <c r="Y27" s="3427"/>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27"/>
      <c r="Q28" s="1558">
        <f t="shared" si="11"/>
        <v>111</v>
      </c>
      <c r="R28" s="1559" t="s">
        <v>8</v>
      </c>
      <c r="S28" s="1560">
        <f t="shared" ref="S28:S40" si="12">F28</f>
        <v>100</v>
      </c>
      <c r="T28" s="1559" t="s">
        <v>8</v>
      </c>
      <c r="U28" s="1560">
        <f t="shared" ref="U28:U40" si="13">H28</f>
        <v>100</v>
      </c>
      <c r="V28" s="1559" t="s">
        <v>8</v>
      </c>
      <c r="W28" s="1560">
        <f t="shared" ref="W28:W40" si="14">J28</f>
        <v>100</v>
      </c>
      <c r="X28" s="1553"/>
      <c r="Y28" s="3427"/>
      <c r="Z28" s="1561">
        <f t="shared" ref="Z28:Z40" si="15">Q28</f>
        <v>111</v>
      </c>
      <c r="AA28" s="1562">
        <f t="shared" si="3"/>
        <v>1</v>
      </c>
      <c r="AB28" s="1562">
        <f t="shared" si="4"/>
        <v>1</v>
      </c>
      <c r="AC28" s="1562">
        <f t="shared" si="5"/>
        <v>1</v>
      </c>
    </row>
    <row r="29" spans="1:29" ht="15">
      <c r="A29" s="2862" t="s">
        <v>2710</v>
      </c>
      <c r="B29" s="171" t="s">
        <v>743</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28" t="s">
        <v>514</v>
      </c>
      <c r="Q29" s="1558" t="str">
        <f t="shared" si="11"/>
        <v>建筑类型</v>
      </c>
      <c r="R29" s="1559" t="s">
        <v>8</v>
      </c>
      <c r="S29" s="1560">
        <f t="shared" si="12"/>
        <v>100</v>
      </c>
      <c r="T29" s="1559" t="s">
        <v>8</v>
      </c>
      <c r="U29" s="1560">
        <f t="shared" si="13"/>
        <v>100</v>
      </c>
      <c r="V29" s="1559" t="s">
        <v>8</v>
      </c>
      <c r="W29" s="1560">
        <f t="shared" si="14"/>
        <v>100</v>
      </c>
      <c r="X29" s="1553"/>
      <c r="Y29" s="3429" t="s">
        <v>514</v>
      </c>
      <c r="Z29" s="1561" t="str">
        <f t="shared" si="15"/>
        <v>建筑类型</v>
      </c>
      <c r="AA29" s="1562">
        <f t="shared" si="3"/>
        <v>1</v>
      </c>
      <c r="AB29" s="1562">
        <f t="shared" si="4"/>
        <v>1</v>
      </c>
      <c r="AC29" s="1562">
        <f t="shared" si="5"/>
        <v>1</v>
      </c>
    </row>
    <row r="30" spans="1:29" s="1334" customFormat="1" ht="15">
      <c r="A30" s="602"/>
      <c r="B30" s="526" t="s">
        <v>689</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29"/>
      <c r="Q30" s="1590" t="str">
        <f t="shared" si="11"/>
        <v>项目建筑规模</v>
      </c>
      <c r="R30" s="1563" t="s">
        <v>8</v>
      </c>
      <c r="S30" s="1564" t="e">
        <f t="shared" si="12"/>
        <v>#N/A</v>
      </c>
      <c r="T30" s="1563" t="s">
        <v>8</v>
      </c>
      <c r="U30" s="1564" t="e">
        <f t="shared" si="13"/>
        <v>#N/A</v>
      </c>
      <c r="V30" s="1563" t="s">
        <v>8</v>
      </c>
      <c r="W30" s="1564" t="e">
        <f t="shared" si="14"/>
        <v>#N/A</v>
      </c>
      <c r="X30" s="1565"/>
      <c r="Y30" s="3429"/>
      <c r="Z30" s="1566" t="str">
        <f t="shared" si="15"/>
        <v>项目建筑规模</v>
      </c>
      <c r="AA30" s="1562" t="e">
        <f t="shared" si="3"/>
        <v>#N/A</v>
      </c>
      <c r="AB30" s="1562" t="e">
        <f t="shared" si="4"/>
        <v>#N/A</v>
      </c>
      <c r="AC30" s="1562" t="e">
        <f t="shared" si="5"/>
        <v>#N/A</v>
      </c>
    </row>
    <row r="31" spans="1:29" ht="15">
      <c r="A31" s="593"/>
      <c r="B31" s="526" t="s">
        <v>690</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29"/>
      <c r="Q31" s="1558" t="str">
        <f t="shared" si="11"/>
        <v>建筑结构</v>
      </c>
      <c r="R31" s="1559" t="s">
        <v>8</v>
      </c>
      <c r="S31" s="1560">
        <f t="shared" si="12"/>
        <v>100</v>
      </c>
      <c r="T31" s="1559" t="s">
        <v>8</v>
      </c>
      <c r="U31" s="1560">
        <f t="shared" si="13"/>
        <v>100</v>
      </c>
      <c r="V31" s="1559" t="s">
        <v>8</v>
      </c>
      <c r="W31" s="1560">
        <f t="shared" si="14"/>
        <v>100</v>
      </c>
      <c r="X31" s="1553"/>
      <c r="Y31" s="3429"/>
      <c r="Z31" s="1561" t="str">
        <f t="shared" si="15"/>
        <v>建筑结构</v>
      </c>
      <c r="AA31" s="1562">
        <f t="shared" si="3"/>
        <v>1</v>
      </c>
      <c r="AB31" s="1562">
        <f t="shared" si="4"/>
        <v>1</v>
      </c>
      <c r="AC31" s="1562">
        <f t="shared" si="5"/>
        <v>1</v>
      </c>
    </row>
    <row r="32" spans="1:29" ht="15">
      <c r="A32" s="593"/>
      <c r="B32" s="526" t="s">
        <v>726</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29"/>
      <c r="Q32" s="1558" t="str">
        <f t="shared" si="11"/>
        <v>公共部分装修</v>
      </c>
      <c r="R32" s="1559" t="s">
        <v>8</v>
      </c>
      <c r="S32" s="1560">
        <f t="shared" si="12"/>
        <v>100</v>
      </c>
      <c r="T32" s="1559" t="s">
        <v>8</v>
      </c>
      <c r="U32" s="1560">
        <f t="shared" si="13"/>
        <v>100</v>
      </c>
      <c r="V32" s="1559" t="s">
        <v>8</v>
      </c>
      <c r="W32" s="1560">
        <f t="shared" si="14"/>
        <v>100</v>
      </c>
      <c r="X32" s="1553"/>
      <c r="Y32" s="3429"/>
      <c r="Z32" s="1561" t="str">
        <f t="shared" si="15"/>
        <v>公共部分装修</v>
      </c>
      <c r="AA32" s="1562">
        <f t="shared" si="3"/>
        <v>1</v>
      </c>
      <c r="AB32" s="1562">
        <f t="shared" si="4"/>
        <v>1</v>
      </c>
      <c r="AC32" s="1562">
        <f t="shared" si="5"/>
        <v>1</v>
      </c>
    </row>
    <row r="33" spans="1:29" ht="15">
      <c r="A33" s="593"/>
      <c r="B33" s="526" t="s">
        <v>727</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29"/>
      <c r="Q33" s="1558" t="str">
        <f t="shared" si="11"/>
        <v>成新度</v>
      </c>
      <c r="R33" s="1559" t="s">
        <v>8</v>
      </c>
      <c r="S33" s="1560" t="e">
        <f t="shared" si="12"/>
        <v>#N/A</v>
      </c>
      <c r="T33" s="1559" t="s">
        <v>8</v>
      </c>
      <c r="U33" s="1560" t="e">
        <f t="shared" si="13"/>
        <v>#N/A</v>
      </c>
      <c r="V33" s="1559" t="s">
        <v>8</v>
      </c>
      <c r="W33" s="1560" t="e">
        <f t="shared" si="14"/>
        <v>#N/A</v>
      </c>
      <c r="X33" s="1553"/>
      <c r="Y33" s="3429"/>
      <c r="Z33" s="1561" t="str">
        <f t="shared" si="15"/>
        <v>成新度</v>
      </c>
      <c r="AA33" s="1562" t="e">
        <f t="shared" si="3"/>
        <v>#N/A</v>
      </c>
      <c r="AB33" s="1562" t="e">
        <f t="shared" si="4"/>
        <v>#N/A</v>
      </c>
      <c r="AC33" s="1562" t="e">
        <f t="shared" si="5"/>
        <v>#N/A</v>
      </c>
    </row>
    <row r="34" spans="1:29" s="1215" customFormat="1" ht="15">
      <c r="A34" s="599"/>
      <c r="B34" s="526" t="s">
        <v>745</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29"/>
      <c r="Q34" s="1146" t="str">
        <f t="shared" si="11"/>
        <v>物业管理</v>
      </c>
      <c r="R34" s="1554" t="s">
        <v>8</v>
      </c>
      <c r="S34" s="1555">
        <f t="shared" si="12"/>
        <v>100</v>
      </c>
      <c r="T34" s="1554" t="s">
        <v>8</v>
      </c>
      <c r="U34" s="1555">
        <f t="shared" si="13"/>
        <v>100</v>
      </c>
      <c r="V34" s="1554" t="s">
        <v>8</v>
      </c>
      <c r="W34" s="1555">
        <f t="shared" si="14"/>
        <v>100</v>
      </c>
      <c r="X34" s="1556"/>
      <c r="Y34" s="3429"/>
      <c r="Z34" s="1145" t="str">
        <f t="shared" si="15"/>
        <v>物业管理</v>
      </c>
      <c r="AA34" s="1557">
        <f t="shared" si="3"/>
        <v>1</v>
      </c>
      <c r="AB34" s="1557">
        <f t="shared" si="4"/>
        <v>1</v>
      </c>
      <c r="AC34" s="1557">
        <f t="shared" si="5"/>
        <v>1</v>
      </c>
    </row>
    <row r="35" spans="1:29" ht="15">
      <c r="A35" s="593"/>
      <c r="B35" s="1880" t="s">
        <v>2520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29" t="s">
        <v>514</v>
      </c>
      <c r="Q35" s="1558" t="str">
        <f t="shared" si="11"/>
        <v>市政基础设施</v>
      </c>
      <c r="R35" s="1559" t="s">
        <v>8</v>
      </c>
      <c r="S35" s="1560">
        <f t="shared" si="12"/>
        <v>100</v>
      </c>
      <c r="T35" s="1559" t="s">
        <v>8</v>
      </c>
      <c r="U35" s="1560">
        <f t="shared" si="13"/>
        <v>100</v>
      </c>
      <c r="V35" s="1559" t="s">
        <v>8</v>
      </c>
      <c r="W35" s="1560">
        <f t="shared" si="14"/>
        <v>100</v>
      </c>
      <c r="X35" s="1553"/>
      <c r="Y35" s="3429" t="s">
        <v>514</v>
      </c>
      <c r="Z35" s="1561" t="str">
        <f t="shared" si="15"/>
        <v>市政基础设施</v>
      </c>
      <c r="AA35" s="1562">
        <f t="shared" si="3"/>
        <v>1</v>
      </c>
      <c r="AB35" s="1562">
        <f t="shared" si="4"/>
        <v>1</v>
      </c>
      <c r="AC35" s="1562">
        <f t="shared" si="5"/>
        <v>1</v>
      </c>
    </row>
    <row r="36" spans="1:29" ht="15">
      <c r="A36" s="593"/>
      <c r="B36" s="526" t="s">
        <v>733</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29"/>
      <c r="Q36" s="1558" t="str">
        <f t="shared" si="11"/>
        <v>内部装修</v>
      </c>
      <c r="R36" s="1559" t="s">
        <v>8</v>
      </c>
      <c r="S36" s="1560">
        <f t="shared" si="12"/>
        <v>100</v>
      </c>
      <c r="T36" s="1559" t="s">
        <v>8</v>
      </c>
      <c r="U36" s="1560">
        <f t="shared" si="13"/>
        <v>100</v>
      </c>
      <c r="V36" s="1559" t="s">
        <v>8</v>
      </c>
      <c r="W36" s="1560">
        <f t="shared" si="14"/>
        <v>100</v>
      </c>
      <c r="X36" s="1553"/>
      <c r="Y36" s="3429"/>
      <c r="Z36" s="1561" t="str">
        <f t="shared" si="15"/>
        <v>内部装修</v>
      </c>
      <c r="AA36" s="1562">
        <f t="shared" si="3"/>
        <v>1</v>
      </c>
      <c r="AB36" s="1562">
        <f t="shared" si="4"/>
        <v>1</v>
      </c>
      <c r="AC36" s="1562">
        <f t="shared" si="5"/>
        <v>1</v>
      </c>
    </row>
    <row r="37" spans="1:29" ht="15">
      <c r="A37" s="593"/>
      <c r="B37" s="526" t="s">
        <v>753</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29"/>
      <c r="Q37" s="1558" t="str">
        <f t="shared" si="11"/>
        <v>内部装修状况</v>
      </c>
      <c r="R37" s="1559" t="s">
        <v>8</v>
      </c>
      <c r="S37" s="1560">
        <f t="shared" si="12"/>
        <v>100</v>
      </c>
      <c r="T37" s="1559" t="s">
        <v>8</v>
      </c>
      <c r="U37" s="1560">
        <f t="shared" si="13"/>
        <v>100</v>
      </c>
      <c r="V37" s="1559" t="s">
        <v>8</v>
      </c>
      <c r="W37" s="1560">
        <f t="shared" si="14"/>
        <v>100</v>
      </c>
      <c r="X37" s="1553"/>
      <c r="Y37" s="3429"/>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29"/>
      <c r="Q38" s="1590">
        <f t="shared" si="11"/>
        <v>111</v>
      </c>
      <c r="R38" s="1563" t="s">
        <v>8</v>
      </c>
      <c r="S38" s="1564">
        <f t="shared" si="12"/>
        <v>100</v>
      </c>
      <c r="T38" s="1563" t="s">
        <v>8</v>
      </c>
      <c r="U38" s="1564">
        <f t="shared" si="13"/>
        <v>100</v>
      </c>
      <c r="V38" s="1563" t="s">
        <v>8</v>
      </c>
      <c r="W38" s="1564">
        <f t="shared" si="14"/>
        <v>100</v>
      </c>
      <c r="X38" s="1565"/>
      <c r="Y38" s="3429"/>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29"/>
      <c r="Q39" s="1558">
        <f t="shared" si="11"/>
        <v>111</v>
      </c>
      <c r="R39" s="1559" t="s">
        <v>8</v>
      </c>
      <c r="S39" s="1560">
        <f t="shared" si="12"/>
        <v>100</v>
      </c>
      <c r="T39" s="1559" t="s">
        <v>8</v>
      </c>
      <c r="U39" s="1560">
        <f t="shared" si="13"/>
        <v>100</v>
      </c>
      <c r="V39" s="1559" t="s">
        <v>8</v>
      </c>
      <c r="W39" s="1560">
        <f t="shared" si="14"/>
        <v>100</v>
      </c>
      <c r="X39" s="1553"/>
      <c r="Y39" s="3429"/>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87"/>
      <c r="Q40" s="1558">
        <f t="shared" si="11"/>
        <v>111</v>
      </c>
      <c r="R40" s="1559" t="s">
        <v>8</v>
      </c>
      <c r="S40" s="1560">
        <f t="shared" si="12"/>
        <v>100</v>
      </c>
      <c r="T40" s="1559" t="s">
        <v>8</v>
      </c>
      <c r="U40" s="1560">
        <f t="shared" si="13"/>
        <v>100</v>
      </c>
      <c r="V40" s="1559" t="s">
        <v>8</v>
      </c>
      <c r="W40" s="1560">
        <f t="shared" si="14"/>
        <v>100</v>
      </c>
      <c r="X40" s="1553"/>
      <c r="Y40" s="3487"/>
      <c r="Z40" s="1561">
        <f t="shared" si="15"/>
        <v>111</v>
      </c>
      <c r="AA40" s="1562">
        <f t="shared" si="3"/>
        <v>1</v>
      </c>
      <c r="AB40" s="1562">
        <f t="shared" si="4"/>
        <v>1</v>
      </c>
      <c r="AC40" s="1562">
        <f t="shared" si="5"/>
        <v>1</v>
      </c>
    </row>
    <row r="41" spans="1:29" ht="15">
      <c r="A41" s="606" t="s">
        <v>699</v>
      </c>
      <c r="B41" s="886"/>
      <c r="C41" s="2591" t="s">
        <v>1</v>
      </c>
      <c r="D41" s="2592"/>
      <c r="E41" s="2593"/>
      <c r="F41" s="2594"/>
      <c r="G41" s="2595"/>
      <c r="H41" s="2596"/>
      <c r="I41" s="2593"/>
      <c r="J41" s="2596"/>
      <c r="K41" s="1596"/>
      <c r="L41" s="2129"/>
      <c r="M41" s="2130"/>
      <c r="N41" s="2119"/>
      <c r="O41" s="2130"/>
      <c r="P41" s="3391" t="str">
        <f>A41</f>
        <v>成交单价（元/平方米）</v>
      </c>
      <c r="Q41" s="3391"/>
      <c r="R41" s="3486">
        <f>E41</f>
        <v>0</v>
      </c>
      <c r="S41" s="3486"/>
      <c r="T41" s="3486">
        <f>G41</f>
        <v>0</v>
      </c>
      <c r="U41" s="3486"/>
      <c r="V41" s="3486">
        <f>I41</f>
        <v>0</v>
      </c>
      <c r="W41" s="3486"/>
      <c r="X41" s="1545"/>
      <c r="Y41" s="1567"/>
      <c r="Z41" s="1545"/>
      <c r="AA41" s="1545"/>
      <c r="AB41" s="1545"/>
      <c r="AC41" s="1545"/>
    </row>
    <row r="42" spans="1:29" ht="15.75" thickBot="1">
      <c r="A42" s="614" t="s">
        <v>2715</v>
      </c>
      <c r="B42" s="887"/>
      <c r="C42" s="2597" t="e">
        <f>R43</f>
        <v>#DIV/0!</v>
      </c>
      <c r="D42" s="2598"/>
      <c r="E42" s="2599" t="e">
        <f>R42</f>
        <v>#DIV/0!</v>
      </c>
      <c r="F42" s="2599"/>
      <c r="G42" s="2597" t="e">
        <f>T42</f>
        <v>#DIV/0!</v>
      </c>
      <c r="H42" s="2598"/>
      <c r="I42" s="2599" t="e">
        <f>V42</f>
        <v>#DIV/0!</v>
      </c>
      <c r="J42" s="2598"/>
      <c r="K42" s="1597"/>
      <c r="L42" s="2129"/>
      <c r="M42" s="2130"/>
      <c r="N42" s="2119"/>
      <c r="O42" s="2130"/>
      <c r="P42" s="3391" t="str">
        <f>A42</f>
        <v>比较价格（元/平方米）</v>
      </c>
      <c r="Q42" s="3391"/>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45"/>
      <c r="Y42" s="1545"/>
      <c r="Z42" s="1545"/>
      <c r="AA42" s="1545"/>
      <c r="AB42" s="1545"/>
      <c r="AC42" s="1545"/>
    </row>
    <row r="43" spans="1:29" ht="15.75" thickBot="1">
      <c r="A43" s="620" t="s">
        <v>2878</v>
      </c>
      <c r="B43" s="621"/>
      <c r="C43" s="2600" t="e">
        <f>R43</f>
        <v>#DIV/0!</v>
      </c>
      <c r="D43" s="2600"/>
      <c r="E43" s="2600"/>
      <c r="F43" s="2600"/>
      <c r="G43" s="2600"/>
      <c r="H43" s="2600"/>
      <c r="I43" s="2600"/>
      <c r="J43" s="2600"/>
      <c r="K43" s="1598"/>
      <c r="L43" s="2129"/>
      <c r="M43" s="2130"/>
      <c r="N43" s="2130"/>
      <c r="O43" s="2130"/>
      <c r="P43" s="3388" t="str">
        <f>A43</f>
        <v>估价对象XX用房的比较价格（楼面单价，元/平方米）</v>
      </c>
      <c r="Q43" s="3389"/>
      <c r="R43" s="3485" t="e">
        <f>IF(F1="售价",ROUND(AVERAGE(R42:V42),0),ROUND(AVERAGE(R42:V42),1))</f>
        <v>#DIV/0!</v>
      </c>
      <c r="S43" s="3485"/>
      <c r="T43" s="3485"/>
      <c r="U43" s="3485"/>
      <c r="V43" s="3485"/>
      <c r="W43" s="348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521</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522</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523</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538</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493</v>
      </c>
      <c r="B52" s="645"/>
      <c r="C52" s="2757" t="str">
        <f>YEAR(C7)&amp;"-"&amp;MONTH(C7)</f>
        <v>2019-9</v>
      </c>
      <c r="D52" s="2759">
        <f>EDATE(C52,-1)</f>
        <v>43678</v>
      </c>
      <c r="E52" s="2759">
        <f t="shared" ref="E52:O52" si="16">EDATE(D52,-1)</f>
        <v>43647</v>
      </c>
      <c r="F52" s="2759">
        <f t="shared" si="16"/>
        <v>43617</v>
      </c>
      <c r="G52" s="2759">
        <f t="shared" si="16"/>
        <v>43586</v>
      </c>
      <c r="H52" s="2759">
        <f t="shared" si="16"/>
        <v>43556</v>
      </c>
      <c r="I52" s="2759">
        <f t="shared" si="16"/>
        <v>43525</v>
      </c>
      <c r="J52" s="2759">
        <f t="shared" si="16"/>
        <v>43497</v>
      </c>
      <c r="K52" s="2759">
        <f t="shared" si="16"/>
        <v>43466</v>
      </c>
      <c r="L52" s="2759">
        <f t="shared" si="16"/>
        <v>43435</v>
      </c>
      <c r="M52" s="2759">
        <f t="shared" si="16"/>
        <v>43405</v>
      </c>
      <c r="N52" s="2759">
        <f t="shared" si="16"/>
        <v>43374</v>
      </c>
      <c r="O52" s="2759">
        <f t="shared" si="16"/>
        <v>43344</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539</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495</v>
      </c>
      <c r="B55" s="647"/>
      <c r="C55" s="659" t="s">
        <v>540</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541</v>
      </c>
      <c r="B57" s="664" t="s">
        <v>498</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501</v>
      </c>
      <c r="C59" s="673" t="s">
        <v>700</v>
      </c>
      <c r="D59" s="673" t="s">
        <v>701</v>
      </c>
      <c r="E59" s="673" t="s">
        <v>702</v>
      </c>
      <c r="F59" s="673" t="s">
        <v>703</v>
      </c>
      <c r="G59" s="673" t="s">
        <v>704</v>
      </c>
      <c r="H59" s="673" t="s">
        <v>705</v>
      </c>
      <c r="I59" s="673" t="s">
        <v>706</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502</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503</v>
      </c>
      <c r="B70" s="664" t="s">
        <v>549</v>
      </c>
      <c r="C70" s="702" t="s">
        <v>543</v>
      </c>
      <c r="D70" s="702" t="s">
        <v>544</v>
      </c>
      <c r="E70" s="702" t="s">
        <v>545</v>
      </c>
      <c r="F70" s="702" t="s">
        <v>546</v>
      </c>
      <c r="G70" s="702" t="s">
        <v>547</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550</v>
      </c>
      <c r="C72" s="707" t="s">
        <v>543</v>
      </c>
      <c r="D72" s="707" t="s">
        <v>544</v>
      </c>
      <c r="E72" s="707" t="s">
        <v>545</v>
      </c>
      <c r="F72" s="707" t="s">
        <v>546</v>
      </c>
      <c r="G72" s="707" t="s">
        <v>547</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2512</v>
      </c>
      <c r="C74" s="707" t="s">
        <v>543</v>
      </c>
      <c r="D74" s="707" t="s">
        <v>544</v>
      </c>
      <c r="E74" s="707" t="s">
        <v>545</v>
      </c>
      <c r="F74" s="707" t="s">
        <v>546</v>
      </c>
      <c r="G74" s="707" t="s">
        <v>547</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2513</v>
      </c>
      <c r="C76" s="2562" t="s">
        <v>2514</v>
      </c>
      <c r="D76" s="2562" t="s">
        <v>2515</v>
      </c>
      <c r="E76" s="2562" t="s">
        <v>2516</v>
      </c>
      <c r="F76" s="2562" t="s">
        <v>2517</v>
      </c>
      <c r="G76" s="2562" t="s">
        <v>2518</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747</v>
      </c>
      <c r="C78" s="707" t="s">
        <v>543</v>
      </c>
      <c r="D78" s="707" t="s">
        <v>544</v>
      </c>
      <c r="E78" s="707" t="s">
        <v>545</v>
      </c>
      <c r="F78" s="707" t="s">
        <v>546</v>
      </c>
      <c r="G78" s="707" t="s">
        <v>547</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515</v>
      </c>
      <c r="B88" s="664" t="s">
        <v>710</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711</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712</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714</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715</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716</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2511</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718</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754</v>
      </c>
      <c r="C106" s="707" t="s">
        <v>543</v>
      </c>
      <c r="D106" s="707" t="s">
        <v>544</v>
      </c>
      <c r="E106" s="707" t="s">
        <v>545</v>
      </c>
      <c r="F106" s="707" t="s">
        <v>546</v>
      </c>
      <c r="G106" s="707" t="s">
        <v>547</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682</v>
      </c>
      <c r="B1" s="922"/>
      <c r="C1" s="503" t="s">
        <v>755</v>
      </c>
      <c r="D1" s="848"/>
      <c r="E1" s="505"/>
      <c r="F1" s="2762"/>
      <c r="G1" s="1586" t="s">
        <v>756</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757</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758</v>
      </c>
      <c r="B3" s="509" t="e">
        <f>IF(B37="元/平方米",C39,ROUND(B2*10000/D3,0))</f>
        <v>#DIV/0!</v>
      </c>
      <c r="C3" s="851" t="s">
        <v>759</v>
      </c>
      <c r="D3" s="850">
        <f>SUMIF('数据-汇总表'!$C19:$C33,D1,'数据-汇总表'!$E19:$E33)</f>
        <v>0</v>
      </c>
      <c r="E3" s="1833" t="s">
        <v>2033</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760</v>
      </c>
      <c r="B4" s="512"/>
      <c r="C4" s="3397" t="s">
        <v>761</v>
      </c>
      <c r="D4" s="3398"/>
      <c r="E4" s="3397" t="s">
        <v>762</v>
      </c>
      <c r="F4" s="3398"/>
      <c r="G4" s="3397" t="s">
        <v>763</v>
      </c>
      <c r="H4" s="3398"/>
      <c r="I4" s="3397" t="s">
        <v>764</v>
      </c>
      <c r="J4" s="3398"/>
      <c r="K4" s="513" t="s">
        <v>765</v>
      </c>
      <c r="L4" s="2118"/>
      <c r="M4" s="2119"/>
      <c r="N4" s="2119"/>
      <c r="O4" s="2119"/>
      <c r="P4" s="3399" t="s">
        <v>766</v>
      </c>
      <c r="Q4" s="3400"/>
      <c r="R4" s="3405" t="s">
        <v>762</v>
      </c>
      <c r="S4" s="3406"/>
      <c r="T4" s="3405" t="s">
        <v>763</v>
      </c>
      <c r="U4" s="3406"/>
      <c r="V4" s="3392" t="s">
        <v>764</v>
      </c>
      <c r="W4" s="3392"/>
      <c r="X4" s="1553"/>
      <c r="Y4" s="3405" t="s">
        <v>766</v>
      </c>
      <c r="Z4" s="3406"/>
      <c r="AA4" s="3394" t="s">
        <v>762</v>
      </c>
      <c r="AB4" s="3395" t="s">
        <v>763</v>
      </c>
      <c r="AC4" s="3394" t="s">
        <v>764</v>
      </c>
    </row>
    <row r="5" spans="1:29" ht="15">
      <c r="A5" s="514"/>
      <c r="B5" s="515"/>
      <c r="C5" s="3413" t="s">
        <v>2872</v>
      </c>
      <c r="D5" s="3414"/>
      <c r="E5" s="3413" t="s">
        <v>2873</v>
      </c>
      <c r="F5" s="3414"/>
      <c r="G5" s="3413" t="s">
        <v>2874</v>
      </c>
      <c r="H5" s="3414"/>
      <c r="I5" s="3413" t="s">
        <v>2875</v>
      </c>
      <c r="J5" s="3414"/>
      <c r="K5" s="513"/>
      <c r="L5" s="2118"/>
      <c r="M5" s="2119"/>
      <c r="N5" s="2119"/>
      <c r="O5" s="2119"/>
      <c r="P5" s="3401"/>
      <c r="Q5" s="3402"/>
      <c r="R5" s="3407"/>
      <c r="S5" s="3408"/>
      <c r="T5" s="3407"/>
      <c r="U5" s="3408"/>
      <c r="V5" s="3392"/>
      <c r="W5" s="3392"/>
      <c r="X5" s="1553"/>
      <c r="Y5" s="3407"/>
      <c r="Z5" s="3408"/>
      <c r="AA5" s="3395"/>
      <c r="AB5" s="3395"/>
      <c r="AC5" s="3395"/>
    </row>
    <row r="6" spans="1:29" ht="15.75" thickBot="1">
      <c r="A6" s="516"/>
      <c r="B6" s="517"/>
      <c r="C6" s="3411" t="s">
        <v>2876</v>
      </c>
      <c r="D6" s="3412"/>
      <c r="E6" s="3416" t="s">
        <v>2876</v>
      </c>
      <c r="F6" s="3417"/>
      <c r="G6" s="3411" t="s">
        <v>2876</v>
      </c>
      <c r="H6" s="3412"/>
      <c r="I6" s="3411" t="s">
        <v>2876</v>
      </c>
      <c r="J6" s="3412"/>
      <c r="K6" s="513" t="s">
        <v>492</v>
      </c>
      <c r="L6" s="2118"/>
      <c r="M6" s="2119"/>
      <c r="N6" s="2119"/>
      <c r="O6" s="2119"/>
      <c r="P6" s="3403"/>
      <c r="Q6" s="3404"/>
      <c r="R6" s="3407"/>
      <c r="S6" s="3408"/>
      <c r="T6" s="3409"/>
      <c r="U6" s="3410"/>
      <c r="V6" s="3392"/>
      <c r="W6" s="3392"/>
      <c r="X6" s="1553"/>
      <c r="Y6" s="3409"/>
      <c r="Z6" s="3410"/>
      <c r="AA6" s="3396"/>
      <c r="AB6" s="3396"/>
      <c r="AC6" s="3396"/>
    </row>
    <row r="7" spans="1:29" s="1215" customFormat="1" ht="15.75" thickBot="1">
      <c r="A7" s="2867"/>
      <c r="B7" s="2874" t="s">
        <v>493</v>
      </c>
      <c r="C7" s="518">
        <f>'数据-取费表'!B2</f>
        <v>43724</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23" t="s">
        <v>494</v>
      </c>
      <c r="Q7" s="3425"/>
      <c r="R7" s="1554" t="s">
        <v>8</v>
      </c>
      <c r="S7" s="1555">
        <f t="shared" ref="S7:S14" si="0">F7</f>
        <v>0</v>
      </c>
      <c r="T7" s="1554" t="s">
        <v>8</v>
      </c>
      <c r="U7" s="1555">
        <f t="shared" ref="U7:U14" si="1">H7</f>
        <v>0</v>
      </c>
      <c r="V7" s="1554" t="s">
        <v>8</v>
      </c>
      <c r="W7" s="1555">
        <f t="shared" ref="W7:W14" si="2">J7</f>
        <v>0</v>
      </c>
      <c r="X7" s="1556"/>
      <c r="Y7" s="3423" t="s">
        <v>494</v>
      </c>
      <c r="Z7" s="3424"/>
      <c r="AA7" s="1557" t="e">
        <f>D7/F7</f>
        <v>#DIV/0!</v>
      </c>
      <c r="AB7" s="1557" t="e">
        <f>D7/H7</f>
        <v>#DIV/0!</v>
      </c>
      <c r="AC7" s="1557" t="e">
        <f>D7/J7</f>
        <v>#DIV/0!</v>
      </c>
    </row>
    <row r="8" spans="1:29" s="1215" customFormat="1" ht="15.75" thickBot="1">
      <c r="A8" s="2868"/>
      <c r="B8" s="2875" t="s">
        <v>495</v>
      </c>
      <c r="C8" s="524" t="s">
        <v>540</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23" t="s">
        <v>497</v>
      </c>
      <c r="Q8" s="3424"/>
      <c r="R8" s="1554" t="s">
        <v>8</v>
      </c>
      <c r="S8" s="1555">
        <f t="shared" si="0"/>
        <v>0</v>
      </c>
      <c r="T8" s="1554" t="s">
        <v>8</v>
      </c>
      <c r="U8" s="1555">
        <f t="shared" si="1"/>
        <v>0</v>
      </c>
      <c r="V8" s="1554" t="s">
        <v>8</v>
      </c>
      <c r="W8" s="1555">
        <f t="shared" si="2"/>
        <v>0</v>
      </c>
      <c r="X8" s="1556"/>
      <c r="Y8" s="3423" t="s">
        <v>497</v>
      </c>
      <c r="Z8" s="3424"/>
      <c r="AA8" s="1557" t="e">
        <f t="shared" ref="AA8:AA36" si="3">D8/F8</f>
        <v>#DIV/0!</v>
      </c>
      <c r="AB8" s="1557" t="e">
        <f t="shared" ref="AB8:AB36" si="4">D8/H8</f>
        <v>#DIV/0!</v>
      </c>
      <c r="AC8" s="1557" t="e">
        <f t="shared" ref="AC8:AC36" si="5">D8/J8</f>
        <v>#DIV/0!</v>
      </c>
    </row>
    <row r="9" spans="1:29" s="1215" customFormat="1" ht="15">
      <c r="A9" s="2869"/>
      <c r="B9" s="2876" t="s">
        <v>2711</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91" t="s">
        <v>499</v>
      </c>
      <c r="Q9" s="1146" t="str">
        <f t="shared" ref="Q9:Q14" si="6">B9</f>
        <v>用途</v>
      </c>
      <c r="R9" s="1554" t="s">
        <v>8</v>
      </c>
      <c r="S9" s="1555">
        <f t="shared" si="0"/>
        <v>100</v>
      </c>
      <c r="T9" s="1554" t="s">
        <v>8</v>
      </c>
      <c r="U9" s="1555">
        <f t="shared" si="1"/>
        <v>100</v>
      </c>
      <c r="V9" s="1554" t="s">
        <v>8</v>
      </c>
      <c r="W9" s="1555">
        <f t="shared" si="2"/>
        <v>100</v>
      </c>
      <c r="X9" s="1556"/>
      <c r="Y9" s="3337" t="s">
        <v>500</v>
      </c>
      <c r="Z9" s="1145" t="str">
        <f t="shared" ref="Z9:Z14" si="7">Q9</f>
        <v>用途</v>
      </c>
      <c r="AA9" s="1557">
        <f t="shared" si="3"/>
        <v>1</v>
      </c>
      <c r="AB9" s="1557">
        <f t="shared" si="4"/>
        <v>1</v>
      </c>
      <c r="AC9" s="1557">
        <f t="shared" si="5"/>
        <v>1</v>
      </c>
    </row>
    <row r="10" spans="1:29" s="1333" customFormat="1" ht="27">
      <c r="A10" s="2870"/>
      <c r="B10" s="2875" t="s">
        <v>2712</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91"/>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99.75">
      <c r="A14" s="2865" t="s">
        <v>2709</v>
      </c>
      <c r="B14" s="546" t="s">
        <v>507</v>
      </c>
      <c r="C14" s="920" t="str">
        <f>IF(B1="工业",估价对象房地状况!G4,估价对象房地状况!C6)</f>
        <v>估价对象周边道路状况一般、公共交通通达情况一般、停车便捷程度较好，综合评价交通便捷度一般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26" t="s">
        <v>504</v>
      </c>
      <c r="Q14" s="1558" t="str">
        <f t="shared" si="6"/>
        <v>交通便捷度</v>
      </c>
      <c r="R14" s="1559" t="s">
        <v>8</v>
      </c>
      <c r="S14" s="1560">
        <f t="shared" si="0"/>
        <v>100</v>
      </c>
      <c r="T14" s="1559" t="s">
        <v>8</v>
      </c>
      <c r="U14" s="1560">
        <f t="shared" si="1"/>
        <v>100</v>
      </c>
      <c r="V14" s="1559" t="s">
        <v>8</v>
      </c>
      <c r="W14" s="1560">
        <f t="shared" si="2"/>
        <v>100</v>
      </c>
      <c r="X14" s="1553"/>
      <c r="Y14" s="3426" t="s">
        <v>504</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27"/>
      <c r="Q15" s="1558"/>
      <c r="R15" s="1559"/>
      <c r="S15" s="1560"/>
      <c r="T15" s="1559"/>
      <c r="U15" s="1560"/>
      <c r="V15" s="1559"/>
      <c r="W15" s="1560"/>
      <c r="X15" s="1553"/>
      <c r="Y15" s="3427"/>
      <c r="Z15" s="1561"/>
      <c r="AA15" s="1562">
        <v>1</v>
      </c>
      <c r="AB15" s="1562">
        <v>1</v>
      </c>
      <c r="AC15" s="1562">
        <v>1</v>
      </c>
    </row>
    <row r="16" spans="1:29" ht="42.75">
      <c r="A16" s="514"/>
      <c r="B16" s="2567" t="s">
        <v>2501</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27"/>
      <c r="Q16" s="1558" t="str">
        <f>B16</f>
        <v>公共配套设施</v>
      </c>
      <c r="R16" s="1559" t="s">
        <v>8</v>
      </c>
      <c r="S16" s="1560">
        <f>F16</f>
        <v>100</v>
      </c>
      <c r="T16" s="1559" t="s">
        <v>8</v>
      </c>
      <c r="U16" s="1560">
        <f>H16</f>
        <v>100</v>
      </c>
      <c r="V16" s="1559" t="s">
        <v>8</v>
      </c>
      <c r="W16" s="1560">
        <f>J16</f>
        <v>100</v>
      </c>
      <c r="X16" s="1553"/>
      <c r="Y16" s="3427"/>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27"/>
      <c r="Q17" s="1558"/>
      <c r="R17" s="1559"/>
      <c r="S17" s="1560"/>
      <c r="T17" s="1559"/>
      <c r="U17" s="1560"/>
      <c r="V17" s="1559"/>
      <c r="W17" s="1560"/>
      <c r="X17" s="1553"/>
      <c r="Y17" s="3427"/>
      <c r="Z17" s="1561"/>
      <c r="AA17" s="1562">
        <v>1</v>
      </c>
      <c r="AB17" s="1562">
        <v>1</v>
      </c>
      <c r="AC17" s="1562">
        <v>1</v>
      </c>
    </row>
    <row r="18" spans="1:29" ht="42.75">
      <c r="A18" s="514"/>
      <c r="B18" s="2555" t="s">
        <v>2513</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27"/>
      <c r="Q18" s="2543" t="str">
        <f>B18</f>
        <v>基础设施水平</v>
      </c>
      <c r="R18" s="1559" t="s">
        <v>8</v>
      </c>
      <c r="S18" s="1560">
        <f>F18</f>
        <v>100</v>
      </c>
      <c r="T18" s="1559" t="s">
        <v>8</v>
      </c>
      <c r="U18" s="1560">
        <f>H18</f>
        <v>100</v>
      </c>
      <c r="V18" s="1559" t="s">
        <v>8</v>
      </c>
      <c r="W18" s="1560">
        <f>J18</f>
        <v>100</v>
      </c>
      <c r="X18" s="2545"/>
      <c r="Y18" s="3427"/>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27"/>
      <c r="Q19" s="2543"/>
      <c r="R19" s="1559"/>
      <c r="S19" s="1560"/>
      <c r="T19" s="1559"/>
      <c r="U19" s="1560"/>
      <c r="V19" s="1559"/>
      <c r="W19" s="1560"/>
      <c r="X19" s="2545"/>
      <c r="Y19" s="3427"/>
      <c r="Z19" s="2544"/>
      <c r="AA19" s="1562">
        <v>1</v>
      </c>
      <c r="AB19" s="1562">
        <v>1</v>
      </c>
      <c r="AC19" s="1562">
        <v>1</v>
      </c>
    </row>
    <row r="20" spans="1:29" ht="57">
      <c r="A20" s="514"/>
      <c r="B20" s="559" t="s">
        <v>767</v>
      </c>
      <c r="C20" s="871" t="str">
        <f>IF(B1="工业",估价对象房地状况!G7,估价对象房地状况!C9)</f>
        <v>区域自然环境：好；人文环境：一般；综合评价环境状况好</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27"/>
      <c r="Q20" s="1558" t="str">
        <f>B20</f>
        <v>自然及人文环境</v>
      </c>
      <c r="R20" s="1559" t="s">
        <v>8</v>
      </c>
      <c r="S20" s="1560">
        <f>F20</f>
        <v>100</v>
      </c>
      <c r="T20" s="1559" t="s">
        <v>8</v>
      </c>
      <c r="U20" s="1560">
        <f>H20</f>
        <v>100</v>
      </c>
      <c r="V20" s="1559" t="s">
        <v>8</v>
      </c>
      <c r="W20" s="1560">
        <f>J20</f>
        <v>100</v>
      </c>
      <c r="X20" s="1553"/>
      <c r="Y20" s="3427"/>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27"/>
      <c r="Q21" s="1558"/>
      <c r="R21" s="1559"/>
      <c r="S21" s="1560"/>
      <c r="T21" s="1559"/>
      <c r="U21" s="1560"/>
      <c r="V21" s="1559"/>
      <c r="W21" s="1560"/>
      <c r="X21" s="1553"/>
      <c r="Y21" s="3427"/>
      <c r="Z21" s="1561"/>
      <c r="AA21" s="1562">
        <v>1</v>
      </c>
      <c r="AB21" s="1562">
        <v>1</v>
      </c>
      <c r="AC21" s="1562">
        <v>1</v>
      </c>
    </row>
    <row r="22" spans="1:29" ht="15">
      <c r="A22" s="514"/>
      <c r="B22" s="559" t="s">
        <v>768</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27"/>
      <c r="Q22" s="1558" t="str">
        <f>B22</f>
        <v>楼层</v>
      </c>
      <c r="R22" s="1559" t="s">
        <v>8</v>
      </c>
      <c r="S22" s="1560">
        <f>F22</f>
        <v>100</v>
      </c>
      <c r="T22" s="1559" t="s">
        <v>8</v>
      </c>
      <c r="U22" s="1560">
        <f>H22</f>
        <v>100</v>
      </c>
      <c r="V22" s="1559" t="s">
        <v>8</v>
      </c>
      <c r="W22" s="1560">
        <f>J22</f>
        <v>100</v>
      </c>
      <c r="X22" s="1553"/>
      <c r="Y22" s="3427"/>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27"/>
      <c r="Q23" s="1558">
        <f>B23</f>
        <v>111</v>
      </c>
      <c r="R23" s="1559" t="s">
        <v>8</v>
      </c>
      <c r="S23" s="1560">
        <f>F23</f>
        <v>100</v>
      </c>
      <c r="T23" s="1559" t="s">
        <v>8</v>
      </c>
      <c r="U23" s="1560">
        <f>H23</f>
        <v>100</v>
      </c>
      <c r="V23" s="1559" t="s">
        <v>8</v>
      </c>
      <c r="W23" s="1560">
        <f>J23</f>
        <v>100</v>
      </c>
      <c r="X23" s="1553"/>
      <c r="Y23" s="3427"/>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27"/>
      <c r="Q24" s="1558">
        <f t="shared" ref="Q24:Q36" si="11">B24</f>
        <v>111</v>
      </c>
      <c r="R24" s="1559" t="s">
        <v>8</v>
      </c>
      <c r="S24" s="1560">
        <f>F24</f>
        <v>100</v>
      </c>
      <c r="T24" s="1559" t="s">
        <v>8</v>
      </c>
      <c r="U24" s="1560">
        <f>H24</f>
        <v>100</v>
      </c>
      <c r="V24" s="1559" t="s">
        <v>8</v>
      </c>
      <c r="W24" s="1560">
        <f>J24</f>
        <v>100</v>
      </c>
      <c r="X24" s="1553"/>
      <c r="Y24" s="3427"/>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27"/>
      <c r="Q25" s="1146">
        <f t="shared" si="11"/>
        <v>111</v>
      </c>
      <c r="R25" s="1554" t="s">
        <v>8</v>
      </c>
      <c r="S25" s="1555">
        <f>F25</f>
        <v>100</v>
      </c>
      <c r="T25" s="1554" t="s">
        <v>8</v>
      </c>
      <c r="U25" s="1555">
        <f>H25</f>
        <v>100</v>
      </c>
      <c r="V25" s="1554" t="s">
        <v>8</v>
      </c>
      <c r="W25" s="1555">
        <f>J25</f>
        <v>100</v>
      </c>
      <c r="X25" s="1556"/>
      <c r="Y25" s="3427"/>
      <c r="Z25" s="1145">
        <f>Q25</f>
        <v>111</v>
      </c>
      <c r="AA25" s="1562">
        <f>D25/F25</f>
        <v>1</v>
      </c>
      <c r="AB25" s="1562">
        <f>D25/H25</f>
        <v>1</v>
      </c>
      <c r="AC25" s="1562">
        <f>D25/J25</f>
        <v>1</v>
      </c>
    </row>
    <row r="26" spans="1:29" ht="15">
      <c r="A26" s="2862" t="s">
        <v>2710</v>
      </c>
      <c r="B26" s="169" t="s">
        <v>769</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28" t="s">
        <v>514</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9" t="s">
        <v>514</v>
      </c>
      <c r="Z26" s="1561" t="str">
        <f t="shared" ref="Z26:Z36" si="15">Q26</f>
        <v>配套类型</v>
      </c>
      <c r="AA26" s="1562">
        <f t="shared" si="3"/>
        <v>1</v>
      </c>
      <c r="AB26" s="1562">
        <f t="shared" si="4"/>
        <v>1</v>
      </c>
      <c r="AC26" s="1562">
        <f t="shared" si="5"/>
        <v>1</v>
      </c>
    </row>
    <row r="27" spans="1:29" s="1334" customFormat="1" ht="15">
      <c r="A27" s="928"/>
      <c r="B27" s="581" t="s">
        <v>770</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29"/>
      <c r="Q27" s="1590" t="str">
        <f t="shared" si="11"/>
        <v>项目停车位配比</v>
      </c>
      <c r="R27" s="1563" t="s">
        <v>8</v>
      </c>
      <c r="S27" s="1564">
        <f t="shared" si="12"/>
        <v>100</v>
      </c>
      <c r="T27" s="1563" t="s">
        <v>8</v>
      </c>
      <c r="U27" s="1564">
        <f t="shared" si="13"/>
        <v>100</v>
      </c>
      <c r="V27" s="1563" t="s">
        <v>8</v>
      </c>
      <c r="W27" s="1564">
        <f t="shared" si="14"/>
        <v>100</v>
      </c>
      <c r="X27" s="1565"/>
      <c r="Y27" s="3429"/>
      <c r="Z27" s="1566" t="str">
        <f t="shared" si="15"/>
        <v>项目停车位配比</v>
      </c>
      <c r="AA27" s="1562">
        <f t="shared" si="3"/>
        <v>1</v>
      </c>
      <c r="AB27" s="1562">
        <f t="shared" si="4"/>
        <v>1</v>
      </c>
      <c r="AC27" s="1562">
        <f t="shared" si="5"/>
        <v>1</v>
      </c>
    </row>
    <row r="28" spans="1:29" ht="15">
      <c r="A28" s="930"/>
      <c r="B28" s="581" t="s">
        <v>771</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29"/>
      <c r="Q28" s="1558" t="str">
        <f t="shared" si="11"/>
        <v>公共部分装修</v>
      </c>
      <c r="R28" s="1559" t="s">
        <v>8</v>
      </c>
      <c r="S28" s="1560">
        <f t="shared" si="12"/>
        <v>100</v>
      </c>
      <c r="T28" s="1559" t="s">
        <v>8</v>
      </c>
      <c r="U28" s="1560">
        <f t="shared" si="13"/>
        <v>100</v>
      </c>
      <c r="V28" s="1559" t="s">
        <v>8</v>
      </c>
      <c r="W28" s="1560">
        <f t="shared" si="14"/>
        <v>100</v>
      </c>
      <c r="X28" s="1553"/>
      <c r="Y28" s="3429"/>
      <c r="Z28" s="1561" t="str">
        <f t="shared" si="15"/>
        <v>公共部分装修</v>
      </c>
      <c r="AA28" s="1562">
        <f t="shared" si="3"/>
        <v>1</v>
      </c>
      <c r="AB28" s="1562">
        <f t="shared" si="4"/>
        <v>1</v>
      </c>
      <c r="AC28" s="1562">
        <f t="shared" si="5"/>
        <v>1</v>
      </c>
    </row>
    <row r="29" spans="1:29" ht="15">
      <c r="A29" s="930"/>
      <c r="B29" s="581" t="s">
        <v>772</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29"/>
      <c r="Q29" s="1558" t="str">
        <f t="shared" si="11"/>
        <v>成新率</v>
      </c>
      <c r="R29" s="1559" t="s">
        <v>8</v>
      </c>
      <c r="S29" s="1560" t="e">
        <f t="shared" si="12"/>
        <v>#N/A</v>
      </c>
      <c r="T29" s="1559" t="s">
        <v>8</v>
      </c>
      <c r="U29" s="1560" t="e">
        <f t="shared" si="13"/>
        <v>#N/A</v>
      </c>
      <c r="V29" s="1559" t="s">
        <v>8</v>
      </c>
      <c r="W29" s="1560" t="e">
        <f t="shared" si="14"/>
        <v>#N/A</v>
      </c>
      <c r="X29" s="1553"/>
      <c r="Y29" s="3429"/>
      <c r="Z29" s="1561" t="str">
        <f t="shared" si="15"/>
        <v>成新率</v>
      </c>
      <c r="AA29" s="1562" t="e">
        <f t="shared" si="3"/>
        <v>#N/A</v>
      </c>
      <c r="AB29" s="1562" t="e">
        <f t="shared" si="4"/>
        <v>#N/A</v>
      </c>
      <c r="AC29" s="1562" t="e">
        <f t="shared" si="5"/>
        <v>#N/A</v>
      </c>
    </row>
    <row r="30" spans="1:29" ht="15">
      <c r="A30" s="930"/>
      <c r="B30" s="581" t="s">
        <v>773</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29"/>
      <c r="Q30" s="1558" t="str">
        <f t="shared" si="11"/>
        <v>物业等级</v>
      </c>
      <c r="R30" s="1559" t="s">
        <v>8</v>
      </c>
      <c r="S30" s="1560">
        <f t="shared" si="12"/>
        <v>100</v>
      </c>
      <c r="T30" s="1559" t="s">
        <v>8</v>
      </c>
      <c r="U30" s="1560">
        <f t="shared" si="13"/>
        <v>100</v>
      </c>
      <c r="V30" s="1559" t="s">
        <v>8</v>
      </c>
      <c r="W30" s="1560">
        <f t="shared" si="14"/>
        <v>100</v>
      </c>
      <c r="X30" s="1553"/>
      <c r="Y30" s="3429"/>
      <c r="Z30" s="1561" t="str">
        <f t="shared" si="15"/>
        <v>物业等级</v>
      </c>
      <c r="AA30" s="1562">
        <f t="shared" si="3"/>
        <v>1</v>
      </c>
      <c r="AB30" s="1562">
        <f t="shared" si="4"/>
        <v>1</v>
      </c>
      <c r="AC30" s="1562">
        <f t="shared" si="5"/>
        <v>1</v>
      </c>
    </row>
    <row r="31" spans="1:29" s="1215" customFormat="1" ht="15">
      <c r="A31" s="932"/>
      <c r="B31" s="581" t="s">
        <v>774</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29"/>
      <c r="Q31" s="1146" t="str">
        <f t="shared" si="11"/>
        <v>停车位面积</v>
      </c>
      <c r="R31" s="1554" t="s">
        <v>8</v>
      </c>
      <c r="S31" s="1555" t="e">
        <f t="shared" si="12"/>
        <v>#N/A</v>
      </c>
      <c r="T31" s="1554" t="s">
        <v>8</v>
      </c>
      <c r="U31" s="1555" t="e">
        <f t="shared" si="13"/>
        <v>#N/A</v>
      </c>
      <c r="V31" s="1554" t="s">
        <v>8</v>
      </c>
      <c r="W31" s="1555" t="e">
        <f t="shared" si="14"/>
        <v>#N/A</v>
      </c>
      <c r="X31" s="1556"/>
      <c r="Y31" s="3429"/>
      <c r="Z31" s="1145" t="str">
        <f t="shared" si="15"/>
        <v>停车位面积</v>
      </c>
      <c r="AA31" s="1557" t="e">
        <f t="shared" si="3"/>
        <v>#N/A</v>
      </c>
      <c r="AB31" s="1557" t="e">
        <f t="shared" si="4"/>
        <v>#N/A</v>
      </c>
      <c r="AC31" s="1557" t="e">
        <f t="shared" si="5"/>
        <v>#N/A</v>
      </c>
    </row>
    <row r="32" spans="1:29" ht="15">
      <c r="A32" s="930"/>
      <c r="B32" s="581" t="s">
        <v>775</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29" t="s">
        <v>514</v>
      </c>
      <c r="Q32" s="1558" t="str">
        <f t="shared" si="11"/>
        <v>车位类型</v>
      </c>
      <c r="R32" s="1559" t="s">
        <v>8</v>
      </c>
      <c r="S32" s="1560">
        <f t="shared" si="12"/>
        <v>100</v>
      </c>
      <c r="T32" s="1559" t="s">
        <v>8</v>
      </c>
      <c r="U32" s="1560">
        <f t="shared" si="13"/>
        <v>100</v>
      </c>
      <c r="V32" s="1559" t="s">
        <v>8</v>
      </c>
      <c r="W32" s="1560">
        <f t="shared" si="14"/>
        <v>100</v>
      </c>
      <c r="X32" s="1553"/>
      <c r="Y32" s="3429" t="s">
        <v>514</v>
      </c>
      <c r="Z32" s="1561" t="str">
        <f t="shared" si="15"/>
        <v>车位类型</v>
      </c>
      <c r="AA32" s="1562">
        <f t="shared" si="3"/>
        <v>1</v>
      </c>
      <c r="AB32" s="1562">
        <f t="shared" si="4"/>
        <v>1</v>
      </c>
      <c r="AC32" s="1562">
        <f t="shared" si="5"/>
        <v>1</v>
      </c>
    </row>
    <row r="33" spans="1:29" ht="15">
      <c r="A33" s="930"/>
      <c r="B33" s="581" t="s">
        <v>776</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29"/>
      <c r="Q33" s="1558" t="str">
        <f t="shared" si="11"/>
        <v>是否直接入户</v>
      </c>
      <c r="R33" s="1559" t="s">
        <v>8</v>
      </c>
      <c r="S33" s="1560">
        <f t="shared" si="12"/>
        <v>100</v>
      </c>
      <c r="T33" s="1559" t="s">
        <v>8</v>
      </c>
      <c r="U33" s="1560">
        <f t="shared" si="13"/>
        <v>100</v>
      </c>
      <c r="V33" s="1559" t="s">
        <v>8</v>
      </c>
      <c r="W33" s="1560">
        <f t="shared" si="14"/>
        <v>100</v>
      </c>
      <c r="X33" s="1553"/>
      <c r="Y33" s="3429"/>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29"/>
      <c r="Q34" s="1558">
        <f t="shared" si="11"/>
        <v>111</v>
      </c>
      <c r="R34" s="1559" t="s">
        <v>8</v>
      </c>
      <c r="S34" s="1560">
        <f t="shared" si="12"/>
        <v>100</v>
      </c>
      <c r="T34" s="1559" t="s">
        <v>8</v>
      </c>
      <c r="U34" s="1560">
        <f t="shared" si="13"/>
        <v>100</v>
      </c>
      <c r="V34" s="1559" t="s">
        <v>8</v>
      </c>
      <c r="W34" s="1560">
        <f t="shared" si="14"/>
        <v>100</v>
      </c>
      <c r="X34" s="1553"/>
      <c r="Y34" s="3429"/>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29"/>
      <c r="Q35" s="1590">
        <f t="shared" si="11"/>
        <v>111</v>
      </c>
      <c r="R35" s="1563" t="s">
        <v>8</v>
      </c>
      <c r="S35" s="1564">
        <f t="shared" si="12"/>
        <v>100</v>
      </c>
      <c r="T35" s="1563" t="s">
        <v>8</v>
      </c>
      <c r="U35" s="1564">
        <f t="shared" si="13"/>
        <v>100</v>
      </c>
      <c r="V35" s="1563" t="s">
        <v>8</v>
      </c>
      <c r="W35" s="1564">
        <f t="shared" si="14"/>
        <v>100</v>
      </c>
      <c r="X35" s="1565"/>
      <c r="Y35" s="3429"/>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29"/>
      <c r="Q36" s="1558">
        <f t="shared" si="11"/>
        <v>111</v>
      </c>
      <c r="R36" s="1559" t="s">
        <v>8</v>
      </c>
      <c r="S36" s="1560">
        <f t="shared" si="12"/>
        <v>100</v>
      </c>
      <c r="T36" s="1559" t="s">
        <v>8</v>
      </c>
      <c r="U36" s="1560">
        <f t="shared" si="13"/>
        <v>100</v>
      </c>
      <c r="V36" s="1559" t="s">
        <v>8</v>
      </c>
      <c r="W36" s="1560">
        <f t="shared" si="14"/>
        <v>100</v>
      </c>
      <c r="X36" s="1553"/>
      <c r="Y36" s="3429"/>
      <c r="Z36" s="1561">
        <f t="shared" si="15"/>
        <v>111</v>
      </c>
      <c r="AA36" s="1562">
        <f t="shared" si="3"/>
        <v>1</v>
      </c>
      <c r="AB36" s="1562">
        <f t="shared" si="4"/>
        <v>1</v>
      </c>
      <c r="AC36" s="1562">
        <f t="shared" si="5"/>
        <v>1</v>
      </c>
    </row>
    <row r="37" spans="1:29" ht="15">
      <c r="A37" s="1831" t="s">
        <v>2034</v>
      </c>
      <c r="B37" s="1832" t="s">
        <v>2035</v>
      </c>
      <c r="C37" s="2591" t="s">
        <v>1</v>
      </c>
      <c r="D37" s="2592"/>
      <c r="E37" s="2593"/>
      <c r="F37" s="2594"/>
      <c r="G37" s="2595"/>
      <c r="H37" s="2596"/>
      <c r="I37" s="2593"/>
      <c r="J37" s="2596"/>
      <c r="K37" s="1596"/>
      <c r="L37" s="2129"/>
      <c r="M37" s="2130"/>
      <c r="N37" s="2119"/>
      <c r="O37" s="2130"/>
      <c r="P37" s="3391" t="str">
        <f>A37</f>
        <v>成交单价</v>
      </c>
      <c r="Q37" s="3391"/>
      <c r="R37" s="3486">
        <f>E37</f>
        <v>0</v>
      </c>
      <c r="S37" s="3486"/>
      <c r="T37" s="3486">
        <f>G37</f>
        <v>0</v>
      </c>
      <c r="U37" s="3486"/>
      <c r="V37" s="3486">
        <f>I37</f>
        <v>0</v>
      </c>
      <c r="W37" s="3486"/>
      <c r="X37" s="1545"/>
      <c r="Y37" s="1567"/>
      <c r="Z37" s="1545"/>
      <c r="AA37" s="1545"/>
      <c r="AB37" s="1545"/>
      <c r="AC37" s="1545"/>
    </row>
    <row r="38" spans="1:29" ht="15.75" thickBot="1">
      <c r="A38" s="614" t="s">
        <v>2715</v>
      </c>
      <c r="B38" s="887"/>
      <c r="C38" s="2597" t="e">
        <f>R39</f>
        <v>#DIV/0!</v>
      </c>
      <c r="D38" s="2598"/>
      <c r="E38" s="2599" t="e">
        <f>R38</f>
        <v>#DIV/0!</v>
      </c>
      <c r="F38" s="2599"/>
      <c r="G38" s="2597" t="e">
        <f>T38</f>
        <v>#DIV/0!</v>
      </c>
      <c r="H38" s="2598"/>
      <c r="I38" s="2599" t="e">
        <f>V38</f>
        <v>#DIV/0!</v>
      </c>
      <c r="J38" s="2598"/>
      <c r="K38" s="1597"/>
      <c r="L38" s="2129"/>
      <c r="M38" s="2130"/>
      <c r="N38" s="2130"/>
      <c r="O38" s="2130"/>
      <c r="P38" s="3391" t="str">
        <f>A38</f>
        <v>比较价格（元/平方米）</v>
      </c>
      <c r="Q38" s="3391"/>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45"/>
      <c r="Y38" s="1545"/>
      <c r="Z38" s="1545"/>
      <c r="AA38" s="1545"/>
      <c r="AB38" s="1545"/>
      <c r="AC38" s="1545"/>
    </row>
    <row r="39" spans="1:29" ht="15.75" thickBot="1">
      <c r="A39" s="620" t="s">
        <v>2878</v>
      </c>
      <c r="B39" s="621"/>
      <c r="C39" s="2600" t="e">
        <f>R39</f>
        <v>#DIV/0!</v>
      </c>
      <c r="D39" s="2600"/>
      <c r="E39" s="2600"/>
      <c r="F39" s="2600"/>
      <c r="G39" s="2600"/>
      <c r="H39" s="2600"/>
      <c r="I39" s="2600"/>
      <c r="J39" s="2600"/>
      <c r="K39" s="1598"/>
      <c r="L39" s="2129"/>
      <c r="M39" s="2130"/>
      <c r="N39" s="2130"/>
      <c r="O39" s="2130"/>
      <c r="P39" s="3388" t="str">
        <f>A39</f>
        <v>估价对象XX用房的比较价格（楼面单价，元/平方米）</v>
      </c>
      <c r="Q39" s="3389"/>
      <c r="R39" s="3485" t="e">
        <f>IF(F1="售价",ROUND(AVERAGE(R38:V38),0),ROUND(AVERAGE(R38:V38),1))</f>
        <v>#DIV/0!</v>
      </c>
      <c r="S39" s="3485"/>
      <c r="T39" s="3485"/>
      <c r="U39" s="3485"/>
      <c r="V39" s="3485"/>
      <c r="W39" s="348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521</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522</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523</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538</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493</v>
      </c>
      <c r="B48" s="645"/>
      <c r="C48" s="2757" t="str">
        <f>YEAR(C7)&amp;"-"&amp;MONTH(C7)</f>
        <v>2019-9</v>
      </c>
      <c r="D48" s="2759">
        <f>EDATE(C48,-1)</f>
        <v>43678</v>
      </c>
      <c r="E48" s="2759">
        <f t="shared" ref="E48:O48" si="16">EDATE(D48,-1)</f>
        <v>43647</v>
      </c>
      <c r="F48" s="2759">
        <f t="shared" si="16"/>
        <v>43617</v>
      </c>
      <c r="G48" s="2759">
        <f t="shared" si="16"/>
        <v>43586</v>
      </c>
      <c r="H48" s="2759">
        <f t="shared" si="16"/>
        <v>43556</v>
      </c>
      <c r="I48" s="2759">
        <f t="shared" si="16"/>
        <v>43525</v>
      </c>
      <c r="J48" s="2759">
        <f t="shared" si="16"/>
        <v>43497</v>
      </c>
      <c r="K48" s="2759">
        <f t="shared" si="16"/>
        <v>43466</v>
      </c>
      <c r="L48" s="2759">
        <f t="shared" si="16"/>
        <v>43435</v>
      </c>
      <c r="M48" s="2759">
        <f t="shared" si="16"/>
        <v>43405</v>
      </c>
      <c r="N48" s="2759">
        <f t="shared" si="16"/>
        <v>43374</v>
      </c>
      <c r="O48" s="2759">
        <f t="shared" si="16"/>
        <v>43344</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539</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495</v>
      </c>
      <c r="B51" s="647"/>
      <c r="C51" s="659" t="s">
        <v>540</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541</v>
      </c>
      <c r="B53" s="664" t="s">
        <v>498</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501</v>
      </c>
      <c r="C55" s="673" t="s">
        <v>700</v>
      </c>
      <c r="D55" s="673" t="s">
        <v>701</v>
      </c>
      <c r="E55" s="673" t="s">
        <v>702</v>
      </c>
      <c r="F55" s="673" t="s">
        <v>703</v>
      </c>
      <c r="G55" s="673" t="s">
        <v>704</v>
      </c>
      <c r="H55" s="673" t="s">
        <v>705</v>
      </c>
      <c r="I55" s="673" t="s">
        <v>706</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503</v>
      </c>
      <c r="B63" s="664" t="s">
        <v>550</v>
      </c>
      <c r="C63" s="702" t="s">
        <v>543</v>
      </c>
      <c r="D63" s="702" t="s">
        <v>544</v>
      </c>
      <c r="E63" s="702" t="s">
        <v>545</v>
      </c>
      <c r="F63" s="702" t="s">
        <v>546</v>
      </c>
      <c r="G63" s="702" t="s">
        <v>547</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2512</v>
      </c>
      <c r="C65" s="707" t="s">
        <v>543</v>
      </c>
      <c r="D65" s="707" t="s">
        <v>544</v>
      </c>
      <c r="E65" s="707" t="s">
        <v>545</v>
      </c>
      <c r="F65" s="707" t="s">
        <v>546</v>
      </c>
      <c r="G65" s="707" t="s">
        <v>547</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2513</v>
      </c>
      <c r="C67" s="2562" t="s">
        <v>2514</v>
      </c>
      <c r="D67" s="2562" t="s">
        <v>2515</v>
      </c>
      <c r="E67" s="2562" t="s">
        <v>2516</v>
      </c>
      <c r="F67" s="2562" t="s">
        <v>2517</v>
      </c>
      <c r="G67" s="2562" t="s">
        <v>2518</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707</v>
      </c>
      <c r="C69" s="707" t="s">
        <v>543</v>
      </c>
      <c r="D69" s="707" t="s">
        <v>544</v>
      </c>
      <c r="E69" s="707" t="s">
        <v>545</v>
      </c>
      <c r="F69" s="707" t="s">
        <v>546</v>
      </c>
      <c r="G69" s="707" t="s">
        <v>547</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708</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515</v>
      </c>
      <c r="B79" s="664" t="s">
        <v>777</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778</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714</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779</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780</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781</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782</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783</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682</v>
      </c>
      <c r="B1" s="922"/>
      <c r="C1" s="503" t="s">
        <v>755</v>
      </c>
      <c r="D1" s="848"/>
      <c r="E1" s="505"/>
      <c r="F1" s="2762"/>
      <c r="G1" s="1586" t="s">
        <v>756</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757</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758</v>
      </c>
      <c r="B3" s="509" t="e">
        <f>C37</f>
        <v>#DIV/0!</v>
      </c>
      <c r="C3" s="851" t="s">
        <v>759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760</v>
      </c>
      <c r="B4" s="512"/>
      <c r="C4" s="3397" t="s">
        <v>761</v>
      </c>
      <c r="D4" s="3398"/>
      <c r="E4" s="3432" t="s">
        <v>762</v>
      </c>
      <c r="F4" s="3433"/>
      <c r="G4" s="3397" t="s">
        <v>763</v>
      </c>
      <c r="H4" s="3398"/>
      <c r="I4" s="3397" t="s">
        <v>764</v>
      </c>
      <c r="J4" s="3398"/>
      <c r="K4" s="513" t="s">
        <v>765</v>
      </c>
      <c r="L4" s="2118"/>
      <c r="M4" s="2119"/>
      <c r="N4" s="2119"/>
      <c r="O4" s="2119"/>
      <c r="P4" s="3399" t="s">
        <v>766</v>
      </c>
      <c r="Q4" s="3400"/>
      <c r="R4" s="3405" t="s">
        <v>762</v>
      </c>
      <c r="S4" s="3406"/>
      <c r="T4" s="3405" t="s">
        <v>763</v>
      </c>
      <c r="U4" s="3406"/>
      <c r="V4" s="3392" t="s">
        <v>764</v>
      </c>
      <c r="W4" s="3392"/>
      <c r="X4" s="1553"/>
      <c r="Y4" s="3405" t="s">
        <v>766</v>
      </c>
      <c r="Z4" s="3406"/>
      <c r="AA4" s="3394" t="s">
        <v>762</v>
      </c>
      <c r="AB4" s="3395" t="s">
        <v>763</v>
      </c>
      <c r="AC4" s="3394" t="s">
        <v>764</v>
      </c>
    </row>
    <row r="5" spans="1:29" ht="15">
      <c r="A5" s="514"/>
      <c r="B5" s="515"/>
      <c r="C5" s="3413" t="s">
        <v>2872</v>
      </c>
      <c r="D5" s="3414"/>
      <c r="E5" s="3434" t="s">
        <v>2873</v>
      </c>
      <c r="F5" s="3435"/>
      <c r="G5" s="3413" t="s">
        <v>2874</v>
      </c>
      <c r="H5" s="3414"/>
      <c r="I5" s="3413" t="s">
        <v>2875</v>
      </c>
      <c r="J5" s="3414"/>
      <c r="K5" s="513"/>
      <c r="L5" s="2118"/>
      <c r="M5" s="2119"/>
      <c r="N5" s="2119"/>
      <c r="O5" s="2119"/>
      <c r="P5" s="3401"/>
      <c r="Q5" s="3402"/>
      <c r="R5" s="3407"/>
      <c r="S5" s="3408"/>
      <c r="T5" s="3407"/>
      <c r="U5" s="3408"/>
      <c r="V5" s="3392"/>
      <c r="W5" s="3392"/>
      <c r="X5" s="1553"/>
      <c r="Y5" s="3407"/>
      <c r="Z5" s="3408"/>
      <c r="AA5" s="3395"/>
      <c r="AB5" s="3395"/>
      <c r="AC5" s="3395"/>
    </row>
    <row r="6" spans="1:29" ht="15.75" thickBot="1">
      <c r="A6" s="516"/>
      <c r="B6" s="517"/>
      <c r="C6" s="3411" t="s">
        <v>2876</v>
      </c>
      <c r="D6" s="3412"/>
      <c r="E6" s="3430" t="s">
        <v>2876</v>
      </c>
      <c r="F6" s="3431"/>
      <c r="G6" s="3411" t="s">
        <v>2876</v>
      </c>
      <c r="H6" s="3412"/>
      <c r="I6" s="3411" t="s">
        <v>2876</v>
      </c>
      <c r="J6" s="3412"/>
      <c r="K6" s="513" t="s">
        <v>492</v>
      </c>
      <c r="L6" s="2118"/>
      <c r="M6" s="2119"/>
      <c r="N6" s="2119"/>
      <c r="O6" s="2119"/>
      <c r="P6" s="3403"/>
      <c r="Q6" s="3404"/>
      <c r="R6" s="3407"/>
      <c r="S6" s="3408"/>
      <c r="T6" s="3409"/>
      <c r="U6" s="3410"/>
      <c r="V6" s="3392"/>
      <c r="W6" s="3392"/>
      <c r="X6" s="1553"/>
      <c r="Y6" s="3409"/>
      <c r="Z6" s="3410"/>
      <c r="AA6" s="3396"/>
      <c r="AB6" s="3396"/>
      <c r="AC6" s="3396"/>
    </row>
    <row r="7" spans="1:29" s="1215" customFormat="1" ht="15.75" thickBot="1">
      <c r="A7" s="2867"/>
      <c r="B7" s="2874" t="s">
        <v>493</v>
      </c>
      <c r="C7" s="518">
        <f>'数据-取费表'!B2</f>
        <v>43724</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23" t="s">
        <v>494</v>
      </c>
      <c r="Q7" s="3425"/>
      <c r="R7" s="1554" t="s">
        <v>8</v>
      </c>
      <c r="S7" s="1555">
        <f t="shared" ref="S7:S14" si="0">F7</f>
        <v>0</v>
      </c>
      <c r="T7" s="1554" t="s">
        <v>8</v>
      </c>
      <c r="U7" s="1555">
        <f t="shared" ref="U7:U14" si="1">H7</f>
        <v>0</v>
      </c>
      <c r="V7" s="1554" t="s">
        <v>8</v>
      </c>
      <c r="W7" s="1555">
        <f t="shared" ref="W7:W14" si="2">J7</f>
        <v>0</v>
      </c>
      <c r="X7" s="1556"/>
      <c r="Y7" s="3423" t="s">
        <v>494</v>
      </c>
      <c r="Z7" s="3424"/>
      <c r="AA7" s="1557" t="e">
        <f>D7/F7</f>
        <v>#DIV/0!</v>
      </c>
      <c r="AB7" s="1557" t="e">
        <f>D7/H7</f>
        <v>#DIV/0!</v>
      </c>
      <c r="AC7" s="1557" t="e">
        <f>D7/J7</f>
        <v>#DIV/0!</v>
      </c>
    </row>
    <row r="8" spans="1:29" s="1215" customFormat="1" ht="15.75" thickBot="1">
      <c r="A8" s="2868"/>
      <c r="B8" s="2875" t="s">
        <v>495</v>
      </c>
      <c r="C8" s="524" t="s">
        <v>540</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23" t="s">
        <v>497</v>
      </c>
      <c r="Q8" s="3424"/>
      <c r="R8" s="1554" t="s">
        <v>8</v>
      </c>
      <c r="S8" s="1555">
        <f t="shared" si="0"/>
        <v>0</v>
      </c>
      <c r="T8" s="1554" t="s">
        <v>8</v>
      </c>
      <c r="U8" s="1555">
        <f t="shared" si="1"/>
        <v>0</v>
      </c>
      <c r="V8" s="1554" t="s">
        <v>8</v>
      </c>
      <c r="W8" s="1555">
        <f t="shared" si="2"/>
        <v>0</v>
      </c>
      <c r="X8" s="1556"/>
      <c r="Y8" s="3423" t="s">
        <v>497</v>
      </c>
      <c r="Z8" s="3424"/>
      <c r="AA8" s="1557" t="e">
        <f t="shared" ref="AA8:AA34" si="3">D8/F8</f>
        <v>#DIV/0!</v>
      </c>
      <c r="AB8" s="1557" t="e">
        <f t="shared" ref="AB8:AB34" si="4">D8/H8</f>
        <v>#DIV/0!</v>
      </c>
      <c r="AC8" s="1557" t="e">
        <f t="shared" ref="AC8:AC34" si="5">D8/J8</f>
        <v>#DIV/0!</v>
      </c>
    </row>
    <row r="9" spans="1:29" s="1215" customFormat="1" ht="15">
      <c r="A9" s="2869"/>
      <c r="B9" s="2876" t="s">
        <v>2711</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91" t="s">
        <v>499</v>
      </c>
      <c r="Q9" s="1146" t="str">
        <f t="shared" ref="Q9:Q14" si="6">B9</f>
        <v>用途</v>
      </c>
      <c r="R9" s="1554" t="s">
        <v>8</v>
      </c>
      <c r="S9" s="1555">
        <f t="shared" si="0"/>
        <v>100</v>
      </c>
      <c r="T9" s="1554" t="s">
        <v>8</v>
      </c>
      <c r="U9" s="1555">
        <f t="shared" si="1"/>
        <v>100</v>
      </c>
      <c r="V9" s="1554" t="s">
        <v>8</v>
      </c>
      <c r="W9" s="1555">
        <f t="shared" si="2"/>
        <v>100</v>
      </c>
      <c r="X9" s="1556"/>
      <c r="Y9" s="3337" t="s">
        <v>500</v>
      </c>
      <c r="Z9" s="1145" t="str">
        <f t="shared" ref="Z9:Z14" si="7">Q9</f>
        <v>用途</v>
      </c>
      <c r="AA9" s="1557">
        <f t="shared" si="3"/>
        <v>1</v>
      </c>
      <c r="AB9" s="1557">
        <f t="shared" si="4"/>
        <v>1</v>
      </c>
      <c r="AC9" s="1557">
        <f t="shared" si="5"/>
        <v>1</v>
      </c>
    </row>
    <row r="10" spans="1:29" s="1333" customFormat="1" ht="27">
      <c r="A10" s="2870"/>
      <c r="B10" s="2875" t="s">
        <v>2712</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91"/>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99.75">
      <c r="A14" s="2865" t="s">
        <v>2709</v>
      </c>
      <c r="B14" s="165" t="s">
        <v>507</v>
      </c>
      <c r="C14" s="920" t="str">
        <f>IF(B1="工业",估价对象房地状况!G4,估价对象房地状况!C6)</f>
        <v>估价对象周边道路状况一般、公共交通通达情况一般、停车便捷程度较好，综合评价交通便捷度一般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26" t="s">
        <v>504</v>
      </c>
      <c r="Q14" s="1558" t="str">
        <f t="shared" si="6"/>
        <v>交通便捷度</v>
      </c>
      <c r="R14" s="1559" t="s">
        <v>8</v>
      </c>
      <c r="S14" s="1560">
        <f t="shared" si="0"/>
        <v>100</v>
      </c>
      <c r="T14" s="1559" t="s">
        <v>8</v>
      </c>
      <c r="U14" s="1560">
        <f t="shared" si="1"/>
        <v>100</v>
      </c>
      <c r="V14" s="1559" t="s">
        <v>8</v>
      </c>
      <c r="W14" s="1560">
        <f t="shared" si="2"/>
        <v>100</v>
      </c>
      <c r="X14" s="1553"/>
      <c r="Y14" s="3426" t="s">
        <v>504</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27"/>
      <c r="Q15" s="1558"/>
      <c r="R15" s="1559"/>
      <c r="S15" s="1560"/>
      <c r="T15" s="1559"/>
      <c r="U15" s="1560"/>
      <c r="V15" s="1559"/>
      <c r="W15" s="1560"/>
      <c r="X15" s="1553"/>
      <c r="Y15" s="3427"/>
      <c r="Z15" s="1561"/>
      <c r="AA15" s="1562">
        <v>1</v>
      </c>
      <c r="AB15" s="1562">
        <v>1</v>
      </c>
      <c r="AC15" s="1562">
        <v>1</v>
      </c>
    </row>
    <row r="16" spans="1:29" ht="42.75">
      <c r="A16" s="531"/>
      <c r="B16" s="2567" t="s">
        <v>2501</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27"/>
      <c r="Q16" s="1558" t="str">
        <f>B16</f>
        <v>公共配套设施</v>
      </c>
      <c r="R16" s="1559" t="s">
        <v>8</v>
      </c>
      <c r="S16" s="1560">
        <f>F16</f>
        <v>100</v>
      </c>
      <c r="T16" s="1559" t="s">
        <v>8</v>
      </c>
      <c r="U16" s="1560">
        <f>H16</f>
        <v>100</v>
      </c>
      <c r="V16" s="1559" t="s">
        <v>8</v>
      </c>
      <c r="W16" s="1560">
        <f>J16</f>
        <v>100</v>
      </c>
      <c r="X16" s="1553"/>
      <c r="Y16" s="3427"/>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27"/>
      <c r="Q17" s="1558"/>
      <c r="R17" s="1559"/>
      <c r="S17" s="1560"/>
      <c r="T17" s="1559"/>
      <c r="U17" s="1560"/>
      <c r="V17" s="1559"/>
      <c r="W17" s="1560"/>
      <c r="X17" s="1553"/>
      <c r="Y17" s="3427"/>
      <c r="Z17" s="1561"/>
      <c r="AA17" s="1562">
        <v>1</v>
      </c>
      <c r="AB17" s="1562">
        <v>1</v>
      </c>
      <c r="AC17" s="1562">
        <v>1</v>
      </c>
    </row>
    <row r="18" spans="1:29" ht="42.75">
      <c r="A18" s="531"/>
      <c r="B18" s="2555" t="s">
        <v>2513</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27"/>
      <c r="Q18" s="2543" t="str">
        <f>B18</f>
        <v>基础设施水平</v>
      </c>
      <c r="R18" s="1559" t="s">
        <v>8</v>
      </c>
      <c r="S18" s="1560">
        <f>F18</f>
        <v>100</v>
      </c>
      <c r="T18" s="1559" t="s">
        <v>8</v>
      </c>
      <c r="U18" s="1560">
        <f>H18</f>
        <v>100</v>
      </c>
      <c r="V18" s="1559" t="s">
        <v>8</v>
      </c>
      <c r="W18" s="1560">
        <f>J18</f>
        <v>100</v>
      </c>
      <c r="X18" s="2545"/>
      <c r="Y18" s="3427"/>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27"/>
      <c r="Q19" s="2543"/>
      <c r="R19" s="1559"/>
      <c r="S19" s="1560"/>
      <c r="T19" s="1559"/>
      <c r="U19" s="1560"/>
      <c r="V19" s="1559"/>
      <c r="W19" s="1560"/>
      <c r="X19" s="2545"/>
      <c r="Y19" s="3427"/>
      <c r="Z19" s="2544"/>
      <c r="AA19" s="1562">
        <v>1</v>
      </c>
      <c r="AB19" s="1562">
        <v>1</v>
      </c>
      <c r="AC19" s="1562">
        <v>1</v>
      </c>
    </row>
    <row r="20" spans="1:29" ht="57">
      <c r="A20" s="531"/>
      <c r="B20" s="870" t="s">
        <v>767</v>
      </c>
      <c r="C20" s="871" t="str">
        <f>IF(B1="工业",估价对象房地状况!G7,估价对象房地状况!C9)</f>
        <v>区域自然环境：好；人文环境：一般；综合评价环境状况好</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27"/>
      <c r="Q20" s="1558" t="str">
        <f>B20</f>
        <v>自然及人文环境</v>
      </c>
      <c r="R20" s="1559" t="s">
        <v>8</v>
      </c>
      <c r="S20" s="1560">
        <f>F20</f>
        <v>100</v>
      </c>
      <c r="T20" s="1559" t="s">
        <v>8</v>
      </c>
      <c r="U20" s="1560">
        <f>H20</f>
        <v>100</v>
      </c>
      <c r="V20" s="1559" t="s">
        <v>8</v>
      </c>
      <c r="W20" s="1560">
        <f>J20</f>
        <v>100</v>
      </c>
      <c r="X20" s="1553"/>
      <c r="Y20" s="3427"/>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27"/>
      <c r="Q21" s="1558"/>
      <c r="R21" s="1559"/>
      <c r="S21" s="1560"/>
      <c r="T21" s="1559"/>
      <c r="U21" s="1560"/>
      <c r="V21" s="1559"/>
      <c r="W21" s="1560"/>
      <c r="X21" s="1553"/>
      <c r="Y21" s="3427"/>
      <c r="Z21" s="1561"/>
      <c r="AA21" s="1562">
        <v>1</v>
      </c>
      <c r="AB21" s="1562">
        <v>1</v>
      </c>
      <c r="AC21" s="1562">
        <v>1</v>
      </c>
    </row>
    <row r="22" spans="1:29" ht="15">
      <c r="A22" s="531"/>
      <c r="B22" s="870" t="s">
        <v>768</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27"/>
      <c r="Q22" s="1558" t="str">
        <f>B22</f>
        <v>楼层</v>
      </c>
      <c r="R22" s="1559" t="s">
        <v>8</v>
      </c>
      <c r="S22" s="1560">
        <f>F22</f>
        <v>100</v>
      </c>
      <c r="T22" s="1559" t="s">
        <v>8</v>
      </c>
      <c r="U22" s="1560">
        <f>H22</f>
        <v>100</v>
      </c>
      <c r="V22" s="1559" t="s">
        <v>8</v>
      </c>
      <c r="W22" s="1560">
        <f>J22</f>
        <v>100</v>
      </c>
      <c r="X22" s="1553"/>
      <c r="Y22" s="3427"/>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27"/>
      <c r="Q23" s="1558">
        <f>B23</f>
        <v>111</v>
      </c>
      <c r="R23" s="1559" t="s">
        <v>8</v>
      </c>
      <c r="S23" s="1560">
        <f>F23</f>
        <v>100</v>
      </c>
      <c r="T23" s="1559" t="s">
        <v>8</v>
      </c>
      <c r="U23" s="1560">
        <f>H23</f>
        <v>100</v>
      </c>
      <c r="V23" s="1559" t="s">
        <v>8</v>
      </c>
      <c r="W23" s="1560">
        <f>J23</f>
        <v>100</v>
      </c>
      <c r="X23" s="1553"/>
      <c r="Y23" s="3427"/>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27"/>
      <c r="Q24" s="1558">
        <f t="shared" ref="Q24:Q34" si="11">B24</f>
        <v>111</v>
      </c>
      <c r="R24" s="1559" t="s">
        <v>8</v>
      </c>
      <c r="S24" s="1560">
        <f>F24</f>
        <v>100</v>
      </c>
      <c r="T24" s="1559" t="s">
        <v>8</v>
      </c>
      <c r="U24" s="1560">
        <f>H24</f>
        <v>100</v>
      </c>
      <c r="V24" s="1559" t="s">
        <v>8</v>
      </c>
      <c r="W24" s="1560">
        <f>J24</f>
        <v>100</v>
      </c>
      <c r="X24" s="1553"/>
      <c r="Y24" s="3427"/>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27"/>
      <c r="Q25" s="1146">
        <f t="shared" si="11"/>
        <v>111</v>
      </c>
      <c r="R25" s="1554" t="s">
        <v>8</v>
      </c>
      <c r="S25" s="1555">
        <f>F25</f>
        <v>100</v>
      </c>
      <c r="T25" s="1554" t="s">
        <v>8</v>
      </c>
      <c r="U25" s="1555">
        <f>H25</f>
        <v>100</v>
      </c>
      <c r="V25" s="1554" t="s">
        <v>8</v>
      </c>
      <c r="W25" s="1555">
        <f>J25</f>
        <v>100</v>
      </c>
      <c r="X25" s="1556"/>
      <c r="Y25" s="3427"/>
      <c r="Z25" s="1145">
        <f>Q25</f>
        <v>111</v>
      </c>
      <c r="AA25" s="1562">
        <f>D25/F25</f>
        <v>1</v>
      </c>
      <c r="AB25" s="1562">
        <f>D25/H25</f>
        <v>1</v>
      </c>
      <c r="AC25" s="1562">
        <f>D25/J25</f>
        <v>1</v>
      </c>
    </row>
    <row r="26" spans="1:29" ht="15">
      <c r="A26" s="2862" t="s">
        <v>2710</v>
      </c>
      <c r="B26" s="171" t="s">
        <v>771</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28" t="s">
        <v>784</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9" t="s">
        <v>784</v>
      </c>
      <c r="Z26" s="1561" t="str">
        <f t="shared" ref="Z26:Z34" si="15">Q26</f>
        <v>公共部分装修</v>
      </c>
      <c r="AA26" s="1562">
        <f t="shared" si="3"/>
        <v>1</v>
      </c>
      <c r="AB26" s="1562">
        <f t="shared" si="4"/>
        <v>1</v>
      </c>
      <c r="AC26" s="1562">
        <f t="shared" si="5"/>
        <v>1</v>
      </c>
    </row>
    <row r="27" spans="1:29" s="1334" customFormat="1" ht="15">
      <c r="A27" s="602"/>
      <c r="B27" s="526" t="s">
        <v>772</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29"/>
      <c r="Q27" s="1590" t="str">
        <f t="shared" si="11"/>
        <v>成新率</v>
      </c>
      <c r="R27" s="1563" t="s">
        <v>8</v>
      </c>
      <c r="S27" s="1564" t="e">
        <f t="shared" si="12"/>
        <v>#N/A</v>
      </c>
      <c r="T27" s="1563" t="s">
        <v>8</v>
      </c>
      <c r="U27" s="1564" t="e">
        <f t="shared" si="13"/>
        <v>#N/A</v>
      </c>
      <c r="V27" s="1563" t="s">
        <v>8</v>
      </c>
      <c r="W27" s="1564" t="e">
        <f t="shared" si="14"/>
        <v>#N/A</v>
      </c>
      <c r="X27" s="1565"/>
      <c r="Y27" s="3429"/>
      <c r="Z27" s="1566" t="str">
        <f t="shared" si="15"/>
        <v>成新率</v>
      </c>
      <c r="AA27" s="1562" t="e">
        <f t="shared" si="3"/>
        <v>#N/A</v>
      </c>
      <c r="AB27" s="1562" t="e">
        <f t="shared" si="4"/>
        <v>#N/A</v>
      </c>
      <c r="AC27" s="1562" t="e">
        <f t="shared" si="5"/>
        <v>#N/A</v>
      </c>
    </row>
    <row r="28" spans="1:29" ht="15">
      <c r="A28" s="593"/>
      <c r="B28" s="526" t="s">
        <v>773</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29"/>
      <c r="Q28" s="1558" t="str">
        <f t="shared" si="11"/>
        <v>物业等级</v>
      </c>
      <c r="R28" s="1559" t="s">
        <v>8</v>
      </c>
      <c r="S28" s="1560">
        <f t="shared" si="12"/>
        <v>100</v>
      </c>
      <c r="T28" s="1559" t="s">
        <v>8</v>
      </c>
      <c r="U28" s="1560">
        <f t="shared" si="13"/>
        <v>100</v>
      </c>
      <c r="V28" s="1559" t="s">
        <v>8</v>
      </c>
      <c r="W28" s="1560">
        <f t="shared" si="14"/>
        <v>100</v>
      </c>
      <c r="X28" s="1553"/>
      <c r="Y28" s="3429"/>
      <c r="Z28" s="1561" t="str">
        <f t="shared" si="15"/>
        <v>物业等级</v>
      </c>
      <c r="AA28" s="1562">
        <f t="shared" si="3"/>
        <v>1</v>
      </c>
      <c r="AB28" s="1562">
        <f t="shared" si="4"/>
        <v>1</v>
      </c>
      <c r="AC28" s="1562">
        <f t="shared" si="5"/>
        <v>1</v>
      </c>
    </row>
    <row r="29" spans="1:29" ht="15">
      <c r="A29" s="593"/>
      <c r="B29" s="526" t="s">
        <v>785</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29"/>
      <c r="Q29" s="1558" t="str">
        <f t="shared" si="11"/>
        <v>有无电梯</v>
      </c>
      <c r="R29" s="1559" t="s">
        <v>8</v>
      </c>
      <c r="S29" s="1560">
        <f t="shared" si="12"/>
        <v>100</v>
      </c>
      <c r="T29" s="1559" t="s">
        <v>8</v>
      </c>
      <c r="U29" s="1560">
        <f t="shared" si="13"/>
        <v>100</v>
      </c>
      <c r="V29" s="1559" t="s">
        <v>8</v>
      </c>
      <c r="W29" s="1560">
        <f t="shared" si="14"/>
        <v>100</v>
      </c>
      <c r="X29" s="1553"/>
      <c r="Y29" s="3429"/>
      <c r="Z29" s="1561" t="str">
        <f t="shared" si="15"/>
        <v>有无电梯</v>
      </c>
      <c r="AA29" s="1562">
        <f t="shared" si="3"/>
        <v>1</v>
      </c>
      <c r="AB29" s="1562">
        <f t="shared" si="4"/>
        <v>1</v>
      </c>
      <c r="AC29" s="1562">
        <f t="shared" si="5"/>
        <v>1</v>
      </c>
    </row>
    <row r="30" spans="1:29" ht="15">
      <c r="A30" s="593"/>
      <c r="B30" s="526" t="s">
        <v>786</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29"/>
      <c r="Q30" s="1558" t="str">
        <f t="shared" si="11"/>
        <v>建筑面积</v>
      </c>
      <c r="R30" s="1559" t="s">
        <v>8</v>
      </c>
      <c r="S30" s="1560" t="e">
        <f t="shared" si="12"/>
        <v>#N/A</v>
      </c>
      <c r="T30" s="1559" t="s">
        <v>8</v>
      </c>
      <c r="U30" s="1560" t="e">
        <f t="shared" si="13"/>
        <v>#N/A</v>
      </c>
      <c r="V30" s="1559" t="s">
        <v>8</v>
      </c>
      <c r="W30" s="1560" t="e">
        <f t="shared" si="14"/>
        <v>#N/A</v>
      </c>
      <c r="X30" s="1553"/>
      <c r="Y30" s="3429"/>
      <c r="Z30" s="1561" t="str">
        <f t="shared" si="15"/>
        <v>建筑面积</v>
      </c>
      <c r="AA30" s="1562" t="e">
        <f t="shared" si="3"/>
        <v>#N/A</v>
      </c>
      <c r="AB30" s="1562" t="e">
        <f t="shared" si="4"/>
        <v>#N/A</v>
      </c>
      <c r="AC30" s="1562" t="e">
        <f t="shared" si="5"/>
        <v>#N/A</v>
      </c>
    </row>
    <row r="31" spans="1:29" s="1215" customFormat="1" ht="15">
      <c r="A31" s="599"/>
      <c r="B31" s="526" t="s">
        <v>787</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29"/>
      <c r="Q31" s="1146" t="str">
        <f t="shared" si="11"/>
        <v>是否封闭</v>
      </c>
      <c r="R31" s="1554" t="s">
        <v>8</v>
      </c>
      <c r="S31" s="1555">
        <f t="shared" si="12"/>
        <v>100</v>
      </c>
      <c r="T31" s="1554" t="s">
        <v>8</v>
      </c>
      <c r="U31" s="1555">
        <f t="shared" si="13"/>
        <v>100</v>
      </c>
      <c r="V31" s="1554" t="s">
        <v>8</v>
      </c>
      <c r="W31" s="1555">
        <f t="shared" si="14"/>
        <v>100</v>
      </c>
      <c r="X31" s="1556"/>
      <c r="Y31" s="3429"/>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29" t="s">
        <v>514</v>
      </c>
      <c r="Q32" s="1558">
        <f t="shared" si="11"/>
        <v>111</v>
      </c>
      <c r="R32" s="1559" t="s">
        <v>8</v>
      </c>
      <c r="S32" s="1560">
        <f t="shared" si="12"/>
        <v>100</v>
      </c>
      <c r="T32" s="1559" t="s">
        <v>8</v>
      </c>
      <c r="U32" s="1560">
        <f t="shared" si="13"/>
        <v>100</v>
      </c>
      <c r="V32" s="1559" t="s">
        <v>8</v>
      </c>
      <c r="W32" s="1560">
        <f t="shared" si="14"/>
        <v>100</v>
      </c>
      <c r="X32" s="1553"/>
      <c r="Y32" s="3429" t="s">
        <v>514</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29"/>
      <c r="Q33" s="1558">
        <f t="shared" si="11"/>
        <v>111</v>
      </c>
      <c r="R33" s="1559" t="s">
        <v>8</v>
      </c>
      <c r="S33" s="1560">
        <f t="shared" si="12"/>
        <v>100</v>
      </c>
      <c r="T33" s="1559" t="s">
        <v>8</v>
      </c>
      <c r="U33" s="1560">
        <f t="shared" si="13"/>
        <v>100</v>
      </c>
      <c r="V33" s="1559" t="s">
        <v>8</v>
      </c>
      <c r="W33" s="1560">
        <f t="shared" si="14"/>
        <v>100</v>
      </c>
      <c r="X33" s="1553"/>
      <c r="Y33" s="3429"/>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29"/>
      <c r="Q34" s="1558">
        <f t="shared" si="11"/>
        <v>111</v>
      </c>
      <c r="R34" s="1559" t="s">
        <v>8</v>
      </c>
      <c r="S34" s="1560">
        <f t="shared" si="12"/>
        <v>100</v>
      </c>
      <c r="T34" s="1559" t="s">
        <v>8</v>
      </c>
      <c r="U34" s="1560">
        <f t="shared" si="13"/>
        <v>100</v>
      </c>
      <c r="V34" s="1559" t="s">
        <v>8</v>
      </c>
      <c r="W34" s="1560">
        <f t="shared" si="14"/>
        <v>100</v>
      </c>
      <c r="X34" s="1553"/>
      <c r="Y34" s="3429"/>
      <c r="Z34" s="1561">
        <f t="shared" si="15"/>
        <v>111</v>
      </c>
      <c r="AA34" s="1562">
        <f t="shared" si="3"/>
        <v>1</v>
      </c>
      <c r="AB34" s="1562">
        <f t="shared" si="4"/>
        <v>1</v>
      </c>
      <c r="AC34" s="1562">
        <f t="shared" si="5"/>
        <v>1</v>
      </c>
    </row>
    <row r="35" spans="1:29" ht="15">
      <c r="A35" s="606" t="s">
        <v>699</v>
      </c>
      <c r="B35" s="886"/>
      <c r="C35" s="2591" t="s">
        <v>1</v>
      </c>
      <c r="D35" s="2592"/>
      <c r="E35" s="2593"/>
      <c r="F35" s="2594"/>
      <c r="G35" s="2595"/>
      <c r="H35" s="2596"/>
      <c r="I35" s="2593"/>
      <c r="J35" s="2596"/>
      <c r="K35" s="1596"/>
      <c r="L35" s="2129"/>
      <c r="M35" s="2130"/>
      <c r="N35" s="2119"/>
      <c r="O35" s="2130"/>
      <c r="P35" s="3391" t="str">
        <f>A35</f>
        <v>成交单价（元/平方米）</v>
      </c>
      <c r="Q35" s="3391"/>
      <c r="R35" s="3486">
        <f>E35</f>
        <v>0</v>
      </c>
      <c r="S35" s="3486"/>
      <c r="T35" s="3486">
        <f>G35</f>
        <v>0</v>
      </c>
      <c r="U35" s="3486"/>
      <c r="V35" s="3486">
        <f>I35</f>
        <v>0</v>
      </c>
      <c r="W35" s="3486"/>
      <c r="X35" s="1545"/>
      <c r="Y35" s="1567"/>
      <c r="Z35" s="1545"/>
      <c r="AA35" s="1545"/>
      <c r="AB35" s="1545"/>
      <c r="AC35" s="1545"/>
    </row>
    <row r="36" spans="1:29" ht="15.75" thickBot="1">
      <c r="A36" s="614" t="s">
        <v>2715</v>
      </c>
      <c r="B36" s="887"/>
      <c r="C36" s="2597" t="e">
        <f>R37</f>
        <v>#DIV/0!</v>
      </c>
      <c r="D36" s="2598"/>
      <c r="E36" s="2599" t="e">
        <f>R36</f>
        <v>#DIV/0!</v>
      </c>
      <c r="F36" s="2599"/>
      <c r="G36" s="2597" t="e">
        <f>T36</f>
        <v>#DIV/0!</v>
      </c>
      <c r="H36" s="2598"/>
      <c r="I36" s="2599" t="e">
        <f>V36</f>
        <v>#DIV/0!</v>
      </c>
      <c r="J36" s="2598"/>
      <c r="K36" s="1597"/>
      <c r="L36" s="2129"/>
      <c r="M36" s="2130"/>
      <c r="N36" s="2119"/>
      <c r="O36" s="2130"/>
      <c r="P36" s="3391" t="str">
        <f>A36</f>
        <v>比较价格（元/平方米）</v>
      </c>
      <c r="Q36" s="3391"/>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45"/>
      <c r="Y36" s="1545"/>
      <c r="Z36" s="1545"/>
      <c r="AA36" s="1545"/>
      <c r="AB36" s="1545"/>
      <c r="AC36" s="1545"/>
    </row>
    <row r="37" spans="1:29" ht="15.75" thickBot="1">
      <c r="A37" s="620" t="s">
        <v>2878</v>
      </c>
      <c r="B37" s="621"/>
      <c r="C37" s="2600" t="e">
        <f>R37</f>
        <v>#DIV/0!</v>
      </c>
      <c r="D37" s="2600"/>
      <c r="E37" s="2600"/>
      <c r="F37" s="2600"/>
      <c r="G37" s="2600"/>
      <c r="H37" s="2600"/>
      <c r="I37" s="2600"/>
      <c r="J37" s="2600"/>
      <c r="K37" s="1598"/>
      <c r="L37" s="2129"/>
      <c r="M37" s="2130"/>
      <c r="N37" s="2130"/>
      <c r="O37" s="2130"/>
      <c r="P37" s="3388" t="str">
        <f>A37</f>
        <v>估价对象XX用房的比较价格（楼面单价，元/平方米）</v>
      </c>
      <c r="Q37" s="3389"/>
      <c r="R37" s="3485" t="e">
        <f>IF(F1="售价",ROUND(AVERAGE(R36:V36),0),ROUND(AVERAGE(R36:V36),1))</f>
        <v>#DIV/0!</v>
      </c>
      <c r="S37" s="3485"/>
      <c r="T37" s="3485"/>
      <c r="U37" s="3485"/>
      <c r="V37" s="3485"/>
      <c r="W37" s="348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521</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522</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523</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538</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493</v>
      </c>
      <c r="B46" s="645"/>
      <c r="C46" s="2757" t="str">
        <f>YEAR(C7)&amp;"-"&amp;MONTH(C7)</f>
        <v>2019-9</v>
      </c>
      <c r="D46" s="2759">
        <f>EDATE(C46,-1)</f>
        <v>43678</v>
      </c>
      <c r="E46" s="2759">
        <f t="shared" ref="E46:O46" si="16">EDATE(D46,-1)</f>
        <v>43647</v>
      </c>
      <c r="F46" s="2759">
        <f t="shared" si="16"/>
        <v>43617</v>
      </c>
      <c r="G46" s="2759">
        <f t="shared" si="16"/>
        <v>43586</v>
      </c>
      <c r="H46" s="2759">
        <f t="shared" si="16"/>
        <v>43556</v>
      </c>
      <c r="I46" s="2759">
        <f t="shared" si="16"/>
        <v>43525</v>
      </c>
      <c r="J46" s="2759">
        <f t="shared" si="16"/>
        <v>43497</v>
      </c>
      <c r="K46" s="2759">
        <f t="shared" si="16"/>
        <v>43466</v>
      </c>
      <c r="L46" s="2759">
        <f t="shared" si="16"/>
        <v>43435</v>
      </c>
      <c r="M46" s="2759">
        <f t="shared" si="16"/>
        <v>43405</v>
      </c>
      <c r="N46" s="2759">
        <f t="shared" si="16"/>
        <v>43374</v>
      </c>
      <c r="O46" s="2759">
        <f t="shared" si="16"/>
        <v>43344</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539</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495</v>
      </c>
      <c r="B49" s="647"/>
      <c r="C49" s="659" t="s">
        <v>540</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541</v>
      </c>
      <c r="B51" s="664" t="s">
        <v>498</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501</v>
      </c>
      <c r="C53" s="673" t="s">
        <v>700</v>
      </c>
      <c r="D53" s="673" t="s">
        <v>701</v>
      </c>
      <c r="E53" s="673" t="s">
        <v>702</v>
      </c>
      <c r="F53" s="673" t="s">
        <v>703</v>
      </c>
      <c r="G53" s="673" t="s">
        <v>704</v>
      </c>
      <c r="H53" s="673" t="s">
        <v>705</v>
      </c>
      <c r="I53" s="673" t="s">
        <v>706</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503</v>
      </c>
      <c r="B61" s="664" t="s">
        <v>550</v>
      </c>
      <c r="C61" s="702" t="s">
        <v>543</v>
      </c>
      <c r="D61" s="702" t="s">
        <v>544</v>
      </c>
      <c r="E61" s="702" t="s">
        <v>545</v>
      </c>
      <c r="F61" s="702" t="s">
        <v>546</v>
      </c>
      <c r="G61" s="702" t="s">
        <v>547</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2512</v>
      </c>
      <c r="C63" s="707" t="s">
        <v>543</v>
      </c>
      <c r="D63" s="707" t="s">
        <v>544</v>
      </c>
      <c r="E63" s="707" t="s">
        <v>545</v>
      </c>
      <c r="F63" s="707" t="s">
        <v>546</v>
      </c>
      <c r="G63" s="707" t="s">
        <v>547</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2513</v>
      </c>
      <c r="C65" s="2562" t="s">
        <v>2514</v>
      </c>
      <c r="D65" s="2562" t="s">
        <v>2515</v>
      </c>
      <c r="E65" s="2562" t="s">
        <v>2516</v>
      </c>
      <c r="F65" s="2562" t="s">
        <v>2517</v>
      </c>
      <c r="G65" s="2562" t="s">
        <v>2518</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707</v>
      </c>
      <c r="C67" s="707" t="s">
        <v>543</v>
      </c>
      <c r="D67" s="707" t="s">
        <v>544</v>
      </c>
      <c r="E67" s="707" t="s">
        <v>545</v>
      </c>
      <c r="F67" s="707" t="s">
        <v>546</v>
      </c>
      <c r="G67" s="707" t="s">
        <v>547</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708</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515</v>
      </c>
      <c r="B77" s="664" t="s">
        <v>714</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779</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780</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788</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789</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790</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8" sqref="A38:D38"/>
      <selection pane="bottomLeft" activeCell="A38" sqref="A38:D3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2260</v>
      </c>
      <c r="C1" s="3520" t="s">
        <v>2261</v>
      </c>
      <c r="D1" s="3521"/>
      <c r="E1" s="3521"/>
      <c r="F1" s="3521"/>
      <c r="G1" s="3521"/>
      <c r="H1" s="3521"/>
      <c r="I1" s="3521"/>
      <c r="J1" s="3521"/>
      <c r="K1" s="3521"/>
      <c r="L1" s="3521"/>
      <c r="M1" s="3521"/>
      <c r="N1" s="3521"/>
      <c r="O1" s="3521"/>
      <c r="P1" s="3521"/>
      <c r="Q1" s="3521"/>
      <c r="R1" s="3521"/>
      <c r="S1" s="3522"/>
      <c r="T1" s="2219" t="s">
        <v>2262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2263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2871</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2870</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2869</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2882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2868</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2867</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2264</v>
      </c>
      <c r="B17" s="2263" t="s">
        <v>2265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791</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792</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793</v>
      </c>
      <c r="B22" s="52">
        <f>SUM(B24:B10000)</f>
        <v>0</v>
      </c>
      <c r="C22" s="3517" t="s">
        <v>19</v>
      </c>
      <c r="D22" s="3518"/>
      <c r="E22" s="3518"/>
      <c r="F22" s="3518"/>
      <c r="G22" s="3518"/>
      <c r="H22" s="3518"/>
      <c r="I22" s="3518"/>
      <c r="J22" s="3518"/>
      <c r="K22" s="3518"/>
      <c r="L22" s="3518"/>
      <c r="M22" s="3518"/>
      <c r="N22" s="3518"/>
      <c r="O22" s="3518"/>
      <c r="P22" s="3518"/>
      <c r="Q22" s="3519"/>
      <c r="R22" s="489" t="e">
        <f>ROUND(S22*10000/B22,0)</f>
        <v>#DIV/0!</v>
      </c>
      <c r="S22" s="52">
        <f>SUM(S24:S10000)</f>
        <v>0</v>
      </c>
    </row>
    <row r="23" spans="1:45" s="1599" customFormat="1" ht="24">
      <c r="A23" s="16" t="s">
        <v>794</v>
      </c>
      <c r="B23" s="16" t="s">
        <v>795</v>
      </c>
      <c r="C23" s="16" t="s">
        <v>796</v>
      </c>
      <c r="D23" s="16" t="str">
        <f>B5</f>
        <v>修正项2</v>
      </c>
      <c r="E23" s="16" t="s">
        <v>796</v>
      </c>
      <c r="F23" s="16" t="str">
        <f>B7</f>
        <v>修正项3</v>
      </c>
      <c r="G23" s="16" t="s">
        <v>796</v>
      </c>
      <c r="H23" s="16" t="str">
        <f>B9</f>
        <v>修正项4</v>
      </c>
      <c r="I23" s="16" t="s">
        <v>796</v>
      </c>
      <c r="J23" s="16" t="str">
        <f>B11</f>
        <v>修正项5</v>
      </c>
      <c r="K23" s="16" t="s">
        <v>796</v>
      </c>
      <c r="L23" s="16" t="str">
        <f>B13</f>
        <v>修正项6</v>
      </c>
      <c r="M23" s="16" t="s">
        <v>796</v>
      </c>
      <c r="N23" s="16" t="str">
        <f>B15</f>
        <v>修正项7</v>
      </c>
      <c r="O23" s="16" t="s">
        <v>796</v>
      </c>
      <c r="P23" s="16" t="str">
        <f>B17</f>
        <v>楼层</v>
      </c>
      <c r="Q23" s="16" t="s">
        <v>796</v>
      </c>
      <c r="R23" s="490" t="s">
        <v>797</v>
      </c>
      <c r="S23" s="16" t="s">
        <v>798</v>
      </c>
      <c r="T23" s="17"/>
      <c r="U23" s="17"/>
      <c r="V23" s="17"/>
      <c r="W23" s="17"/>
      <c r="X23" s="17"/>
      <c r="Y23" s="17"/>
      <c r="Z23" s="17"/>
      <c r="AA23" s="17"/>
      <c r="AB23" s="17"/>
      <c r="AC23" s="17"/>
      <c r="AD23" s="17"/>
      <c r="AE23" s="17"/>
      <c r="AF23" s="17"/>
      <c r="AG23" s="17"/>
      <c r="AH23" s="17"/>
      <c r="AI23" s="17"/>
    </row>
    <row r="24" spans="1:45" s="1600" customFormat="1">
      <c r="A24" s="960" t="s">
        <v>799</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1863</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受贵公司委托，我公司对沧州市黄骅市南大港产业园区出让国有建设用地使用权抵押价格进行了预评估。</v>
      </c>
    </row>
    <row r="5" spans="1:4" ht="18.75">
      <c r="A5" s="1779" t="s">
        <v>1864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93.75">
      <c r="A7" s="2828" t="s">
        <v>2703</v>
      </c>
    </row>
    <row r="8" spans="1:4" ht="18.75">
      <c r="A8" s="1779" t="s">
        <v>1865</v>
      </c>
    </row>
    <row r="9" spans="1:4" ht="56.25">
      <c r="A9" s="1781"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1983</v>
      </c>
    </row>
    <row r="11" spans="1:4" ht="18.75">
      <c r="A11" s="1765" t="str">
        <f>TEXT(项目基本情况!D3,"yyyy年m月d日;;")&amp;IF(项目基本情况!B3=项目基本情况!D3,"（评估专业人员勘察现场之日）","")</f>
        <v>2019年9月16日（评估专业人员勘察现场之日）</v>
      </c>
    </row>
    <row r="12" spans="1:4" ht="18.75">
      <c r="A12" s="1782" t="s">
        <v>1982</v>
      </c>
    </row>
    <row r="13" spans="1:4" ht="18.75">
      <c r="A13" s="1776" t="s">
        <v>2028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2031</v>
      </c>
    </row>
    <row r="23" spans="1:1" ht="18.75">
      <c r="A23" s="2830" t="s">
        <v>2704</v>
      </c>
    </row>
    <row r="24" spans="1:1" ht="18.75">
      <c r="A24" s="1776" t="s">
        <v>2032</v>
      </c>
    </row>
    <row r="25" spans="1:1" ht="75">
      <c r="A25" s="1776"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1985</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2743</v>
      </c>
      <c r="C1" s="2959">
        <f>项目基本情况!D3</f>
        <v>43724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2774</v>
      </c>
      <c r="C2" s="2960">
        <f>'数据-取费表'!B22</f>
        <v>2</v>
      </c>
      <c r="D2" s="2955" t="s">
        <v>2744</v>
      </c>
      <c r="E2" s="2958">
        <f ca="1">INDIRECT("I"&amp;$I$1)/100</f>
        <v>4.7500000000000001E-2</v>
      </c>
      <c r="G2" s="2895"/>
      <c r="H2" s="2895"/>
      <c r="I2" s="2895" t="s">
        <v>2745</v>
      </c>
      <c r="K2" s="2895"/>
      <c r="L2" s="2895"/>
      <c r="M2" s="2895"/>
      <c r="N2" s="2895" t="s">
        <v>2746</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2776</v>
      </c>
      <c r="C3" s="2957">
        <f>'数据-取费表'!B19</f>
        <v>0</v>
      </c>
      <c r="D3" s="2955" t="s">
        <v>2744</v>
      </c>
      <c r="E3" s="2958">
        <f ca="1">INDIRECT("J"&amp;$J$1)/100</f>
        <v>0</v>
      </c>
      <c r="G3" s="2897" t="s">
        <v>2747</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2775</v>
      </c>
      <c r="C4" s="2958">
        <f ca="1">N4/100</f>
        <v>1.4999999999999999E-2</v>
      </c>
      <c r="G4" s="2903" t="s">
        <v>2748</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2749</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2750</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2751</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2752</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2753</v>
      </c>
      <c r="C10" s="2922"/>
      <c r="D10" s="2922"/>
      <c r="E10" s="2922"/>
      <c r="F10" s="2922"/>
      <c r="G10" s="2922"/>
      <c r="H10" s="2922"/>
      <c r="I10" s="2896"/>
      <c r="J10" s="2896"/>
      <c r="K10" s="2922"/>
      <c r="L10" s="2923" t="s">
        <v>2754</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2755</v>
      </c>
      <c r="C11" s="2927" t="s">
        <v>2756</v>
      </c>
      <c r="D11" s="2928" t="s">
        <v>2757</v>
      </c>
      <c r="E11" s="2929"/>
      <c r="F11" s="2928" t="s">
        <v>2758</v>
      </c>
      <c r="G11" s="2930"/>
      <c r="H11" s="2929"/>
      <c r="I11" s="2928" t="s">
        <v>2759</v>
      </c>
      <c r="J11" s="2929"/>
      <c r="K11" s="2925"/>
      <c r="L11" s="2926" t="s">
        <v>2755</v>
      </c>
      <c r="M11" s="2927" t="s">
        <v>2756</v>
      </c>
      <c r="N11" s="2926" t="s">
        <v>2760</v>
      </c>
      <c r="O11" s="2928" t="s">
        <v>2761</v>
      </c>
      <c r="P11" s="2930"/>
      <c r="Q11" s="2930"/>
      <c r="R11" s="2930"/>
      <c r="S11" s="2930"/>
      <c r="T11" s="2929"/>
      <c r="U11" s="2928" t="s">
        <v>2762</v>
      </c>
      <c r="V11" s="2930"/>
      <c r="W11" s="2929"/>
      <c r="X11" s="2926" t="s">
        <v>2763</v>
      </c>
      <c r="Y11" s="2926" t="s">
        <v>2764</v>
      </c>
      <c r="Z11" s="2926" t="s">
        <v>2765</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2766</v>
      </c>
      <c r="E12" s="2935" t="s">
        <v>2767</v>
      </c>
      <c r="F12" s="2935" t="s">
        <v>2768</v>
      </c>
      <c r="G12" s="2935" t="s">
        <v>2769</v>
      </c>
      <c r="H12" s="2935" t="s">
        <v>2751</v>
      </c>
      <c r="I12" s="2936" t="s">
        <v>2770</v>
      </c>
      <c r="J12" s="2936" t="s">
        <v>2770</v>
      </c>
      <c r="K12" s="2932"/>
      <c r="L12" s="2933"/>
      <c r="M12" s="2934"/>
      <c r="N12" s="2933"/>
      <c r="O12" s="2936" t="s">
        <v>2771</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2772</v>
      </c>
      <c r="C13" s="2940">
        <v>42301</v>
      </c>
      <c r="D13" s="2941">
        <v>4.3499999999999996</v>
      </c>
      <c r="E13" s="2941">
        <v>4.3499999999999996</v>
      </c>
      <c r="F13" s="2941">
        <v>4.75</v>
      </c>
      <c r="G13" s="2941">
        <v>4.75</v>
      </c>
      <c r="H13" s="2941">
        <v>4.9000000000000004</v>
      </c>
      <c r="I13" s="2941">
        <v>2.75</v>
      </c>
      <c r="J13" s="2941">
        <v>3.25</v>
      </c>
      <c r="K13" s="2938"/>
      <c r="L13" s="2939" t="s">
        <v>2772</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2773</v>
      </c>
      <c r="Y42" s="2945" t="s">
        <v>2773</v>
      </c>
      <c r="Z42" s="2945" t="s">
        <v>2773</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2773</v>
      </c>
      <c r="Y43" s="2945" t="s">
        <v>2773</v>
      </c>
      <c r="Z43" s="2945" t="s">
        <v>2773</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2773</v>
      </c>
      <c r="Y44" s="2945" t="s">
        <v>2773</v>
      </c>
      <c r="Z44" s="2945" t="s">
        <v>2773</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2773</v>
      </c>
      <c r="Y45" s="2945" t="s">
        <v>2773</v>
      </c>
      <c r="Z45" s="2945" t="s">
        <v>2773</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2773</v>
      </c>
      <c r="Y46" s="2945" t="s">
        <v>2773</v>
      </c>
      <c r="Z46" s="2945" t="s">
        <v>2773</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2773</v>
      </c>
      <c r="Y47" s="2945" t="s">
        <v>2773</v>
      </c>
      <c r="Z47" s="2945" t="s">
        <v>2773</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2773</v>
      </c>
      <c r="Y48" s="2945" t="s">
        <v>2773</v>
      </c>
      <c r="Z48" s="2945" t="s">
        <v>2773</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2773</v>
      </c>
      <c r="Y49" s="2945" t="s">
        <v>2773</v>
      </c>
      <c r="Z49" s="2945" t="s">
        <v>2773</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2773</v>
      </c>
      <c r="Y50" s="2945" t="s">
        <v>2773</v>
      </c>
      <c r="Z50" s="2945" t="s">
        <v>2773</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2773</v>
      </c>
      <c r="V51" s="2945" t="s">
        <v>2773</v>
      </c>
      <c r="W51" s="2945" t="s">
        <v>2773</v>
      </c>
      <c r="X51" s="2945" t="s">
        <v>2773</v>
      </c>
      <c r="Y51" s="2945" t="s">
        <v>2773</v>
      </c>
      <c r="Z51" s="2945" t="s">
        <v>2773</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2773</v>
      </c>
      <c r="J55" s="2945" t="s">
        <v>2773</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workbookViewId="0">
      <selection activeCell="A91" sqref="A91:XFD94"/>
    </sheetView>
  </sheetViews>
  <sheetFormatPr defaultColWidth="18" defaultRowHeight="11.25"/>
  <cols>
    <col min="1" max="1" width="7" style="3202" customWidth="1"/>
    <col min="2" max="2" width="20.5" style="3202" customWidth="1"/>
    <col min="3" max="3" width="8.625" style="3202" customWidth="1"/>
    <col min="4" max="4" width="13" style="3202" customWidth="1"/>
    <col min="5" max="5" width="7.875" style="3202" customWidth="1"/>
    <col min="6" max="6" width="9.25" style="3202" customWidth="1"/>
    <col min="7" max="7" width="11.875" style="3202" customWidth="1"/>
    <col min="8" max="8" width="8.375" style="3202" customWidth="1"/>
    <col min="9" max="9" width="16.875" style="3202" customWidth="1"/>
    <col min="10" max="10" width="8.625" style="3202" hidden="1" customWidth="1"/>
    <col min="11" max="11" width="10.125" style="3202" customWidth="1"/>
    <col min="12" max="12" width="22.5" style="3202" customWidth="1"/>
    <col min="13" max="13" width="7" style="3202" hidden="1" customWidth="1"/>
    <col min="14" max="15" width="10.25" style="3202" customWidth="1"/>
    <col min="16" max="16" width="6.125" style="3202" customWidth="1"/>
    <col min="17" max="17" width="7.5" style="3202" hidden="1" customWidth="1"/>
    <col min="18" max="18" width="11.75" style="3202" customWidth="1"/>
    <col min="19" max="16384" width="18" style="3202"/>
  </cols>
  <sheetData>
    <row r="2" spans="2:18" s="3201" customFormat="1" ht="22.5">
      <c r="B2" s="3201" t="s">
        <v>3034</v>
      </c>
      <c r="C2" s="3201" t="s">
        <v>3035</v>
      </c>
      <c r="D2" s="3201" t="s">
        <v>3036</v>
      </c>
      <c r="E2" s="3201" t="s">
        <v>3037</v>
      </c>
      <c r="F2" s="3201" t="s">
        <v>3038</v>
      </c>
      <c r="G2" s="3201" t="s">
        <v>3039</v>
      </c>
      <c r="H2" s="3201" t="s">
        <v>3040</v>
      </c>
      <c r="I2" s="3201" t="s">
        <v>1989</v>
      </c>
      <c r="J2" s="3201" t="s">
        <v>3041</v>
      </c>
      <c r="K2" s="3201" t="s">
        <v>3042</v>
      </c>
      <c r="L2" s="3201" t="s">
        <v>3043</v>
      </c>
      <c r="M2" s="3201" t="s">
        <v>3044</v>
      </c>
      <c r="N2" s="3201" t="s">
        <v>3045</v>
      </c>
      <c r="O2" s="3201" t="s">
        <v>3046</v>
      </c>
      <c r="P2" s="3201" t="s">
        <v>3047</v>
      </c>
      <c r="Q2" s="3201" t="s">
        <v>3048</v>
      </c>
      <c r="R2" s="3201" t="s">
        <v>3514</v>
      </c>
    </row>
    <row r="3" spans="2:18">
      <c r="B3" s="3202" t="s">
        <v>3312</v>
      </c>
      <c r="C3" s="3202" t="s">
        <v>3049</v>
      </c>
      <c r="D3" s="3202" t="s">
        <v>3050</v>
      </c>
      <c r="E3" s="3202" t="s">
        <v>3051</v>
      </c>
      <c r="F3" s="3202" t="s">
        <v>3052</v>
      </c>
      <c r="G3" s="3202" t="s">
        <v>3053</v>
      </c>
      <c r="H3" s="3202">
        <v>3047.05</v>
      </c>
      <c r="I3" s="3202" t="s">
        <v>3054</v>
      </c>
      <c r="J3" s="3202" t="s">
        <v>2773</v>
      </c>
      <c r="K3" s="3202" t="s">
        <v>3055</v>
      </c>
      <c r="L3" s="3202" t="s">
        <v>3056</v>
      </c>
      <c r="M3" s="3202">
        <v>310</v>
      </c>
      <c r="N3" s="3202">
        <v>67.83</v>
      </c>
      <c r="O3" s="3202">
        <v>2034.75</v>
      </c>
      <c r="P3" s="3202">
        <v>3.33</v>
      </c>
      <c r="Q3" s="3202" t="s">
        <v>3057</v>
      </c>
      <c r="R3" s="3208">
        <f>N3/666.67*10000</f>
        <v>1017.4449127754363</v>
      </c>
    </row>
    <row r="4" spans="2:18" s="3205" customFormat="1">
      <c r="B4" s="3205" t="s">
        <v>3058</v>
      </c>
      <c r="C4" s="3205" t="s">
        <v>3049</v>
      </c>
      <c r="D4" s="3205" t="s">
        <v>3050</v>
      </c>
      <c r="E4" s="3205" t="s">
        <v>3051</v>
      </c>
      <c r="F4" s="3205" t="s">
        <v>3052</v>
      </c>
      <c r="G4" s="3205" t="s">
        <v>3059</v>
      </c>
      <c r="H4" s="3205">
        <v>2705.46</v>
      </c>
      <c r="I4" s="3205" t="s">
        <v>3060</v>
      </c>
      <c r="J4" s="3205" t="s">
        <v>2773</v>
      </c>
      <c r="K4" s="3205" t="s">
        <v>3061</v>
      </c>
      <c r="L4" s="3205" t="s">
        <v>3062</v>
      </c>
      <c r="M4" s="3205">
        <v>171</v>
      </c>
      <c r="N4" s="3205">
        <v>42.14</v>
      </c>
      <c r="O4" s="3205">
        <v>632.04999999999995</v>
      </c>
      <c r="P4" s="3205">
        <v>0.59</v>
      </c>
      <c r="Q4" s="3205" t="s">
        <v>3063</v>
      </c>
      <c r="R4" s="3212">
        <f t="shared" ref="R4:R67" si="0">N4/666.67*10000</f>
        <v>632.09683951580246</v>
      </c>
    </row>
    <row r="5" spans="2:18">
      <c r="B5" s="3202" t="s">
        <v>3064</v>
      </c>
      <c r="C5" s="3202" t="s">
        <v>3049</v>
      </c>
      <c r="D5" s="3202" t="s">
        <v>3050</v>
      </c>
      <c r="E5" s="3202" t="s">
        <v>3051</v>
      </c>
      <c r="F5" s="3202" t="s">
        <v>3052</v>
      </c>
      <c r="G5" s="3202" t="s">
        <v>3065</v>
      </c>
      <c r="H5" s="3202">
        <v>10608.51</v>
      </c>
      <c r="I5" s="3202" t="s">
        <v>3066</v>
      </c>
      <c r="J5" s="3202" t="s">
        <v>2773</v>
      </c>
      <c r="K5" s="3202" t="s">
        <v>3067</v>
      </c>
      <c r="L5" s="3202" t="s">
        <v>3068</v>
      </c>
      <c r="M5" s="3202">
        <v>330</v>
      </c>
      <c r="N5" s="3202">
        <v>20.74</v>
      </c>
      <c r="O5" s="3202">
        <v>259.23</v>
      </c>
      <c r="P5" s="3202">
        <v>0.3</v>
      </c>
      <c r="Q5" s="3202" t="s">
        <v>3057</v>
      </c>
      <c r="R5" s="3208">
        <f t="shared" si="0"/>
        <v>311.09844450777746</v>
      </c>
    </row>
    <row r="6" spans="2:18" s="3213" customFormat="1">
      <c r="B6" s="3213" t="s">
        <v>3534</v>
      </c>
      <c r="C6" s="3213" t="s">
        <v>3049</v>
      </c>
      <c r="D6" s="3213" t="s">
        <v>3050</v>
      </c>
      <c r="E6" s="3213" t="s">
        <v>3051</v>
      </c>
      <c r="F6" s="3213" t="s">
        <v>3052</v>
      </c>
      <c r="G6" s="3213" t="s">
        <v>3069</v>
      </c>
      <c r="H6" s="3213">
        <v>207576.3</v>
      </c>
      <c r="I6" s="3213" t="s">
        <v>3070</v>
      </c>
      <c r="J6" s="3213" t="s">
        <v>2773</v>
      </c>
      <c r="K6" s="3213" t="s">
        <v>3071</v>
      </c>
      <c r="L6" s="3213" t="s">
        <v>3072</v>
      </c>
      <c r="M6" s="3213">
        <v>24850</v>
      </c>
      <c r="N6" s="3213">
        <v>79.81</v>
      </c>
      <c r="O6" s="3213">
        <v>798.1</v>
      </c>
      <c r="P6" s="3213">
        <v>0.61</v>
      </c>
      <c r="Q6" s="3213" t="s">
        <v>3063</v>
      </c>
      <c r="R6" s="3214">
        <f t="shared" si="0"/>
        <v>1197.1440142799288</v>
      </c>
    </row>
    <row r="7" spans="2:18">
      <c r="B7" s="3202" t="s">
        <v>3535</v>
      </c>
      <c r="C7" s="3202" t="s">
        <v>3049</v>
      </c>
      <c r="D7" s="3202" t="s">
        <v>3050</v>
      </c>
      <c r="E7" s="3202" t="s">
        <v>3051</v>
      </c>
      <c r="F7" s="3202" t="s">
        <v>3073</v>
      </c>
      <c r="G7" s="3202" t="s">
        <v>3065</v>
      </c>
      <c r="H7" s="3202">
        <v>33927.47</v>
      </c>
      <c r="I7" s="3202" t="s">
        <v>3074</v>
      </c>
      <c r="J7" s="3202" t="s">
        <v>2773</v>
      </c>
      <c r="K7" s="3202" t="s">
        <v>3075</v>
      </c>
      <c r="L7" s="3202" t="s">
        <v>3076</v>
      </c>
      <c r="M7" s="3202">
        <v>6100</v>
      </c>
      <c r="N7" s="3202">
        <v>119.86</v>
      </c>
      <c r="O7" s="3202">
        <v>719.17</v>
      </c>
      <c r="P7" s="3202">
        <v>3.39</v>
      </c>
      <c r="Q7" s="3202" t="s">
        <v>3057</v>
      </c>
      <c r="R7" s="3208">
        <f t="shared" si="0"/>
        <v>1797.8910105449474</v>
      </c>
    </row>
    <row r="8" spans="2:18">
      <c r="B8" s="3202" t="s">
        <v>3077</v>
      </c>
      <c r="C8" s="3202" t="s">
        <v>3049</v>
      </c>
      <c r="D8" s="3202" t="s">
        <v>3050</v>
      </c>
      <c r="E8" s="3202" t="s">
        <v>3051</v>
      </c>
      <c r="F8" s="3202" t="s">
        <v>3052</v>
      </c>
      <c r="G8" s="3202" t="s">
        <v>3078</v>
      </c>
      <c r="H8" s="3202">
        <v>8580.93</v>
      </c>
      <c r="I8" s="3202" t="s">
        <v>3079</v>
      </c>
      <c r="J8" s="3202" t="s">
        <v>2773</v>
      </c>
      <c r="K8" s="3202" t="s">
        <v>3080</v>
      </c>
      <c r="L8" s="3202" t="s">
        <v>3081</v>
      </c>
      <c r="M8" s="3202">
        <v>2700</v>
      </c>
      <c r="N8" s="3202">
        <v>209.77</v>
      </c>
      <c r="O8" s="3202">
        <v>2097.67</v>
      </c>
      <c r="P8" s="3202">
        <v>178.35</v>
      </c>
      <c r="Q8" s="3202" t="s">
        <v>3057</v>
      </c>
      <c r="R8" s="3208">
        <f t="shared" si="0"/>
        <v>3146.5342673286641</v>
      </c>
    </row>
    <row r="9" spans="2:18">
      <c r="B9" s="3202" t="s">
        <v>3082</v>
      </c>
      <c r="C9" s="3202" t="s">
        <v>3049</v>
      </c>
      <c r="D9" s="3202" t="s">
        <v>3050</v>
      </c>
      <c r="E9" s="3202" t="s">
        <v>3051</v>
      </c>
      <c r="F9" s="3202" t="s">
        <v>3052</v>
      </c>
      <c r="G9" s="3202" t="s">
        <v>3069</v>
      </c>
      <c r="H9" s="3202">
        <v>195.1</v>
      </c>
      <c r="I9" s="3202" t="s">
        <v>3079</v>
      </c>
      <c r="J9" s="3202" t="s">
        <v>2773</v>
      </c>
      <c r="K9" s="3202" t="s">
        <v>3083</v>
      </c>
      <c r="L9" s="3202" t="s">
        <v>3084</v>
      </c>
      <c r="M9" s="3202">
        <v>21</v>
      </c>
      <c r="N9" s="3202">
        <v>71.760000000000005</v>
      </c>
      <c r="O9" s="3202">
        <v>717.58</v>
      </c>
      <c r="P9" s="3202">
        <v>5</v>
      </c>
      <c r="Q9" s="3202" t="s">
        <v>3057</v>
      </c>
      <c r="R9" s="3208">
        <f t="shared" si="0"/>
        <v>1076.3946180269099</v>
      </c>
    </row>
    <row r="10" spans="2:18">
      <c r="B10" s="3202" t="s">
        <v>3085</v>
      </c>
      <c r="C10" s="3202" t="s">
        <v>3049</v>
      </c>
      <c r="D10" s="3202" t="s">
        <v>3050</v>
      </c>
      <c r="E10" s="3202" t="s">
        <v>3051</v>
      </c>
      <c r="F10" s="3202" t="s">
        <v>3052</v>
      </c>
      <c r="G10" s="3202" t="s">
        <v>3059</v>
      </c>
      <c r="H10" s="3202">
        <v>1318.27</v>
      </c>
      <c r="I10" s="3202" t="s">
        <v>3070</v>
      </c>
      <c r="J10" s="3202" t="s">
        <v>2773</v>
      </c>
      <c r="K10" s="3202" t="s">
        <v>3086</v>
      </c>
      <c r="L10" s="3202" t="s">
        <v>3087</v>
      </c>
      <c r="M10" s="3202">
        <v>65.5</v>
      </c>
      <c r="N10" s="3202">
        <v>33.119999999999997</v>
      </c>
      <c r="O10" s="3202">
        <v>331.24</v>
      </c>
      <c r="P10" s="3202">
        <v>0</v>
      </c>
      <c r="Q10" s="3202" t="s">
        <v>3057</v>
      </c>
      <c r="R10" s="3208">
        <f t="shared" si="0"/>
        <v>496.79751601241998</v>
      </c>
    </row>
    <row r="11" spans="2:18" s="3205" customFormat="1">
      <c r="B11" s="3205" t="s">
        <v>3313</v>
      </c>
      <c r="C11" s="3205" t="s">
        <v>3049</v>
      </c>
      <c r="D11" s="3205" t="s">
        <v>3050</v>
      </c>
      <c r="E11" s="3205" t="s">
        <v>3051</v>
      </c>
      <c r="F11" s="3205" t="s">
        <v>3052</v>
      </c>
      <c r="G11" s="3205" t="s">
        <v>3059</v>
      </c>
      <c r="H11" s="3205">
        <v>18961</v>
      </c>
      <c r="I11" s="3205" t="s">
        <v>3054</v>
      </c>
      <c r="J11" s="3205" t="s">
        <v>2773</v>
      </c>
      <c r="K11" s="3205" t="s">
        <v>3088</v>
      </c>
      <c r="L11" s="3205" t="s">
        <v>3089</v>
      </c>
      <c r="M11" s="3205">
        <v>865</v>
      </c>
      <c r="N11" s="3205">
        <v>30.41</v>
      </c>
      <c r="O11" s="3205">
        <v>912.39</v>
      </c>
      <c r="P11" s="3205">
        <v>0.57999999999999996</v>
      </c>
      <c r="Q11" s="3205" t="s">
        <v>3090</v>
      </c>
      <c r="R11" s="3208">
        <f t="shared" si="0"/>
        <v>456.14771926140372</v>
      </c>
    </row>
    <row r="12" spans="2:18">
      <c r="B12" s="3202" t="s">
        <v>3091</v>
      </c>
      <c r="C12" s="3202" t="s">
        <v>3049</v>
      </c>
      <c r="D12" s="3202" t="s">
        <v>3050</v>
      </c>
      <c r="E12" s="3202" t="s">
        <v>3051</v>
      </c>
      <c r="F12" s="3202" t="s">
        <v>3052</v>
      </c>
      <c r="G12" s="3202" t="s">
        <v>3059</v>
      </c>
      <c r="H12" s="3202">
        <v>102024</v>
      </c>
      <c r="I12" s="3202" t="s">
        <v>3092</v>
      </c>
      <c r="J12" s="3202" t="s">
        <v>2773</v>
      </c>
      <c r="K12" s="3202" t="s">
        <v>3088</v>
      </c>
      <c r="L12" s="3202" t="s">
        <v>3089</v>
      </c>
      <c r="M12" s="3202">
        <v>4620</v>
      </c>
      <c r="N12" s="3202">
        <v>30.19</v>
      </c>
      <c r="O12" s="3202">
        <v>1509.45</v>
      </c>
      <c r="P12" s="3202">
        <v>0.43</v>
      </c>
      <c r="Q12" s="3202" t="s">
        <v>3090</v>
      </c>
      <c r="R12" s="3208">
        <f t="shared" si="0"/>
        <v>452.84773576132119</v>
      </c>
    </row>
    <row r="13" spans="2:18">
      <c r="B13" s="3202" t="s">
        <v>3093</v>
      </c>
      <c r="C13" s="3202" t="s">
        <v>3049</v>
      </c>
      <c r="D13" s="3202" t="s">
        <v>3050</v>
      </c>
      <c r="E13" s="3202" t="s">
        <v>3051</v>
      </c>
      <c r="F13" s="3202" t="s">
        <v>3052</v>
      </c>
      <c r="G13" s="3202" t="s">
        <v>3059</v>
      </c>
      <c r="H13" s="3202">
        <v>11403</v>
      </c>
      <c r="I13" s="3202" t="s">
        <v>3054</v>
      </c>
      <c r="J13" s="3202" t="s">
        <v>2773</v>
      </c>
      <c r="K13" s="3202" t="s">
        <v>3088</v>
      </c>
      <c r="L13" s="3202" t="s">
        <v>3089</v>
      </c>
      <c r="M13" s="3202">
        <v>525</v>
      </c>
      <c r="N13" s="3202">
        <v>30.69</v>
      </c>
      <c r="O13" s="3202">
        <v>920.8</v>
      </c>
      <c r="P13" s="3202">
        <v>0.96</v>
      </c>
      <c r="Q13" s="3202" t="s">
        <v>3090</v>
      </c>
      <c r="R13" s="3208">
        <f t="shared" si="0"/>
        <v>460.34769826150875</v>
      </c>
    </row>
    <row r="14" spans="2:18">
      <c r="B14" s="3202" t="s">
        <v>3094</v>
      </c>
      <c r="C14" s="3202" t="s">
        <v>3049</v>
      </c>
      <c r="D14" s="3202" t="s">
        <v>3050</v>
      </c>
      <c r="E14" s="3202" t="s">
        <v>3051</v>
      </c>
      <c r="F14" s="3202" t="s">
        <v>3052</v>
      </c>
      <c r="G14" s="3202" t="s">
        <v>3059</v>
      </c>
      <c r="H14" s="3202">
        <v>110000</v>
      </c>
      <c r="I14" s="3202" t="s">
        <v>3074</v>
      </c>
      <c r="J14" s="3202" t="s">
        <v>2773</v>
      </c>
      <c r="K14" s="3202" t="s">
        <v>3095</v>
      </c>
      <c r="L14" s="3202" t="s">
        <v>3096</v>
      </c>
      <c r="M14" s="3202">
        <v>40850</v>
      </c>
      <c r="N14" s="3202">
        <v>247.58</v>
      </c>
      <c r="O14" s="3202">
        <v>1485.45</v>
      </c>
      <c r="P14" s="3202">
        <v>0.12</v>
      </c>
      <c r="Q14" s="3202" t="s">
        <v>3097</v>
      </c>
      <c r="R14" s="3208">
        <f t="shared" si="0"/>
        <v>3713.6814315928423</v>
      </c>
    </row>
    <row r="15" spans="2:18">
      <c r="B15" s="3202" t="s">
        <v>3098</v>
      </c>
      <c r="C15" s="3202" t="s">
        <v>3049</v>
      </c>
      <c r="D15" s="3202" t="s">
        <v>3050</v>
      </c>
      <c r="E15" s="3202" t="s">
        <v>3051</v>
      </c>
      <c r="F15" s="3202" t="s">
        <v>3052</v>
      </c>
      <c r="G15" s="3202" t="s">
        <v>3059</v>
      </c>
      <c r="H15" s="3202">
        <v>210.56</v>
      </c>
      <c r="I15" s="3202" t="s">
        <v>3099</v>
      </c>
      <c r="J15" s="3202" t="s">
        <v>2773</v>
      </c>
      <c r="K15" s="3202" t="s">
        <v>3095</v>
      </c>
      <c r="L15" s="3202" t="s">
        <v>3100</v>
      </c>
      <c r="M15" s="3202">
        <v>32</v>
      </c>
      <c r="N15" s="3202">
        <v>101.32</v>
      </c>
      <c r="O15" s="3202">
        <v>1169.03</v>
      </c>
      <c r="P15" s="3202">
        <v>3.23</v>
      </c>
      <c r="Q15" s="3202" t="s">
        <v>3057</v>
      </c>
      <c r="R15" s="3208">
        <f t="shared" si="0"/>
        <v>1519.7924010379948</v>
      </c>
    </row>
    <row r="16" spans="2:18">
      <c r="B16" s="3202" t="s">
        <v>3101</v>
      </c>
      <c r="C16" s="3202" t="s">
        <v>3049</v>
      </c>
      <c r="D16" s="3202" t="s">
        <v>3050</v>
      </c>
      <c r="E16" s="3202" t="s">
        <v>3051</v>
      </c>
      <c r="F16" s="3202" t="s">
        <v>3052</v>
      </c>
      <c r="G16" s="3202" t="s">
        <v>3059</v>
      </c>
      <c r="H16" s="3202">
        <v>12821</v>
      </c>
      <c r="I16" s="3202" t="s">
        <v>3102</v>
      </c>
      <c r="J16" s="3202" t="s">
        <v>2773</v>
      </c>
      <c r="K16" s="3202" t="s">
        <v>3095</v>
      </c>
      <c r="L16" s="3202" t="s">
        <v>3103</v>
      </c>
      <c r="M16" s="3202">
        <v>2215</v>
      </c>
      <c r="N16" s="3202">
        <v>115.18</v>
      </c>
      <c r="O16" s="3202">
        <v>691.04</v>
      </c>
      <c r="P16" s="3202">
        <v>0</v>
      </c>
      <c r="Q16" s="3202" t="s">
        <v>3097</v>
      </c>
      <c r="R16" s="3208">
        <f t="shared" si="0"/>
        <v>1727.6913615431924</v>
      </c>
    </row>
    <row r="17" spans="2:18" s="3213" customFormat="1">
      <c r="B17" s="3213" t="s">
        <v>3104</v>
      </c>
      <c r="C17" s="3213" t="s">
        <v>3049</v>
      </c>
      <c r="D17" s="3213" t="s">
        <v>3050</v>
      </c>
      <c r="E17" s="3213" t="s">
        <v>3051</v>
      </c>
      <c r="F17" s="3213" t="s">
        <v>3052</v>
      </c>
      <c r="G17" s="3213" t="s">
        <v>3065</v>
      </c>
      <c r="H17" s="3213">
        <v>24312.07</v>
      </c>
      <c r="I17" s="3213" t="s">
        <v>3079</v>
      </c>
      <c r="J17" s="3213" t="s">
        <v>2773</v>
      </c>
      <c r="K17" s="3213" t="s">
        <v>3105</v>
      </c>
      <c r="L17" s="3213" t="s">
        <v>3072</v>
      </c>
      <c r="M17" s="3213">
        <v>2900</v>
      </c>
      <c r="N17" s="3213">
        <v>79.52</v>
      </c>
      <c r="O17" s="3213">
        <v>795.22</v>
      </c>
      <c r="P17" s="3213">
        <v>2.11</v>
      </c>
      <c r="Q17" s="3213" t="s">
        <v>3090</v>
      </c>
      <c r="R17" s="3214">
        <f t="shared" si="0"/>
        <v>1192.7940360298198</v>
      </c>
    </row>
    <row r="18" spans="2:18">
      <c r="B18" s="3202" t="s">
        <v>3106</v>
      </c>
      <c r="C18" s="3202" t="s">
        <v>3049</v>
      </c>
      <c r="D18" s="3202" t="s">
        <v>3050</v>
      </c>
      <c r="E18" s="3202" t="s">
        <v>3051</v>
      </c>
      <c r="F18" s="3202" t="s">
        <v>3052</v>
      </c>
      <c r="G18" s="3202" t="s">
        <v>3069</v>
      </c>
      <c r="H18" s="3202">
        <v>26603.8</v>
      </c>
      <c r="I18" s="3202" t="s">
        <v>3107</v>
      </c>
      <c r="J18" s="3202" t="s">
        <v>2773</v>
      </c>
      <c r="K18" s="3202" t="s">
        <v>3108</v>
      </c>
      <c r="L18" s="3202" t="s">
        <v>3109</v>
      </c>
      <c r="M18" s="3202">
        <v>1876</v>
      </c>
      <c r="N18" s="3202">
        <v>47.01</v>
      </c>
      <c r="O18" s="3202">
        <v>352.57</v>
      </c>
      <c r="P18" s="3202">
        <v>2.1800000000000002</v>
      </c>
      <c r="Q18" s="3202" t="s">
        <v>3097</v>
      </c>
      <c r="R18" s="3208">
        <f t="shared" si="0"/>
        <v>705.14647426762861</v>
      </c>
    </row>
    <row r="19" spans="2:18" s="3205" customFormat="1">
      <c r="B19" s="3205" t="s">
        <v>3110</v>
      </c>
      <c r="C19" s="3205" t="s">
        <v>3049</v>
      </c>
      <c r="D19" s="3205" t="s">
        <v>3050</v>
      </c>
      <c r="E19" s="3205" t="s">
        <v>3051</v>
      </c>
      <c r="F19" s="3205" t="s">
        <v>3052</v>
      </c>
      <c r="G19" s="3205" t="s">
        <v>3111</v>
      </c>
      <c r="H19" s="3205">
        <v>13218.8</v>
      </c>
      <c r="I19" s="3205" t="s">
        <v>3107</v>
      </c>
      <c r="J19" s="3205" t="s">
        <v>2773</v>
      </c>
      <c r="K19" s="3205" t="s">
        <v>3112</v>
      </c>
      <c r="L19" s="3205" t="s">
        <v>3113</v>
      </c>
      <c r="M19" s="3205">
        <v>952</v>
      </c>
      <c r="N19" s="3205">
        <v>48.01</v>
      </c>
      <c r="O19" s="3205">
        <v>360.08</v>
      </c>
      <c r="P19" s="3205">
        <v>2.15</v>
      </c>
      <c r="Q19" s="3205" t="s">
        <v>3057</v>
      </c>
      <c r="R19" s="3212">
        <f t="shared" si="0"/>
        <v>720.14639926800362</v>
      </c>
    </row>
    <row r="20" spans="2:18">
      <c r="B20" s="3202" t="s">
        <v>3114</v>
      </c>
      <c r="C20" s="3202" t="s">
        <v>3049</v>
      </c>
      <c r="D20" s="3202" t="s">
        <v>3050</v>
      </c>
      <c r="E20" s="3202" t="s">
        <v>3051</v>
      </c>
      <c r="F20" s="3202" t="s">
        <v>3052</v>
      </c>
      <c r="G20" s="3202" t="s">
        <v>3059</v>
      </c>
      <c r="H20" s="3202">
        <v>4667</v>
      </c>
      <c r="I20" s="3202" t="s">
        <v>3115</v>
      </c>
      <c r="J20" s="3202" t="s">
        <v>2773</v>
      </c>
      <c r="K20" s="3202" t="s">
        <v>3116</v>
      </c>
      <c r="L20" s="3202" t="s">
        <v>3117</v>
      </c>
      <c r="M20" s="3202">
        <v>210</v>
      </c>
      <c r="N20" s="3202">
        <v>30</v>
      </c>
      <c r="O20" s="3202">
        <v>562.46</v>
      </c>
      <c r="P20" s="3202">
        <v>0</v>
      </c>
      <c r="Q20" s="3202" t="s">
        <v>3118</v>
      </c>
      <c r="R20" s="3208">
        <f t="shared" si="0"/>
        <v>449.99775001124993</v>
      </c>
    </row>
    <row r="21" spans="2:18" s="3205" customFormat="1">
      <c r="B21" s="3205" t="s">
        <v>3520</v>
      </c>
      <c r="C21" s="3205" t="s">
        <v>3049</v>
      </c>
      <c r="D21" s="3205" t="s">
        <v>3050</v>
      </c>
      <c r="E21" s="3205" t="s">
        <v>3051</v>
      </c>
      <c r="F21" s="3205" t="s">
        <v>3052</v>
      </c>
      <c r="G21" s="3205" t="s">
        <v>3059</v>
      </c>
      <c r="H21" s="3205">
        <v>5479</v>
      </c>
      <c r="I21" s="3205" t="s">
        <v>3060</v>
      </c>
      <c r="J21" s="3205" t="s">
        <v>2773</v>
      </c>
      <c r="K21" s="3205" t="s">
        <v>3119</v>
      </c>
      <c r="L21" s="3205" t="s">
        <v>3120</v>
      </c>
      <c r="M21" s="3205">
        <v>386</v>
      </c>
      <c r="N21" s="3205">
        <v>46.97</v>
      </c>
      <c r="O21" s="3205">
        <v>704.5</v>
      </c>
      <c r="P21" s="3205">
        <v>97.95</v>
      </c>
      <c r="Q21" s="3205" t="s">
        <v>3090</v>
      </c>
      <c r="R21" s="3212">
        <f t="shared" si="0"/>
        <v>704.54647726761368</v>
      </c>
    </row>
    <row r="22" spans="2:18">
      <c r="B22" s="3202" t="s">
        <v>3121</v>
      </c>
      <c r="C22" s="3202" t="s">
        <v>3049</v>
      </c>
      <c r="D22" s="3202" t="s">
        <v>3050</v>
      </c>
      <c r="E22" s="3202" t="s">
        <v>3051</v>
      </c>
      <c r="F22" s="3202" t="s">
        <v>3052</v>
      </c>
      <c r="G22" s="3202" t="s">
        <v>3122</v>
      </c>
      <c r="H22" s="3202">
        <v>2657.28</v>
      </c>
      <c r="I22" s="3202" t="s">
        <v>3123</v>
      </c>
      <c r="J22" s="3202" t="s">
        <v>2773</v>
      </c>
      <c r="K22" s="3202" t="s">
        <v>3124</v>
      </c>
      <c r="L22" s="3202" t="s">
        <v>3125</v>
      </c>
      <c r="M22" s="3202">
        <v>265</v>
      </c>
      <c r="N22" s="3202">
        <v>66.48</v>
      </c>
      <c r="O22" s="3202">
        <v>1994.51</v>
      </c>
      <c r="P22" s="3202">
        <v>12.77</v>
      </c>
      <c r="Q22" s="3202" t="s">
        <v>3057</v>
      </c>
      <c r="R22" s="3208">
        <f t="shared" si="0"/>
        <v>997.19501402492995</v>
      </c>
    </row>
    <row r="23" spans="2:18">
      <c r="B23" s="3202" t="s">
        <v>3126</v>
      </c>
      <c r="C23" s="3202" t="s">
        <v>3049</v>
      </c>
      <c r="D23" s="3202" t="s">
        <v>3050</v>
      </c>
      <c r="E23" s="3202" t="s">
        <v>3051</v>
      </c>
      <c r="F23" s="3202" t="s">
        <v>3127</v>
      </c>
      <c r="G23" s="3202" t="s">
        <v>2773</v>
      </c>
      <c r="H23" s="3202">
        <v>18580.349999999999</v>
      </c>
      <c r="I23" s="3202" t="s">
        <v>3128</v>
      </c>
      <c r="J23" s="3202" t="s">
        <v>2773</v>
      </c>
      <c r="K23" s="3202" t="s">
        <v>3129</v>
      </c>
      <c r="L23" s="3202" t="s">
        <v>3130</v>
      </c>
      <c r="M23" s="3202">
        <v>6530</v>
      </c>
      <c r="N23" s="3202">
        <v>234.3</v>
      </c>
      <c r="O23" s="3202">
        <v>1004.12</v>
      </c>
      <c r="P23" s="3202">
        <v>0.46</v>
      </c>
      <c r="Q23" s="3202" t="s">
        <v>3097</v>
      </c>
      <c r="R23" s="3208">
        <f t="shared" si="0"/>
        <v>3514.4824275878623</v>
      </c>
    </row>
    <row r="24" spans="2:18">
      <c r="B24" s="3202" t="s">
        <v>3131</v>
      </c>
      <c r="C24" s="3202" t="s">
        <v>3049</v>
      </c>
      <c r="D24" s="3202" t="s">
        <v>3050</v>
      </c>
      <c r="E24" s="3202" t="s">
        <v>3051</v>
      </c>
      <c r="F24" s="3202" t="s">
        <v>3052</v>
      </c>
      <c r="G24" s="3202" t="s">
        <v>3122</v>
      </c>
      <c r="H24" s="3202">
        <v>4932.2700000000004</v>
      </c>
      <c r="I24" s="3202" t="s">
        <v>3132</v>
      </c>
      <c r="J24" s="3202" t="s">
        <v>2773</v>
      </c>
      <c r="K24" s="3202" t="s">
        <v>3133</v>
      </c>
      <c r="L24" s="3202" t="s">
        <v>3134</v>
      </c>
      <c r="M24" s="3202">
        <v>154</v>
      </c>
      <c r="N24" s="3202">
        <v>20.82</v>
      </c>
      <c r="O24" s="3202">
        <v>390.29</v>
      </c>
      <c r="P24" s="3202">
        <v>0.65</v>
      </c>
      <c r="Q24" s="3202" t="s">
        <v>3057</v>
      </c>
      <c r="R24" s="3208">
        <f t="shared" si="0"/>
        <v>312.29843850780748</v>
      </c>
    </row>
    <row r="25" spans="2:18">
      <c r="B25" s="3202" t="s">
        <v>3135</v>
      </c>
      <c r="C25" s="3202" t="s">
        <v>3049</v>
      </c>
      <c r="D25" s="3202" t="s">
        <v>3050</v>
      </c>
      <c r="E25" s="3202" t="s">
        <v>3051</v>
      </c>
      <c r="F25" s="3202" t="s">
        <v>3052</v>
      </c>
      <c r="G25" s="3202" t="s">
        <v>3059</v>
      </c>
      <c r="H25" s="3202">
        <v>1854.78</v>
      </c>
      <c r="I25" s="3202" t="s">
        <v>3136</v>
      </c>
      <c r="J25" s="3202" t="s">
        <v>2773</v>
      </c>
      <c r="K25" s="3202" t="s">
        <v>3137</v>
      </c>
      <c r="L25" s="3202" t="s">
        <v>3138</v>
      </c>
      <c r="M25" s="3202">
        <v>3300</v>
      </c>
      <c r="N25" s="3202">
        <v>1186.1199999999999</v>
      </c>
      <c r="O25" s="3202">
        <v>35583.730000000003</v>
      </c>
      <c r="P25" s="3202">
        <v>266.67</v>
      </c>
      <c r="Q25" s="3202" t="s">
        <v>3057</v>
      </c>
      <c r="R25" s="3208">
        <f t="shared" si="0"/>
        <v>17791.711041444792</v>
      </c>
    </row>
    <row r="26" spans="2:18">
      <c r="B26" s="3202" t="s">
        <v>3139</v>
      </c>
      <c r="C26" s="3202" t="s">
        <v>3049</v>
      </c>
      <c r="D26" s="3202" t="s">
        <v>3050</v>
      </c>
      <c r="E26" s="3202" t="s">
        <v>3051</v>
      </c>
      <c r="F26" s="3202" t="s">
        <v>3052</v>
      </c>
      <c r="G26" s="3202" t="s">
        <v>3059</v>
      </c>
      <c r="H26" s="3202">
        <v>11790</v>
      </c>
      <c r="I26" s="3202" t="s">
        <v>3102</v>
      </c>
      <c r="J26" s="3202" t="s">
        <v>2773</v>
      </c>
      <c r="K26" s="3202" t="s">
        <v>3140</v>
      </c>
      <c r="L26" s="3202" t="s">
        <v>3141</v>
      </c>
      <c r="M26" s="3202">
        <v>2040</v>
      </c>
      <c r="N26" s="3202">
        <v>115.35</v>
      </c>
      <c r="O26" s="3202">
        <v>692.11</v>
      </c>
      <c r="P26" s="3202">
        <v>0</v>
      </c>
      <c r="Q26" s="3202" t="s">
        <v>3097</v>
      </c>
      <c r="R26" s="3208">
        <f t="shared" si="0"/>
        <v>1730.2413487932561</v>
      </c>
    </row>
    <row r="27" spans="2:18">
      <c r="B27" s="3202" t="s">
        <v>3142</v>
      </c>
      <c r="C27" s="3202" t="s">
        <v>3049</v>
      </c>
      <c r="D27" s="3202" t="s">
        <v>3050</v>
      </c>
      <c r="E27" s="3202" t="s">
        <v>3051</v>
      </c>
      <c r="F27" s="3202" t="s">
        <v>3052</v>
      </c>
      <c r="G27" s="3202" t="s">
        <v>3059</v>
      </c>
      <c r="H27" s="3202">
        <v>40720</v>
      </c>
      <c r="I27" s="3202" t="s">
        <v>3102</v>
      </c>
      <c r="J27" s="3202" t="s">
        <v>2773</v>
      </c>
      <c r="K27" s="3202" t="s">
        <v>3140</v>
      </c>
      <c r="L27" s="3202" t="s">
        <v>3143</v>
      </c>
      <c r="M27" s="3202">
        <v>7025</v>
      </c>
      <c r="N27" s="3202">
        <v>115.01</v>
      </c>
      <c r="O27" s="3202">
        <v>690.08</v>
      </c>
      <c r="P27" s="3202">
        <v>0</v>
      </c>
      <c r="Q27" s="3202" t="s">
        <v>3097</v>
      </c>
      <c r="R27" s="3208">
        <f t="shared" si="0"/>
        <v>1725.1413742931288</v>
      </c>
    </row>
    <row r="28" spans="2:18">
      <c r="B28" s="3202" t="s">
        <v>3144</v>
      </c>
      <c r="C28" s="3202" t="s">
        <v>3049</v>
      </c>
      <c r="D28" s="3202" t="s">
        <v>3050</v>
      </c>
      <c r="E28" s="3202" t="s">
        <v>3051</v>
      </c>
      <c r="F28" s="3202" t="s">
        <v>3052</v>
      </c>
      <c r="G28" s="3202" t="s">
        <v>3059</v>
      </c>
      <c r="H28" s="3202">
        <v>11780</v>
      </c>
      <c r="I28" s="3202" t="s">
        <v>3102</v>
      </c>
      <c r="J28" s="3202" t="s">
        <v>2773</v>
      </c>
      <c r="K28" s="3202" t="s">
        <v>3140</v>
      </c>
      <c r="L28" s="3202" t="s">
        <v>3145</v>
      </c>
      <c r="M28" s="3202">
        <v>2040</v>
      </c>
      <c r="N28" s="3202">
        <v>115.45</v>
      </c>
      <c r="O28" s="3202">
        <v>692.7</v>
      </c>
      <c r="P28" s="3202">
        <v>0</v>
      </c>
      <c r="Q28" s="3202" t="s">
        <v>3097</v>
      </c>
      <c r="R28" s="3208">
        <f t="shared" si="0"/>
        <v>1731.7413412932935</v>
      </c>
    </row>
    <row r="29" spans="2:18">
      <c r="B29" s="3202" t="s">
        <v>3146</v>
      </c>
      <c r="C29" s="3202" t="s">
        <v>3049</v>
      </c>
      <c r="D29" s="3202" t="s">
        <v>3050</v>
      </c>
      <c r="E29" s="3202" t="s">
        <v>3051</v>
      </c>
      <c r="F29" s="3202" t="s">
        <v>3052</v>
      </c>
      <c r="G29" s="3202" t="s">
        <v>3059</v>
      </c>
      <c r="H29" s="3202">
        <v>13355</v>
      </c>
      <c r="I29" s="3202" t="s">
        <v>3102</v>
      </c>
      <c r="J29" s="3202" t="s">
        <v>2773</v>
      </c>
      <c r="K29" s="3202" t="s">
        <v>3140</v>
      </c>
      <c r="L29" s="3202" t="s">
        <v>3147</v>
      </c>
      <c r="M29" s="3202">
        <v>2310</v>
      </c>
      <c r="N29" s="3202">
        <v>115.31</v>
      </c>
      <c r="O29" s="3202">
        <v>691.87</v>
      </c>
      <c r="P29" s="3202">
        <v>0</v>
      </c>
      <c r="Q29" s="3202" t="s">
        <v>3097</v>
      </c>
      <c r="R29" s="3208">
        <f t="shared" si="0"/>
        <v>1729.6413517932413</v>
      </c>
    </row>
    <row r="30" spans="2:18">
      <c r="B30" s="3202" t="s">
        <v>3148</v>
      </c>
      <c r="C30" s="3202" t="s">
        <v>3049</v>
      </c>
      <c r="D30" s="3202" t="s">
        <v>3050</v>
      </c>
      <c r="E30" s="3202" t="s">
        <v>3051</v>
      </c>
      <c r="F30" s="3202" t="s">
        <v>3052</v>
      </c>
      <c r="G30" s="3202" t="s">
        <v>3059</v>
      </c>
      <c r="H30" s="3202">
        <v>13706</v>
      </c>
      <c r="I30" s="3202" t="s">
        <v>3102</v>
      </c>
      <c r="J30" s="3202" t="s">
        <v>2773</v>
      </c>
      <c r="K30" s="3202" t="s">
        <v>3140</v>
      </c>
      <c r="L30" s="3202" t="s">
        <v>3149</v>
      </c>
      <c r="M30" s="3202">
        <v>2480</v>
      </c>
      <c r="N30" s="3202">
        <v>120.63</v>
      </c>
      <c r="O30" s="3202">
        <v>723.76</v>
      </c>
      <c r="P30" s="3202">
        <v>0.4</v>
      </c>
      <c r="Q30" s="3202" t="s">
        <v>3097</v>
      </c>
      <c r="R30" s="3208">
        <f t="shared" si="0"/>
        <v>1809.4409527952359</v>
      </c>
    </row>
    <row r="31" spans="2:18">
      <c r="B31" s="3202" t="s">
        <v>3150</v>
      </c>
      <c r="C31" s="3202" t="s">
        <v>3049</v>
      </c>
      <c r="D31" s="3202" t="s">
        <v>3050</v>
      </c>
      <c r="E31" s="3202" t="s">
        <v>3051</v>
      </c>
      <c r="F31" s="3202" t="s">
        <v>3052</v>
      </c>
      <c r="G31" s="3202" t="s">
        <v>3059</v>
      </c>
      <c r="H31" s="3202">
        <v>10258</v>
      </c>
      <c r="I31" s="3202" t="s">
        <v>3102</v>
      </c>
      <c r="J31" s="3202" t="s">
        <v>2773</v>
      </c>
      <c r="K31" s="3202" t="s">
        <v>3140</v>
      </c>
      <c r="L31" s="3202" t="s">
        <v>3151</v>
      </c>
      <c r="M31" s="3202">
        <v>1770</v>
      </c>
      <c r="N31" s="3202">
        <v>115.03</v>
      </c>
      <c r="O31" s="3202">
        <v>690.19</v>
      </c>
      <c r="P31" s="3202">
        <v>0</v>
      </c>
      <c r="Q31" s="3202" t="s">
        <v>3097</v>
      </c>
      <c r="R31" s="3208">
        <f t="shared" si="0"/>
        <v>1725.4413727931362</v>
      </c>
    </row>
    <row r="32" spans="2:18" s="3213" customFormat="1">
      <c r="B32" s="3213" t="s">
        <v>3152</v>
      </c>
      <c r="C32" s="3213" t="s">
        <v>3049</v>
      </c>
      <c r="D32" s="3213" t="s">
        <v>3050</v>
      </c>
      <c r="E32" s="3213" t="s">
        <v>3051</v>
      </c>
      <c r="F32" s="3213" t="s">
        <v>3052</v>
      </c>
      <c r="G32" s="3213" t="s">
        <v>3111</v>
      </c>
      <c r="H32" s="3213">
        <v>6707.04</v>
      </c>
      <c r="I32" s="3213" t="s">
        <v>3107</v>
      </c>
      <c r="J32" s="3213" t="s">
        <v>2773</v>
      </c>
      <c r="K32" s="3213" t="s">
        <v>3153</v>
      </c>
      <c r="L32" s="3213" t="s">
        <v>3154</v>
      </c>
      <c r="M32" s="3213">
        <v>730</v>
      </c>
      <c r="N32" s="3213">
        <v>72.56</v>
      </c>
      <c r="O32" s="3213">
        <v>544.20000000000005</v>
      </c>
      <c r="P32" s="3213">
        <v>1.39</v>
      </c>
      <c r="Q32" s="3213" t="s">
        <v>3057</v>
      </c>
      <c r="R32" s="3214">
        <f t="shared" si="0"/>
        <v>1088.39455802721</v>
      </c>
    </row>
    <row r="33" spans="2:18">
      <c r="B33" s="3202" t="s">
        <v>3155</v>
      </c>
      <c r="C33" s="3202" t="s">
        <v>3049</v>
      </c>
      <c r="D33" s="3202" t="s">
        <v>3050</v>
      </c>
      <c r="E33" s="3202" t="s">
        <v>3051</v>
      </c>
      <c r="F33" s="3202" t="s">
        <v>3052</v>
      </c>
      <c r="G33" s="3202" t="s">
        <v>3122</v>
      </c>
      <c r="H33" s="3202">
        <v>1116.1500000000001</v>
      </c>
      <c r="I33" s="3202" t="s">
        <v>3156</v>
      </c>
      <c r="J33" s="3202" t="s">
        <v>2773</v>
      </c>
      <c r="K33" s="3202" t="s">
        <v>3157</v>
      </c>
      <c r="L33" s="3202" t="s">
        <v>3158</v>
      </c>
      <c r="M33" s="3202">
        <v>35</v>
      </c>
      <c r="N33" s="3202">
        <v>20.91</v>
      </c>
      <c r="O33" s="3202">
        <v>522.62</v>
      </c>
      <c r="P33" s="3202">
        <v>2.94</v>
      </c>
      <c r="Q33" s="3202" t="s">
        <v>3057</v>
      </c>
      <c r="R33" s="3208">
        <f t="shared" si="0"/>
        <v>313.64843175784119</v>
      </c>
    </row>
    <row r="34" spans="2:18">
      <c r="B34" s="3202" t="s">
        <v>3159</v>
      </c>
      <c r="C34" s="3202" t="s">
        <v>3049</v>
      </c>
      <c r="D34" s="3202" t="s">
        <v>3050</v>
      </c>
      <c r="E34" s="3202" t="s">
        <v>3051</v>
      </c>
      <c r="F34" s="3202" t="s">
        <v>3052</v>
      </c>
      <c r="G34" s="3202" t="s">
        <v>3059</v>
      </c>
      <c r="H34" s="3202">
        <v>10260</v>
      </c>
      <c r="I34" s="3202" t="s">
        <v>3102</v>
      </c>
      <c r="J34" s="3202" t="s">
        <v>2773</v>
      </c>
      <c r="K34" s="3202" t="s">
        <v>3160</v>
      </c>
      <c r="L34" s="3202" t="s">
        <v>3161</v>
      </c>
      <c r="M34" s="3202">
        <v>2000</v>
      </c>
      <c r="N34" s="3202">
        <v>129.94999999999999</v>
      </c>
      <c r="O34" s="3202">
        <v>779.73</v>
      </c>
      <c r="P34" s="3202">
        <v>12.99</v>
      </c>
      <c r="Q34" s="3202" t="s">
        <v>3097</v>
      </c>
      <c r="R34" s="3208">
        <f t="shared" si="0"/>
        <v>1949.2402537987311</v>
      </c>
    </row>
    <row r="35" spans="2:18">
      <c r="B35" s="3202" t="s">
        <v>3162</v>
      </c>
      <c r="C35" s="3202" t="s">
        <v>3049</v>
      </c>
      <c r="D35" s="3202" t="s">
        <v>3050</v>
      </c>
      <c r="E35" s="3202" t="s">
        <v>3051</v>
      </c>
      <c r="F35" s="3202" t="s">
        <v>3052</v>
      </c>
      <c r="G35" s="3202" t="s">
        <v>3059</v>
      </c>
      <c r="H35" s="3202">
        <v>27850</v>
      </c>
      <c r="I35" s="3202" t="s">
        <v>3102</v>
      </c>
      <c r="J35" s="3202" t="s">
        <v>2773</v>
      </c>
      <c r="K35" s="3202" t="s">
        <v>3160</v>
      </c>
      <c r="L35" s="3202" t="s">
        <v>3163</v>
      </c>
      <c r="M35" s="3202">
        <v>4715</v>
      </c>
      <c r="N35" s="3202">
        <v>112.87</v>
      </c>
      <c r="O35" s="3202">
        <v>677.2</v>
      </c>
      <c r="P35" s="3202">
        <v>2.61</v>
      </c>
      <c r="Q35" s="3202" t="s">
        <v>3164</v>
      </c>
      <c r="R35" s="3208">
        <f t="shared" si="0"/>
        <v>1693.041534792326</v>
      </c>
    </row>
    <row r="36" spans="2:18">
      <c r="B36" s="3202" t="s">
        <v>3165</v>
      </c>
      <c r="C36" s="3202" t="s">
        <v>3049</v>
      </c>
      <c r="D36" s="3202" t="s">
        <v>3050</v>
      </c>
      <c r="E36" s="3202" t="s">
        <v>3051</v>
      </c>
      <c r="F36" s="3202" t="s">
        <v>3052</v>
      </c>
      <c r="G36" s="3202" t="s">
        <v>3059</v>
      </c>
      <c r="H36" s="3202">
        <v>8960</v>
      </c>
      <c r="I36" s="3202" t="s">
        <v>3102</v>
      </c>
      <c r="J36" s="3202" t="s">
        <v>2773</v>
      </c>
      <c r="K36" s="3202" t="s">
        <v>3160</v>
      </c>
      <c r="L36" s="3202" t="s">
        <v>3166</v>
      </c>
      <c r="M36" s="3202">
        <v>1155</v>
      </c>
      <c r="N36" s="3202">
        <v>85.94</v>
      </c>
      <c r="O36" s="3202">
        <v>515.62</v>
      </c>
      <c r="P36" s="3202">
        <v>0.87</v>
      </c>
      <c r="Q36" s="3202" t="s">
        <v>3097</v>
      </c>
      <c r="R36" s="3208">
        <f t="shared" si="0"/>
        <v>1289.0935545322275</v>
      </c>
    </row>
    <row r="37" spans="2:18">
      <c r="B37" s="3202" t="s">
        <v>3167</v>
      </c>
      <c r="C37" s="3202" t="s">
        <v>3049</v>
      </c>
      <c r="D37" s="3202" t="s">
        <v>3050</v>
      </c>
      <c r="E37" s="3202" t="s">
        <v>3051</v>
      </c>
      <c r="F37" s="3202" t="s">
        <v>3052</v>
      </c>
      <c r="G37" s="3202" t="s">
        <v>3059</v>
      </c>
      <c r="H37" s="3202">
        <v>7446.78</v>
      </c>
      <c r="I37" s="3202" t="s">
        <v>3168</v>
      </c>
      <c r="J37" s="3202" t="s">
        <v>2773</v>
      </c>
      <c r="K37" s="3202" t="s">
        <v>3169</v>
      </c>
      <c r="L37" s="3202" t="s">
        <v>3170</v>
      </c>
      <c r="M37" s="3202">
        <v>227</v>
      </c>
      <c r="N37" s="3202">
        <v>20.32</v>
      </c>
      <c r="O37" s="3202">
        <v>169.34</v>
      </c>
      <c r="P37" s="3202">
        <v>1.79</v>
      </c>
      <c r="Q37" s="3202" t="s">
        <v>3057</v>
      </c>
      <c r="R37" s="3208">
        <f t="shared" si="0"/>
        <v>304.79847600762002</v>
      </c>
    </row>
    <row r="38" spans="2:18">
      <c r="B38" s="3202" t="s">
        <v>3171</v>
      </c>
      <c r="C38" s="3202" t="s">
        <v>3049</v>
      </c>
      <c r="D38" s="3202" t="s">
        <v>3050</v>
      </c>
      <c r="E38" s="3202" t="s">
        <v>3051</v>
      </c>
      <c r="F38" s="3202" t="s">
        <v>3052</v>
      </c>
      <c r="G38" s="3202" t="s">
        <v>3122</v>
      </c>
      <c r="H38" s="3202">
        <v>45350.03</v>
      </c>
      <c r="I38" s="3202" t="s">
        <v>3172</v>
      </c>
      <c r="J38" s="3202" t="s">
        <v>2773</v>
      </c>
      <c r="K38" s="3202" t="s">
        <v>3173</v>
      </c>
      <c r="L38" s="3202" t="s">
        <v>3174</v>
      </c>
      <c r="M38" s="3202">
        <v>1410</v>
      </c>
      <c r="N38" s="3202">
        <v>20.73</v>
      </c>
      <c r="O38" s="3202">
        <v>310.91000000000003</v>
      </c>
      <c r="P38" s="3202">
        <v>0.36</v>
      </c>
      <c r="Q38" s="3202" t="s">
        <v>3057</v>
      </c>
      <c r="R38" s="3208">
        <f t="shared" si="0"/>
        <v>310.94844525777376</v>
      </c>
    </row>
    <row r="39" spans="2:18">
      <c r="B39" s="3202" t="s">
        <v>3175</v>
      </c>
      <c r="C39" s="3202" t="s">
        <v>3049</v>
      </c>
      <c r="D39" s="3202" t="s">
        <v>3050</v>
      </c>
      <c r="E39" s="3202" t="s">
        <v>3051</v>
      </c>
      <c r="F39" s="3202" t="s">
        <v>3052</v>
      </c>
      <c r="G39" s="3202" t="s">
        <v>3122</v>
      </c>
      <c r="H39" s="3202">
        <v>44936.66</v>
      </c>
      <c r="I39" s="3202" t="s">
        <v>3172</v>
      </c>
      <c r="J39" s="3202" t="s">
        <v>2773</v>
      </c>
      <c r="K39" s="3202" t="s">
        <v>3173</v>
      </c>
      <c r="L39" s="3202" t="s">
        <v>3174</v>
      </c>
      <c r="M39" s="3202">
        <v>1400</v>
      </c>
      <c r="N39" s="3202">
        <v>20.77</v>
      </c>
      <c r="O39" s="3202">
        <v>311.55</v>
      </c>
      <c r="P39" s="3202">
        <v>0.36</v>
      </c>
      <c r="Q39" s="3202" t="s">
        <v>3057</v>
      </c>
      <c r="R39" s="3208">
        <f t="shared" si="0"/>
        <v>311.54844225778874</v>
      </c>
    </row>
    <row r="40" spans="2:18">
      <c r="B40" s="3202" t="s">
        <v>3176</v>
      </c>
      <c r="C40" s="3202" t="s">
        <v>3049</v>
      </c>
      <c r="D40" s="3202" t="s">
        <v>3050</v>
      </c>
      <c r="E40" s="3202" t="s">
        <v>3051</v>
      </c>
      <c r="F40" s="3202" t="s">
        <v>3052</v>
      </c>
      <c r="G40" s="3202" t="s">
        <v>3065</v>
      </c>
      <c r="H40" s="3202">
        <v>34430.449999999997</v>
      </c>
      <c r="I40" s="3202" t="s">
        <v>3107</v>
      </c>
      <c r="J40" s="3202" t="s">
        <v>2773</v>
      </c>
      <c r="K40" s="3202" t="s">
        <v>3177</v>
      </c>
      <c r="L40" s="3202" t="s">
        <v>3178</v>
      </c>
      <c r="M40" s="3202">
        <v>2990</v>
      </c>
      <c r="N40" s="3202">
        <v>57.89</v>
      </c>
      <c r="O40" s="3202">
        <v>434.2</v>
      </c>
      <c r="P40" s="3202">
        <v>5.28</v>
      </c>
      <c r="Q40" s="3202" t="s">
        <v>3118</v>
      </c>
      <c r="R40" s="3208">
        <f t="shared" si="0"/>
        <v>868.34565827170877</v>
      </c>
    </row>
    <row r="41" spans="2:18">
      <c r="B41" s="3202" t="s">
        <v>3179</v>
      </c>
      <c r="C41" s="3202" t="s">
        <v>3049</v>
      </c>
      <c r="D41" s="3202" t="s">
        <v>3050</v>
      </c>
      <c r="E41" s="3202" t="s">
        <v>3051</v>
      </c>
      <c r="F41" s="3202" t="s">
        <v>3052</v>
      </c>
      <c r="G41" s="3202" t="s">
        <v>3122</v>
      </c>
      <c r="H41" s="3202">
        <v>147546.79999999999</v>
      </c>
      <c r="I41" s="3202" t="s">
        <v>3180</v>
      </c>
      <c r="J41" s="3202" t="s">
        <v>2773</v>
      </c>
      <c r="K41" s="3202" t="s">
        <v>3181</v>
      </c>
      <c r="L41" s="3202" t="s">
        <v>3182</v>
      </c>
      <c r="M41" s="3202">
        <v>21413</v>
      </c>
      <c r="N41" s="3202">
        <v>96.75</v>
      </c>
      <c r="O41" s="3202">
        <v>483.75</v>
      </c>
      <c r="P41" s="3202">
        <v>0.02</v>
      </c>
      <c r="Q41" s="3202" t="s">
        <v>3118</v>
      </c>
      <c r="R41" s="3208">
        <f t="shared" si="0"/>
        <v>1451.2427437862812</v>
      </c>
    </row>
    <row r="42" spans="2:18">
      <c r="B42" s="3202" t="s">
        <v>3183</v>
      </c>
      <c r="C42" s="3202" t="s">
        <v>3049</v>
      </c>
      <c r="D42" s="3202" t="s">
        <v>3050</v>
      </c>
      <c r="E42" s="3202" t="s">
        <v>3051</v>
      </c>
      <c r="F42" s="3202" t="s">
        <v>3052</v>
      </c>
      <c r="G42" s="3202" t="s">
        <v>3065</v>
      </c>
      <c r="H42" s="3202">
        <v>6340.7</v>
      </c>
      <c r="I42" s="3202" t="s">
        <v>3070</v>
      </c>
      <c r="J42" s="3202" t="s">
        <v>2773</v>
      </c>
      <c r="K42" s="3202" t="s">
        <v>3181</v>
      </c>
      <c r="L42" s="3202" t="s">
        <v>3184</v>
      </c>
      <c r="M42" s="3202">
        <v>760.79</v>
      </c>
      <c r="N42" s="3202">
        <v>79.989999999999995</v>
      </c>
      <c r="O42" s="3202">
        <v>799.9</v>
      </c>
      <c r="P42" s="3202">
        <v>0</v>
      </c>
      <c r="Q42" s="3202" t="s">
        <v>3097</v>
      </c>
      <c r="R42" s="3208">
        <f t="shared" si="0"/>
        <v>1199.8440007799961</v>
      </c>
    </row>
    <row r="43" spans="2:18" s="3206" customFormat="1">
      <c r="B43" s="3206" t="s">
        <v>3185</v>
      </c>
      <c r="C43" s="3206" t="s">
        <v>3049</v>
      </c>
      <c r="D43" s="3206" t="s">
        <v>3050</v>
      </c>
      <c r="E43" s="3206" t="s">
        <v>3051</v>
      </c>
      <c r="F43" s="3206" t="s">
        <v>3052</v>
      </c>
      <c r="G43" s="3206" t="s">
        <v>3059</v>
      </c>
      <c r="H43" s="3206">
        <v>28575.46</v>
      </c>
      <c r="I43" s="3206" t="s">
        <v>3123</v>
      </c>
      <c r="J43" s="3206" t="s">
        <v>2773</v>
      </c>
      <c r="K43" s="3206" t="s">
        <v>3186</v>
      </c>
      <c r="L43" s="3206" t="s">
        <v>3187</v>
      </c>
      <c r="M43" s="3206">
        <v>888</v>
      </c>
      <c r="N43" s="3206">
        <v>20.72</v>
      </c>
      <c r="O43" s="3206">
        <v>621.5</v>
      </c>
      <c r="P43" s="3206">
        <v>1.1399999999999999</v>
      </c>
      <c r="Q43" s="3206" t="s">
        <v>3057</v>
      </c>
      <c r="R43" s="3209">
        <f t="shared" si="0"/>
        <v>310.79844600776994</v>
      </c>
    </row>
    <row r="44" spans="2:18" s="3206" customFormat="1">
      <c r="B44" s="3206" t="s">
        <v>3188</v>
      </c>
      <c r="C44" s="3206" t="s">
        <v>3049</v>
      </c>
      <c r="D44" s="3206" t="s">
        <v>3050</v>
      </c>
      <c r="E44" s="3206" t="s">
        <v>3051</v>
      </c>
      <c r="F44" s="3206" t="s">
        <v>3052</v>
      </c>
      <c r="G44" s="3206" t="s">
        <v>3059</v>
      </c>
      <c r="H44" s="3206">
        <v>26689.95</v>
      </c>
      <c r="I44" s="3206" t="s">
        <v>3132</v>
      </c>
      <c r="J44" s="3206" t="s">
        <v>2773</v>
      </c>
      <c r="K44" s="3206" t="s">
        <v>3186</v>
      </c>
      <c r="L44" s="3206" t="s">
        <v>3187</v>
      </c>
      <c r="M44" s="3206">
        <v>829</v>
      </c>
      <c r="N44" s="3206">
        <v>20.71</v>
      </c>
      <c r="O44" s="3206">
        <v>388.25</v>
      </c>
      <c r="P44" s="3206">
        <v>1.22</v>
      </c>
      <c r="Q44" s="3206" t="s">
        <v>3057</v>
      </c>
      <c r="R44" s="3209">
        <f t="shared" si="0"/>
        <v>310.64844675776624</v>
      </c>
    </row>
    <row r="45" spans="2:18" s="3206" customFormat="1">
      <c r="B45" s="3206" t="s">
        <v>3189</v>
      </c>
      <c r="C45" s="3206" t="s">
        <v>3049</v>
      </c>
      <c r="D45" s="3206" t="s">
        <v>3050</v>
      </c>
      <c r="E45" s="3206" t="s">
        <v>3051</v>
      </c>
      <c r="F45" s="3206" t="s">
        <v>3052</v>
      </c>
      <c r="G45" s="3206" t="s">
        <v>3059</v>
      </c>
      <c r="H45" s="3206">
        <v>27628.09</v>
      </c>
      <c r="I45" s="3206" t="s">
        <v>3123</v>
      </c>
      <c r="J45" s="3206" t="s">
        <v>2773</v>
      </c>
      <c r="K45" s="3206" t="s">
        <v>3186</v>
      </c>
      <c r="L45" s="3206" t="s">
        <v>3187</v>
      </c>
      <c r="M45" s="3206">
        <v>858</v>
      </c>
      <c r="N45" s="3206">
        <v>20.7</v>
      </c>
      <c r="O45" s="3206">
        <v>621.11</v>
      </c>
      <c r="P45" s="3206">
        <v>1.18</v>
      </c>
      <c r="Q45" s="3206" t="s">
        <v>3057</v>
      </c>
      <c r="R45" s="3209">
        <f t="shared" si="0"/>
        <v>310.49844750776248</v>
      </c>
    </row>
    <row r="46" spans="2:18">
      <c r="B46" s="3202" t="s">
        <v>3190</v>
      </c>
      <c r="C46" s="3202" t="s">
        <v>3049</v>
      </c>
      <c r="D46" s="3202" t="s">
        <v>3050</v>
      </c>
      <c r="E46" s="3202" t="s">
        <v>3051</v>
      </c>
      <c r="F46" s="3202" t="s">
        <v>3052</v>
      </c>
      <c r="G46" s="3202" t="s">
        <v>3059</v>
      </c>
      <c r="H46" s="3202">
        <v>9969.31</v>
      </c>
      <c r="I46" s="3202" t="s">
        <v>3132</v>
      </c>
      <c r="J46" s="3202" t="s">
        <v>2773</v>
      </c>
      <c r="K46" s="3202" t="s">
        <v>3186</v>
      </c>
      <c r="L46" s="3202" t="s">
        <v>3174</v>
      </c>
      <c r="M46" s="3202">
        <v>310</v>
      </c>
      <c r="N46" s="3202">
        <v>20.73</v>
      </c>
      <c r="O46" s="3202">
        <v>388.68</v>
      </c>
      <c r="P46" s="3202">
        <v>3.33</v>
      </c>
      <c r="Q46" s="3202" t="s">
        <v>3057</v>
      </c>
      <c r="R46" s="3208">
        <f t="shared" si="0"/>
        <v>310.94844525777376</v>
      </c>
    </row>
    <row r="47" spans="2:18">
      <c r="B47" s="3202" t="s">
        <v>3191</v>
      </c>
      <c r="C47" s="3202" t="s">
        <v>3049</v>
      </c>
      <c r="D47" s="3202" t="s">
        <v>3050</v>
      </c>
      <c r="E47" s="3202" t="s">
        <v>3051</v>
      </c>
      <c r="F47" s="3202" t="s">
        <v>3052</v>
      </c>
      <c r="G47" s="3202" t="s">
        <v>3122</v>
      </c>
      <c r="H47" s="3202">
        <v>6771.65</v>
      </c>
      <c r="I47" s="3202" t="s">
        <v>3107</v>
      </c>
      <c r="J47" s="3202" t="s">
        <v>2773</v>
      </c>
      <c r="K47" s="3202" t="s">
        <v>3186</v>
      </c>
      <c r="L47" s="3202" t="s">
        <v>3174</v>
      </c>
      <c r="M47" s="3202">
        <v>210</v>
      </c>
      <c r="N47" s="3202">
        <v>20.67</v>
      </c>
      <c r="O47" s="3202">
        <v>155.06</v>
      </c>
      <c r="P47" s="3202">
        <v>0.48</v>
      </c>
      <c r="Q47" s="3202" t="s">
        <v>3057</v>
      </c>
      <c r="R47" s="3208">
        <f t="shared" si="0"/>
        <v>310.04844975775126</v>
      </c>
    </row>
    <row r="48" spans="2:18">
      <c r="B48" s="3202" t="s">
        <v>3192</v>
      </c>
      <c r="C48" s="3202" t="s">
        <v>3049</v>
      </c>
      <c r="D48" s="3202" t="s">
        <v>3050</v>
      </c>
      <c r="E48" s="3202" t="s">
        <v>3051</v>
      </c>
      <c r="F48" s="3202" t="s">
        <v>3052</v>
      </c>
      <c r="G48" s="3202" t="s">
        <v>3065</v>
      </c>
      <c r="H48" s="3202">
        <v>9338.35</v>
      </c>
      <c r="I48" s="3202" t="s">
        <v>3107</v>
      </c>
      <c r="J48" s="3202" t="s">
        <v>2773</v>
      </c>
      <c r="K48" s="3202" t="s">
        <v>3193</v>
      </c>
      <c r="L48" s="3202" t="s">
        <v>3194</v>
      </c>
      <c r="M48" s="3202">
        <v>1295</v>
      </c>
      <c r="N48" s="3202">
        <v>92.45</v>
      </c>
      <c r="O48" s="3202">
        <v>693.37</v>
      </c>
      <c r="P48" s="3202">
        <v>2.37</v>
      </c>
      <c r="Q48" s="3202" t="s">
        <v>3118</v>
      </c>
      <c r="R48" s="3208">
        <f t="shared" si="0"/>
        <v>1386.7430662846687</v>
      </c>
    </row>
    <row r="49" spans="2:18" s="3206" customFormat="1">
      <c r="B49" s="3206" t="s">
        <v>3195</v>
      </c>
      <c r="C49" s="3206" t="s">
        <v>3049</v>
      </c>
      <c r="D49" s="3206" t="s">
        <v>3050</v>
      </c>
      <c r="E49" s="3206" t="s">
        <v>3051</v>
      </c>
      <c r="F49" s="3206" t="s">
        <v>3052</v>
      </c>
      <c r="G49" s="3206" t="s">
        <v>3059</v>
      </c>
      <c r="H49" s="3206">
        <v>55185.68</v>
      </c>
      <c r="I49" s="3206" t="s">
        <v>3132</v>
      </c>
      <c r="J49" s="3206" t="s">
        <v>2773</v>
      </c>
      <c r="K49" s="3206" t="s">
        <v>3196</v>
      </c>
      <c r="L49" s="3206" t="s">
        <v>3197</v>
      </c>
      <c r="M49" s="3206">
        <v>1714</v>
      </c>
      <c r="N49" s="3206">
        <v>20.71</v>
      </c>
      <c r="O49" s="3206">
        <v>388.23</v>
      </c>
      <c r="P49" s="3206">
        <v>0.59</v>
      </c>
      <c r="Q49" s="3206" t="s">
        <v>3097</v>
      </c>
      <c r="R49" s="3209">
        <f t="shared" si="0"/>
        <v>310.64844675776624</v>
      </c>
    </row>
    <row r="50" spans="2:18">
      <c r="B50" s="3202" t="s">
        <v>3198</v>
      </c>
      <c r="C50" s="3202" t="s">
        <v>3049</v>
      </c>
      <c r="D50" s="3202" t="s">
        <v>3050</v>
      </c>
      <c r="E50" s="3202" t="s">
        <v>3051</v>
      </c>
      <c r="F50" s="3202" t="s">
        <v>3052</v>
      </c>
      <c r="G50" s="3202" t="s">
        <v>3059</v>
      </c>
      <c r="H50" s="3202">
        <v>56178.44</v>
      </c>
      <c r="I50" s="3202" t="s">
        <v>3123</v>
      </c>
      <c r="J50" s="3202" t="s">
        <v>2773</v>
      </c>
      <c r="K50" s="3202" t="s">
        <v>3196</v>
      </c>
      <c r="L50" s="3202" t="s">
        <v>3199</v>
      </c>
      <c r="M50" s="3202">
        <v>1744</v>
      </c>
      <c r="N50" s="3202">
        <v>20.7</v>
      </c>
      <c r="O50" s="3202">
        <v>620.87</v>
      </c>
      <c r="P50" s="3202">
        <v>0.57999999999999996</v>
      </c>
      <c r="Q50" s="3202" t="s">
        <v>3118</v>
      </c>
      <c r="R50" s="3208">
        <f t="shared" si="0"/>
        <v>310.49844750776248</v>
      </c>
    </row>
    <row r="51" spans="2:18">
      <c r="B51" s="3202" t="s">
        <v>3200</v>
      </c>
      <c r="C51" s="3202" t="s">
        <v>3049</v>
      </c>
      <c r="D51" s="3202" t="s">
        <v>3050</v>
      </c>
      <c r="E51" s="3202" t="s">
        <v>3051</v>
      </c>
      <c r="F51" s="3202" t="s">
        <v>3052</v>
      </c>
      <c r="G51" s="3202" t="s">
        <v>3059</v>
      </c>
      <c r="H51" s="3202">
        <v>53070.5</v>
      </c>
      <c r="I51" s="3202" t="s">
        <v>3123</v>
      </c>
      <c r="J51" s="3202" t="s">
        <v>2773</v>
      </c>
      <c r="K51" s="3202" t="s">
        <v>3196</v>
      </c>
      <c r="L51" s="3202" t="s">
        <v>3174</v>
      </c>
      <c r="M51" s="3202">
        <v>1648</v>
      </c>
      <c r="N51" s="3202">
        <v>20.7</v>
      </c>
      <c r="O51" s="3202">
        <v>621.04999999999995</v>
      </c>
      <c r="P51" s="3202">
        <v>0.61</v>
      </c>
      <c r="Q51" s="3202" t="s">
        <v>3118</v>
      </c>
      <c r="R51" s="3208">
        <f t="shared" si="0"/>
        <v>310.49844750776248</v>
      </c>
    </row>
    <row r="52" spans="2:18" s="3206" customFormat="1">
      <c r="B52" s="3206" t="s">
        <v>3201</v>
      </c>
      <c r="C52" s="3206" t="s">
        <v>3049</v>
      </c>
      <c r="D52" s="3206" t="s">
        <v>3050</v>
      </c>
      <c r="E52" s="3206" t="s">
        <v>3051</v>
      </c>
      <c r="F52" s="3206" t="s">
        <v>3052</v>
      </c>
      <c r="G52" s="3206" t="s">
        <v>3111</v>
      </c>
      <c r="H52" s="3206">
        <v>45229.74</v>
      </c>
      <c r="I52" s="3206" t="s">
        <v>3079</v>
      </c>
      <c r="J52" s="3206" t="s">
        <v>2773</v>
      </c>
      <c r="K52" s="3206" t="s">
        <v>3196</v>
      </c>
      <c r="L52" s="3206" t="s">
        <v>3202</v>
      </c>
      <c r="M52" s="3206">
        <v>1404</v>
      </c>
      <c r="N52" s="3206">
        <v>20.69</v>
      </c>
      <c r="O52" s="3206">
        <v>206.93</v>
      </c>
      <c r="P52" s="3206">
        <v>0.72</v>
      </c>
      <c r="Q52" s="3206" t="s">
        <v>3118</v>
      </c>
      <c r="R52" s="3209">
        <f t="shared" si="0"/>
        <v>310.34844825775872</v>
      </c>
    </row>
    <row r="53" spans="2:18" s="3206" customFormat="1">
      <c r="B53" s="3206" t="s">
        <v>3203</v>
      </c>
      <c r="C53" s="3206" t="s">
        <v>3049</v>
      </c>
      <c r="D53" s="3206" t="s">
        <v>3050</v>
      </c>
      <c r="E53" s="3206" t="s">
        <v>3051</v>
      </c>
      <c r="F53" s="3206" t="s">
        <v>3052</v>
      </c>
      <c r="G53" s="3206" t="s">
        <v>3122</v>
      </c>
      <c r="H53" s="3206">
        <v>37285.33</v>
      </c>
      <c r="I53" s="3206" t="s">
        <v>3204</v>
      </c>
      <c r="J53" s="3206" t="s">
        <v>2773</v>
      </c>
      <c r="K53" s="3206" t="s">
        <v>3196</v>
      </c>
      <c r="L53" s="3206" t="s">
        <v>3205</v>
      </c>
      <c r="M53" s="3206">
        <v>1158</v>
      </c>
      <c r="N53" s="3206">
        <v>20.71</v>
      </c>
      <c r="O53" s="3206">
        <v>258.81</v>
      </c>
      <c r="P53" s="3206">
        <v>0.87</v>
      </c>
      <c r="Q53" s="3206" t="s">
        <v>3097</v>
      </c>
      <c r="R53" s="3209">
        <f t="shared" si="0"/>
        <v>310.64844675776624</v>
      </c>
    </row>
    <row r="54" spans="2:18" s="3206" customFormat="1">
      <c r="B54" s="3206" t="s">
        <v>3206</v>
      </c>
      <c r="C54" s="3206" t="s">
        <v>3049</v>
      </c>
      <c r="D54" s="3206" t="s">
        <v>3050</v>
      </c>
      <c r="E54" s="3206" t="s">
        <v>3051</v>
      </c>
      <c r="F54" s="3206" t="s">
        <v>3052</v>
      </c>
      <c r="G54" s="3206" t="s">
        <v>3059</v>
      </c>
      <c r="H54" s="3206">
        <v>32682.59</v>
      </c>
      <c r="I54" s="3206" t="s">
        <v>3123</v>
      </c>
      <c r="J54" s="3206" t="s">
        <v>2773</v>
      </c>
      <c r="K54" s="3206" t="s">
        <v>3196</v>
      </c>
      <c r="L54" s="3206" t="s">
        <v>3174</v>
      </c>
      <c r="M54" s="3206">
        <v>1015</v>
      </c>
      <c r="N54" s="3206">
        <v>20.7</v>
      </c>
      <c r="O54" s="3206">
        <v>621.12</v>
      </c>
      <c r="P54" s="3206">
        <v>1</v>
      </c>
      <c r="Q54" s="3206" t="s">
        <v>3118</v>
      </c>
      <c r="R54" s="3209">
        <f t="shared" si="0"/>
        <v>310.49844750776248</v>
      </c>
    </row>
    <row r="55" spans="2:18">
      <c r="B55" s="3202" t="s">
        <v>3207</v>
      </c>
      <c r="C55" s="3202" t="s">
        <v>3049</v>
      </c>
      <c r="D55" s="3202" t="s">
        <v>3050</v>
      </c>
      <c r="E55" s="3202" t="s">
        <v>3051</v>
      </c>
      <c r="F55" s="3202" t="s">
        <v>3052</v>
      </c>
      <c r="G55" s="3202" t="s">
        <v>3111</v>
      </c>
      <c r="H55" s="3202">
        <v>41504.879999999997</v>
      </c>
      <c r="I55" s="3202" t="s">
        <v>3107</v>
      </c>
      <c r="J55" s="3202" t="s">
        <v>2773</v>
      </c>
      <c r="K55" s="3202" t="s">
        <v>3196</v>
      </c>
      <c r="L55" s="3202" t="s">
        <v>3208</v>
      </c>
      <c r="M55" s="3202">
        <v>1289</v>
      </c>
      <c r="N55" s="3202">
        <v>20.7</v>
      </c>
      <c r="O55" s="3202">
        <v>155.28</v>
      </c>
      <c r="P55" s="3202">
        <v>0.78</v>
      </c>
      <c r="Q55" s="3202" t="s">
        <v>3118</v>
      </c>
      <c r="R55" s="3208">
        <f t="shared" si="0"/>
        <v>310.49844750776248</v>
      </c>
    </row>
    <row r="56" spans="2:18" s="3206" customFormat="1">
      <c r="B56" s="3206" t="s">
        <v>3209</v>
      </c>
      <c r="C56" s="3206" t="s">
        <v>3049</v>
      </c>
      <c r="D56" s="3206" t="s">
        <v>3050</v>
      </c>
      <c r="E56" s="3206" t="s">
        <v>3051</v>
      </c>
      <c r="F56" s="3206" t="s">
        <v>3052</v>
      </c>
      <c r="G56" s="3206" t="s">
        <v>3111</v>
      </c>
      <c r="H56" s="3206">
        <v>27729.29</v>
      </c>
      <c r="I56" s="3206" t="s">
        <v>3107</v>
      </c>
      <c r="J56" s="3206" t="s">
        <v>2773</v>
      </c>
      <c r="K56" s="3206" t="s">
        <v>3196</v>
      </c>
      <c r="L56" s="3206" t="s">
        <v>3208</v>
      </c>
      <c r="M56" s="3206">
        <v>861</v>
      </c>
      <c r="N56" s="3206">
        <v>20.7</v>
      </c>
      <c r="O56" s="3206">
        <v>155.25</v>
      </c>
      <c r="P56" s="3206">
        <v>1.18</v>
      </c>
      <c r="Q56" s="3206" t="s">
        <v>3118</v>
      </c>
      <c r="R56" s="3209">
        <f t="shared" si="0"/>
        <v>310.49844750776248</v>
      </c>
    </row>
    <row r="57" spans="2:18" s="3206" customFormat="1">
      <c r="B57" s="3206" t="s">
        <v>3210</v>
      </c>
      <c r="C57" s="3206" t="s">
        <v>3049</v>
      </c>
      <c r="D57" s="3206" t="s">
        <v>3050</v>
      </c>
      <c r="E57" s="3206" t="s">
        <v>3051</v>
      </c>
      <c r="F57" s="3206" t="s">
        <v>3052</v>
      </c>
      <c r="G57" s="3206" t="s">
        <v>3122</v>
      </c>
      <c r="H57" s="3206">
        <v>28822.73</v>
      </c>
      <c r="I57" s="3206" t="s">
        <v>3204</v>
      </c>
      <c r="J57" s="3206" t="s">
        <v>2773</v>
      </c>
      <c r="K57" s="3206" t="s">
        <v>3196</v>
      </c>
      <c r="L57" s="3206" t="s">
        <v>3205</v>
      </c>
      <c r="M57" s="3206">
        <v>895</v>
      </c>
      <c r="N57" s="3206">
        <v>20.7</v>
      </c>
      <c r="O57" s="3206">
        <v>258.76</v>
      </c>
      <c r="P57" s="3206">
        <v>1.1299999999999999</v>
      </c>
      <c r="Q57" s="3206" t="s">
        <v>3057</v>
      </c>
      <c r="R57" s="3209">
        <f t="shared" si="0"/>
        <v>310.49844750776248</v>
      </c>
    </row>
    <row r="58" spans="2:18" s="3206" customFormat="1">
      <c r="B58" s="3206" t="s">
        <v>3211</v>
      </c>
      <c r="C58" s="3206" t="s">
        <v>3049</v>
      </c>
      <c r="D58" s="3206" t="s">
        <v>3050</v>
      </c>
      <c r="E58" s="3206" t="s">
        <v>3051</v>
      </c>
      <c r="F58" s="3206" t="s">
        <v>3052</v>
      </c>
      <c r="G58" s="3206" t="s">
        <v>3111</v>
      </c>
      <c r="H58" s="3206">
        <v>66978.06</v>
      </c>
      <c r="I58" s="3206" t="s">
        <v>3079</v>
      </c>
      <c r="J58" s="3206" t="s">
        <v>2773</v>
      </c>
      <c r="K58" s="3206" t="s">
        <v>3196</v>
      </c>
      <c r="L58" s="3206" t="s">
        <v>3212</v>
      </c>
      <c r="M58" s="3206">
        <v>2080</v>
      </c>
      <c r="N58" s="3206">
        <v>20.7</v>
      </c>
      <c r="O58" s="3206">
        <v>207.03</v>
      </c>
      <c r="P58" s="3206">
        <v>0.48</v>
      </c>
      <c r="Q58" s="3206" t="s">
        <v>3118</v>
      </c>
      <c r="R58" s="3209">
        <f t="shared" si="0"/>
        <v>310.49844750776248</v>
      </c>
    </row>
    <row r="59" spans="2:18">
      <c r="B59" s="3202" t="s">
        <v>3213</v>
      </c>
      <c r="C59" s="3202" t="s">
        <v>3049</v>
      </c>
      <c r="D59" s="3202" t="s">
        <v>3050</v>
      </c>
      <c r="E59" s="3202" t="s">
        <v>3051</v>
      </c>
      <c r="F59" s="3202" t="s">
        <v>3052</v>
      </c>
      <c r="G59" s="3202" t="s">
        <v>3122</v>
      </c>
      <c r="H59" s="3202">
        <v>4986.8900000000003</v>
      </c>
      <c r="I59" s="3202" t="s">
        <v>3107</v>
      </c>
      <c r="J59" s="3202" t="s">
        <v>2773</v>
      </c>
      <c r="K59" s="3202" t="s">
        <v>3196</v>
      </c>
      <c r="L59" s="3202" t="s">
        <v>3214</v>
      </c>
      <c r="M59" s="3202">
        <v>155</v>
      </c>
      <c r="N59" s="3202">
        <v>20.72</v>
      </c>
      <c r="O59" s="3202">
        <v>155.4</v>
      </c>
      <c r="P59" s="3202">
        <v>0.65</v>
      </c>
      <c r="Q59" s="3202" t="s">
        <v>3118</v>
      </c>
      <c r="R59" s="3208">
        <f t="shared" si="0"/>
        <v>310.79844600776994</v>
      </c>
    </row>
    <row r="60" spans="2:18">
      <c r="B60" s="3202" t="s">
        <v>3215</v>
      </c>
      <c r="C60" s="3202" t="s">
        <v>3049</v>
      </c>
      <c r="D60" s="3202" t="s">
        <v>3050</v>
      </c>
      <c r="E60" s="3202" t="s">
        <v>3051</v>
      </c>
      <c r="F60" s="3202" t="s">
        <v>3052</v>
      </c>
      <c r="G60" s="3202" t="s">
        <v>3111</v>
      </c>
      <c r="H60" s="3202">
        <v>52050.35</v>
      </c>
      <c r="I60" s="3202" t="s">
        <v>3107</v>
      </c>
      <c r="J60" s="3202" t="s">
        <v>2773</v>
      </c>
      <c r="K60" s="3202" t="s">
        <v>3196</v>
      </c>
      <c r="L60" s="3202" t="s">
        <v>3208</v>
      </c>
      <c r="M60" s="3202">
        <v>1616</v>
      </c>
      <c r="N60" s="3202">
        <v>20.7</v>
      </c>
      <c r="O60" s="3202">
        <v>155.22</v>
      </c>
      <c r="P60" s="3202">
        <v>0.62</v>
      </c>
      <c r="Q60" s="3202" t="s">
        <v>3118</v>
      </c>
      <c r="R60" s="3208">
        <f t="shared" si="0"/>
        <v>310.49844750776248</v>
      </c>
    </row>
    <row r="61" spans="2:18" s="3206" customFormat="1">
      <c r="B61" s="3206" t="s">
        <v>3216</v>
      </c>
      <c r="C61" s="3206" t="s">
        <v>3049</v>
      </c>
      <c r="D61" s="3206" t="s">
        <v>3050</v>
      </c>
      <c r="E61" s="3206" t="s">
        <v>3051</v>
      </c>
      <c r="F61" s="3206" t="s">
        <v>3052</v>
      </c>
      <c r="G61" s="3206" t="s">
        <v>3059</v>
      </c>
      <c r="H61" s="3206">
        <v>34264.870000000003</v>
      </c>
      <c r="I61" s="3206" t="s">
        <v>3132</v>
      </c>
      <c r="J61" s="3206" t="s">
        <v>2773</v>
      </c>
      <c r="K61" s="3206" t="s">
        <v>3196</v>
      </c>
      <c r="L61" s="3206" t="s">
        <v>3174</v>
      </c>
      <c r="M61" s="3206">
        <v>1064</v>
      </c>
      <c r="N61" s="3206">
        <v>20.7</v>
      </c>
      <c r="O61" s="3206">
        <v>388.14</v>
      </c>
      <c r="P61" s="3206">
        <v>0.95</v>
      </c>
      <c r="Q61" s="3206" t="s">
        <v>3097</v>
      </c>
      <c r="R61" s="3209">
        <f t="shared" si="0"/>
        <v>310.49844750776248</v>
      </c>
    </row>
    <row r="62" spans="2:18">
      <c r="B62" s="3202" t="s">
        <v>3217</v>
      </c>
      <c r="C62" s="3202" t="s">
        <v>3049</v>
      </c>
      <c r="D62" s="3202" t="s">
        <v>3050</v>
      </c>
      <c r="E62" s="3202" t="s">
        <v>3051</v>
      </c>
      <c r="F62" s="3202" t="s">
        <v>3052</v>
      </c>
      <c r="G62" s="3202" t="s">
        <v>3111</v>
      </c>
      <c r="H62" s="3202">
        <v>48373.99</v>
      </c>
      <c r="I62" s="3202" t="s">
        <v>3107</v>
      </c>
      <c r="J62" s="3202" t="s">
        <v>2773</v>
      </c>
      <c r="K62" s="3202" t="s">
        <v>3196</v>
      </c>
      <c r="L62" s="3202" t="s">
        <v>3208</v>
      </c>
      <c r="M62" s="3202">
        <v>1502</v>
      </c>
      <c r="N62" s="3202">
        <v>20.7</v>
      </c>
      <c r="O62" s="3202">
        <v>155.25</v>
      </c>
      <c r="P62" s="3202">
        <v>0.67</v>
      </c>
      <c r="Q62" s="3202" t="s">
        <v>3118</v>
      </c>
      <c r="R62" s="3208">
        <f t="shared" si="0"/>
        <v>310.49844750776248</v>
      </c>
    </row>
    <row r="63" spans="2:18" s="3206" customFormat="1">
      <c r="B63" s="3206" t="s">
        <v>3218</v>
      </c>
      <c r="C63" s="3206" t="s">
        <v>3049</v>
      </c>
      <c r="D63" s="3206" t="s">
        <v>3050</v>
      </c>
      <c r="E63" s="3206" t="s">
        <v>3051</v>
      </c>
      <c r="F63" s="3206" t="s">
        <v>3052</v>
      </c>
      <c r="G63" s="3206" t="s">
        <v>3111</v>
      </c>
      <c r="H63" s="3206">
        <v>36872.89</v>
      </c>
      <c r="I63" s="3206" t="s">
        <v>3107</v>
      </c>
      <c r="J63" s="3206" t="s">
        <v>2773</v>
      </c>
      <c r="K63" s="3206" t="s">
        <v>3196</v>
      </c>
      <c r="L63" s="3206" t="s">
        <v>3208</v>
      </c>
      <c r="M63" s="3206">
        <v>1145</v>
      </c>
      <c r="N63" s="3206">
        <v>20.7</v>
      </c>
      <c r="O63" s="3206">
        <v>155.25</v>
      </c>
      <c r="P63" s="3206">
        <v>0.88</v>
      </c>
      <c r="Q63" s="3206" t="s">
        <v>3118</v>
      </c>
      <c r="R63" s="3209">
        <f t="shared" si="0"/>
        <v>310.49844750776248</v>
      </c>
    </row>
    <row r="64" spans="2:18">
      <c r="B64" s="3202" t="s">
        <v>3219</v>
      </c>
      <c r="C64" s="3202" t="s">
        <v>3049</v>
      </c>
      <c r="D64" s="3202" t="s">
        <v>3050</v>
      </c>
      <c r="E64" s="3202" t="s">
        <v>3051</v>
      </c>
      <c r="F64" s="3202" t="s">
        <v>3052</v>
      </c>
      <c r="G64" s="3202" t="s">
        <v>3059</v>
      </c>
      <c r="H64" s="3202">
        <v>13825</v>
      </c>
      <c r="I64" s="3202" t="s">
        <v>3070</v>
      </c>
      <c r="J64" s="3202" t="s">
        <v>2773</v>
      </c>
      <c r="K64" s="3202" t="s">
        <v>3220</v>
      </c>
      <c r="L64" s="3202" t="s">
        <v>3147</v>
      </c>
      <c r="M64" s="3202">
        <v>400</v>
      </c>
      <c r="N64" s="3202">
        <v>19.29</v>
      </c>
      <c r="O64" s="3202">
        <v>192.88</v>
      </c>
      <c r="P64" s="3202">
        <v>0</v>
      </c>
      <c r="Q64" s="3202" t="s">
        <v>3090</v>
      </c>
      <c r="R64" s="3208">
        <f t="shared" si="0"/>
        <v>289.34855325723373</v>
      </c>
    </row>
    <row r="65" spans="2:18">
      <c r="B65" s="3202" t="s">
        <v>3221</v>
      </c>
      <c r="C65" s="3202" t="s">
        <v>3049</v>
      </c>
      <c r="D65" s="3202" t="s">
        <v>3050</v>
      </c>
      <c r="E65" s="3202" t="s">
        <v>3051</v>
      </c>
      <c r="F65" s="3202" t="s">
        <v>3052</v>
      </c>
      <c r="G65" s="3202" t="s">
        <v>3122</v>
      </c>
      <c r="H65" s="3202">
        <v>44936.58</v>
      </c>
      <c r="I65" s="3202" t="s">
        <v>3172</v>
      </c>
      <c r="J65" s="3202" t="s">
        <v>2773</v>
      </c>
      <c r="K65" s="3202" t="s">
        <v>3222</v>
      </c>
      <c r="L65" s="3202" t="s">
        <v>3223</v>
      </c>
      <c r="M65" s="3202">
        <v>1400</v>
      </c>
      <c r="N65" s="3202">
        <v>20.77</v>
      </c>
      <c r="O65" s="3202">
        <v>311.55</v>
      </c>
      <c r="P65" s="3202">
        <v>0.36</v>
      </c>
      <c r="Q65" s="3202" t="s">
        <v>3057</v>
      </c>
      <c r="R65" s="3208">
        <f t="shared" si="0"/>
        <v>311.54844225778874</v>
      </c>
    </row>
    <row r="66" spans="2:18">
      <c r="B66" s="3202" t="s">
        <v>3224</v>
      </c>
      <c r="C66" s="3202" t="s">
        <v>3049</v>
      </c>
      <c r="D66" s="3202" t="s">
        <v>3050</v>
      </c>
      <c r="E66" s="3202" t="s">
        <v>3051</v>
      </c>
      <c r="F66" s="3202" t="s">
        <v>3052</v>
      </c>
      <c r="G66" s="3202" t="s">
        <v>3059</v>
      </c>
      <c r="H66" s="3202">
        <v>871712.5</v>
      </c>
      <c r="I66" s="3202" t="s">
        <v>3123</v>
      </c>
      <c r="J66" s="3202" t="s">
        <v>2773</v>
      </c>
      <c r="K66" s="3202" t="s">
        <v>3222</v>
      </c>
      <c r="L66" s="3202" t="s">
        <v>3225</v>
      </c>
      <c r="M66" s="3202">
        <v>27060</v>
      </c>
      <c r="N66" s="3202">
        <v>20.69</v>
      </c>
      <c r="O66" s="3202">
        <v>620.85</v>
      </c>
      <c r="P66" s="3202">
        <v>0.04</v>
      </c>
      <c r="Q66" s="3202" t="s">
        <v>3057</v>
      </c>
      <c r="R66" s="3208">
        <f t="shared" si="0"/>
        <v>310.34844825775872</v>
      </c>
    </row>
    <row r="67" spans="2:18">
      <c r="B67" s="3202" t="s">
        <v>3226</v>
      </c>
      <c r="C67" s="3202" t="s">
        <v>3049</v>
      </c>
      <c r="D67" s="3202" t="s">
        <v>3050</v>
      </c>
      <c r="E67" s="3202" t="s">
        <v>3051</v>
      </c>
      <c r="F67" s="3202" t="s">
        <v>3052</v>
      </c>
      <c r="G67" s="3202" t="s">
        <v>3122</v>
      </c>
      <c r="H67" s="3202">
        <v>45354.25</v>
      </c>
      <c r="I67" s="3202" t="s">
        <v>3172</v>
      </c>
      <c r="J67" s="3202" t="s">
        <v>2773</v>
      </c>
      <c r="K67" s="3202" t="s">
        <v>3222</v>
      </c>
      <c r="L67" s="3202" t="s">
        <v>3223</v>
      </c>
      <c r="M67" s="3202">
        <v>1410</v>
      </c>
      <c r="N67" s="3202">
        <v>20.73</v>
      </c>
      <c r="O67" s="3202">
        <v>310.88</v>
      </c>
      <c r="P67" s="3202">
        <v>0.36</v>
      </c>
      <c r="Q67" s="3202" t="s">
        <v>3057</v>
      </c>
      <c r="R67" s="3208">
        <f t="shared" si="0"/>
        <v>310.94844525777376</v>
      </c>
    </row>
    <row r="68" spans="2:18">
      <c r="B68" s="3202" t="s">
        <v>3227</v>
      </c>
      <c r="C68" s="3202" t="s">
        <v>3049</v>
      </c>
      <c r="D68" s="3202" t="s">
        <v>3050</v>
      </c>
      <c r="E68" s="3202" t="s">
        <v>3051</v>
      </c>
      <c r="F68" s="3202" t="s">
        <v>3052</v>
      </c>
      <c r="G68" s="3202" t="s">
        <v>3122</v>
      </c>
      <c r="H68" s="3202">
        <v>15770.55</v>
      </c>
      <c r="I68" s="3202" t="s">
        <v>3107</v>
      </c>
      <c r="J68" s="3202" t="s">
        <v>2773</v>
      </c>
      <c r="K68" s="3202" t="s">
        <v>3222</v>
      </c>
      <c r="L68" s="3202" t="s">
        <v>3228</v>
      </c>
      <c r="M68" s="3202">
        <v>490</v>
      </c>
      <c r="N68" s="3202">
        <v>20.71</v>
      </c>
      <c r="O68" s="3202">
        <v>155.34</v>
      </c>
      <c r="P68" s="3202">
        <v>1.03</v>
      </c>
      <c r="Q68" s="3202" t="s">
        <v>3057</v>
      </c>
      <c r="R68" s="3208">
        <f t="shared" ref="R68:R102" si="1">N68/666.67*10000</f>
        <v>310.64844675776624</v>
      </c>
    </row>
    <row r="69" spans="2:18">
      <c r="B69" s="3202" t="s">
        <v>3229</v>
      </c>
      <c r="C69" s="3202" t="s">
        <v>3049</v>
      </c>
      <c r="D69" s="3202" t="s">
        <v>3050</v>
      </c>
      <c r="E69" s="3202" t="s">
        <v>3051</v>
      </c>
      <c r="F69" s="3202" t="s">
        <v>3052</v>
      </c>
      <c r="G69" s="3202" t="s">
        <v>3111</v>
      </c>
      <c r="H69" s="3202">
        <v>9607.17</v>
      </c>
      <c r="I69" s="3202" t="s">
        <v>3230</v>
      </c>
      <c r="J69" s="3202" t="s">
        <v>2773</v>
      </c>
      <c r="K69" s="3202" t="s">
        <v>3231</v>
      </c>
      <c r="L69" s="3202" t="s">
        <v>3232</v>
      </c>
      <c r="M69" s="3202">
        <v>2170</v>
      </c>
      <c r="N69" s="3202">
        <v>150.58000000000001</v>
      </c>
      <c r="O69" s="3202">
        <v>903.49</v>
      </c>
      <c r="P69" s="3202">
        <v>58.39</v>
      </c>
      <c r="Q69" s="3202" t="s">
        <v>3164</v>
      </c>
      <c r="R69" s="3208">
        <f t="shared" si="1"/>
        <v>2258.6887065564674</v>
      </c>
    </row>
    <row r="70" spans="2:18">
      <c r="B70" s="3202" t="s">
        <v>3233</v>
      </c>
      <c r="C70" s="3202" t="s">
        <v>3049</v>
      </c>
      <c r="D70" s="3202" t="s">
        <v>3050</v>
      </c>
      <c r="E70" s="3202" t="s">
        <v>3051</v>
      </c>
      <c r="F70" s="3202" t="s">
        <v>3052</v>
      </c>
      <c r="G70" s="3202" t="s">
        <v>3111</v>
      </c>
      <c r="H70" s="3202">
        <v>3044.63</v>
      </c>
      <c r="I70" s="3202" t="s">
        <v>3107</v>
      </c>
      <c r="J70" s="3202" t="s">
        <v>2773</v>
      </c>
      <c r="K70" s="3202" t="s">
        <v>3234</v>
      </c>
      <c r="L70" s="3202" t="s">
        <v>3235</v>
      </c>
      <c r="M70" s="3202">
        <v>167</v>
      </c>
      <c r="N70" s="3202">
        <v>36.57</v>
      </c>
      <c r="O70" s="3202">
        <v>274.25</v>
      </c>
      <c r="P70" s="3202">
        <v>1.83</v>
      </c>
      <c r="Q70" s="3202" t="s">
        <v>3097</v>
      </c>
      <c r="R70" s="3208">
        <f t="shared" si="1"/>
        <v>548.54725726371373</v>
      </c>
    </row>
    <row r="71" spans="2:18">
      <c r="B71" s="3202" t="s">
        <v>3236</v>
      </c>
      <c r="C71" s="3202" t="s">
        <v>3049</v>
      </c>
      <c r="D71" s="3202" t="s">
        <v>3050</v>
      </c>
      <c r="E71" s="3202" t="s">
        <v>3051</v>
      </c>
      <c r="F71" s="3202" t="s">
        <v>3052</v>
      </c>
      <c r="G71" s="3202" t="s">
        <v>3122</v>
      </c>
      <c r="H71" s="3202">
        <v>3636.76</v>
      </c>
      <c r="I71" s="3202" t="s">
        <v>3107</v>
      </c>
      <c r="J71" s="3202" t="s">
        <v>2773</v>
      </c>
      <c r="K71" s="3202" t="s">
        <v>3237</v>
      </c>
      <c r="L71" s="3202" t="s">
        <v>3228</v>
      </c>
      <c r="M71" s="3202">
        <v>115</v>
      </c>
      <c r="N71" s="3202">
        <v>21.08</v>
      </c>
      <c r="O71" s="3202">
        <v>158.11000000000001</v>
      </c>
      <c r="P71" s="3202">
        <v>4.55</v>
      </c>
      <c r="Q71" s="3202" t="s">
        <v>3057</v>
      </c>
      <c r="R71" s="3208">
        <f t="shared" si="1"/>
        <v>316.19841900790493</v>
      </c>
    </row>
    <row r="72" spans="2:18">
      <c r="B72" s="3202" t="s">
        <v>3238</v>
      </c>
      <c r="C72" s="3202" t="s">
        <v>3049</v>
      </c>
      <c r="D72" s="3202" t="s">
        <v>3050</v>
      </c>
      <c r="E72" s="3202" t="s">
        <v>3051</v>
      </c>
      <c r="F72" s="3202" t="s">
        <v>3052</v>
      </c>
      <c r="G72" s="3202" t="s">
        <v>3122</v>
      </c>
      <c r="H72" s="3202">
        <v>15612.25</v>
      </c>
      <c r="I72" s="3202" t="s">
        <v>3107</v>
      </c>
      <c r="J72" s="3202" t="s">
        <v>2773</v>
      </c>
      <c r="K72" s="3202" t="s">
        <v>3237</v>
      </c>
      <c r="L72" s="3202" t="s">
        <v>3228</v>
      </c>
      <c r="M72" s="3202">
        <v>485</v>
      </c>
      <c r="N72" s="3202">
        <v>20.71</v>
      </c>
      <c r="O72" s="3202">
        <v>155.33000000000001</v>
      </c>
      <c r="P72" s="3202">
        <v>1.04</v>
      </c>
      <c r="Q72" s="3202" t="s">
        <v>3057</v>
      </c>
      <c r="R72" s="3208">
        <f t="shared" si="1"/>
        <v>310.64844675776624</v>
      </c>
    </row>
    <row r="73" spans="2:18">
      <c r="B73" s="3202" t="s">
        <v>3239</v>
      </c>
      <c r="C73" s="3202" t="s">
        <v>3049</v>
      </c>
      <c r="D73" s="3202" t="s">
        <v>3050</v>
      </c>
      <c r="E73" s="3202" t="s">
        <v>3051</v>
      </c>
      <c r="F73" s="3202" t="s">
        <v>3052</v>
      </c>
      <c r="G73" s="3202" t="s">
        <v>3059</v>
      </c>
      <c r="H73" s="3202">
        <v>3139</v>
      </c>
      <c r="I73" s="3202" t="s">
        <v>3240</v>
      </c>
      <c r="J73" s="3202" t="s">
        <v>2773</v>
      </c>
      <c r="K73" s="3202" t="s">
        <v>3241</v>
      </c>
      <c r="L73" s="3202" t="s">
        <v>3242</v>
      </c>
      <c r="M73" s="3202">
        <v>1160</v>
      </c>
      <c r="N73" s="3202">
        <v>246.36</v>
      </c>
      <c r="O73" s="3202">
        <v>1847.72</v>
      </c>
      <c r="P73" s="3202">
        <v>5.45</v>
      </c>
      <c r="Q73" s="3202" t="s">
        <v>3097</v>
      </c>
      <c r="R73" s="3208">
        <f t="shared" si="1"/>
        <v>3695.3815230923847</v>
      </c>
    </row>
    <row r="74" spans="2:18">
      <c r="B74" s="3202" t="s">
        <v>3243</v>
      </c>
      <c r="C74" s="3202" t="s">
        <v>3049</v>
      </c>
      <c r="D74" s="3202" t="s">
        <v>3050</v>
      </c>
      <c r="E74" s="3202" t="s">
        <v>3051</v>
      </c>
      <c r="F74" s="3202" t="s">
        <v>3052</v>
      </c>
      <c r="G74" s="3202" t="s">
        <v>3059</v>
      </c>
      <c r="H74" s="3202">
        <v>2209</v>
      </c>
      <c r="I74" s="3202" t="s">
        <v>3240</v>
      </c>
      <c r="J74" s="3202" t="s">
        <v>2773</v>
      </c>
      <c r="K74" s="3202" t="s">
        <v>3241</v>
      </c>
      <c r="L74" s="3202" t="s">
        <v>3242</v>
      </c>
      <c r="M74" s="3202">
        <v>790</v>
      </c>
      <c r="N74" s="3202">
        <v>238.42</v>
      </c>
      <c r="O74" s="3202">
        <v>1788.14</v>
      </c>
      <c r="P74" s="3202">
        <v>1.28</v>
      </c>
      <c r="Q74" s="3202" t="s">
        <v>3097</v>
      </c>
      <c r="R74" s="3208">
        <f t="shared" si="1"/>
        <v>3576.2821185894072</v>
      </c>
    </row>
    <row r="75" spans="2:18">
      <c r="B75" s="3202" t="s">
        <v>3244</v>
      </c>
      <c r="C75" s="3202" t="s">
        <v>3049</v>
      </c>
      <c r="D75" s="3202" t="s">
        <v>3050</v>
      </c>
      <c r="E75" s="3202" t="s">
        <v>3051</v>
      </c>
      <c r="F75" s="3202" t="s">
        <v>3052</v>
      </c>
      <c r="G75" s="3202" t="s">
        <v>3122</v>
      </c>
      <c r="H75" s="3202">
        <v>1868.67</v>
      </c>
      <c r="I75" s="3202" t="s">
        <v>3230</v>
      </c>
      <c r="J75" s="3202" t="s">
        <v>2773</v>
      </c>
      <c r="K75" s="3202" t="s">
        <v>3245</v>
      </c>
      <c r="L75" s="3202" t="s">
        <v>3246</v>
      </c>
      <c r="M75" s="3202">
        <v>338</v>
      </c>
      <c r="N75" s="3202">
        <v>120.58</v>
      </c>
      <c r="O75" s="3202">
        <v>723.5</v>
      </c>
      <c r="P75" s="3202">
        <v>1.5</v>
      </c>
      <c r="Q75" s="3202" t="s">
        <v>3118</v>
      </c>
      <c r="R75" s="3208">
        <f t="shared" si="1"/>
        <v>1808.6909565452172</v>
      </c>
    </row>
    <row r="76" spans="2:18">
      <c r="B76" s="3202" t="s">
        <v>3247</v>
      </c>
      <c r="C76" s="3202" t="s">
        <v>3049</v>
      </c>
      <c r="D76" s="3202" t="s">
        <v>3050</v>
      </c>
      <c r="E76" s="3202" t="s">
        <v>3051</v>
      </c>
      <c r="F76" s="3202" t="s">
        <v>3052</v>
      </c>
      <c r="G76" s="3202" t="s">
        <v>3122</v>
      </c>
      <c r="H76" s="3202">
        <v>5273.76</v>
      </c>
      <c r="I76" s="3202" t="s">
        <v>3230</v>
      </c>
      <c r="J76" s="3202" t="s">
        <v>2773</v>
      </c>
      <c r="K76" s="3202" t="s">
        <v>3245</v>
      </c>
      <c r="L76" s="3202" t="s">
        <v>3246</v>
      </c>
      <c r="M76" s="3202">
        <v>948</v>
      </c>
      <c r="N76" s="3202">
        <v>119.84</v>
      </c>
      <c r="O76" s="3202">
        <v>719.02</v>
      </c>
      <c r="P76" s="3202">
        <v>0.53</v>
      </c>
      <c r="Q76" s="3202" t="s">
        <v>3118</v>
      </c>
      <c r="R76" s="3208">
        <f t="shared" si="1"/>
        <v>1797.5910120449398</v>
      </c>
    </row>
    <row r="77" spans="2:18">
      <c r="B77" s="3202" t="s">
        <v>3248</v>
      </c>
      <c r="C77" s="3202" t="s">
        <v>3049</v>
      </c>
      <c r="D77" s="3202" t="s">
        <v>3050</v>
      </c>
      <c r="E77" s="3202" t="s">
        <v>3051</v>
      </c>
      <c r="F77" s="3202" t="s">
        <v>3052</v>
      </c>
      <c r="G77" s="3202" t="s">
        <v>3059</v>
      </c>
      <c r="H77" s="3202">
        <v>66686.210000000006</v>
      </c>
      <c r="I77" s="3202" t="s">
        <v>3156</v>
      </c>
      <c r="J77" s="3202" t="s">
        <v>2773</v>
      </c>
      <c r="K77" s="3202" t="s">
        <v>3249</v>
      </c>
      <c r="L77" s="3202" t="s">
        <v>3250</v>
      </c>
      <c r="M77" s="3202">
        <v>1331</v>
      </c>
      <c r="N77" s="3202">
        <v>13.31</v>
      </c>
      <c r="O77" s="3202">
        <v>332.64</v>
      </c>
      <c r="P77" s="3202">
        <v>1.6</v>
      </c>
      <c r="Q77" s="3202" t="s">
        <v>3057</v>
      </c>
      <c r="R77" s="3208">
        <f t="shared" si="1"/>
        <v>199.64900175499122</v>
      </c>
    </row>
    <row r="78" spans="2:18">
      <c r="B78" s="3202" t="s">
        <v>3251</v>
      </c>
      <c r="C78" s="3202" t="s">
        <v>3049</v>
      </c>
      <c r="D78" s="3202" t="s">
        <v>3050</v>
      </c>
      <c r="E78" s="3202" t="s">
        <v>3051</v>
      </c>
      <c r="F78" s="3202" t="s">
        <v>3052</v>
      </c>
      <c r="G78" s="3202" t="s">
        <v>3122</v>
      </c>
      <c r="H78" s="3202">
        <v>12474.68</v>
      </c>
      <c r="I78" s="3202" t="s">
        <v>3099</v>
      </c>
      <c r="J78" s="3202" t="s">
        <v>2773</v>
      </c>
      <c r="K78" s="3202" t="s">
        <v>3252</v>
      </c>
      <c r="L78" s="3202" t="s">
        <v>3253</v>
      </c>
      <c r="M78" s="3202">
        <v>374</v>
      </c>
      <c r="N78" s="3202">
        <v>19.989999999999998</v>
      </c>
      <c r="O78" s="3202">
        <v>230.62</v>
      </c>
      <c r="P78" s="3202">
        <v>0.27</v>
      </c>
      <c r="Q78" s="3202" t="s">
        <v>3057</v>
      </c>
      <c r="R78" s="3208">
        <f t="shared" si="1"/>
        <v>299.8485007574962</v>
      </c>
    </row>
    <row r="79" spans="2:18">
      <c r="B79" s="3202" t="s">
        <v>3254</v>
      </c>
      <c r="C79" s="3202" t="s">
        <v>3049</v>
      </c>
      <c r="D79" s="3202" t="s">
        <v>3050</v>
      </c>
      <c r="E79" s="3202" t="s">
        <v>3051</v>
      </c>
      <c r="F79" s="3202" t="s">
        <v>3052</v>
      </c>
      <c r="G79" s="3202" t="s">
        <v>3255</v>
      </c>
      <c r="H79" s="3202">
        <v>134044.1</v>
      </c>
      <c r="I79" s="3202" t="s">
        <v>3204</v>
      </c>
      <c r="J79" s="3202" t="s">
        <v>2773</v>
      </c>
      <c r="K79" s="3202" t="s">
        <v>3256</v>
      </c>
      <c r="L79" s="3202" t="s">
        <v>3257</v>
      </c>
      <c r="M79" s="3202">
        <v>5432</v>
      </c>
      <c r="N79" s="3202">
        <v>27.02</v>
      </c>
      <c r="O79" s="3202">
        <v>337.69</v>
      </c>
      <c r="P79" s="3202">
        <v>36.76</v>
      </c>
      <c r="Q79" s="3202" t="s">
        <v>3090</v>
      </c>
      <c r="R79" s="3208">
        <f t="shared" si="1"/>
        <v>405.29797351013246</v>
      </c>
    </row>
    <row r="80" spans="2:18">
      <c r="B80" s="3202" t="s">
        <v>3258</v>
      </c>
      <c r="C80" s="3202" t="s">
        <v>3049</v>
      </c>
      <c r="D80" s="3202" t="s">
        <v>3050</v>
      </c>
      <c r="E80" s="3202" t="s">
        <v>3051</v>
      </c>
      <c r="F80" s="3202" t="s">
        <v>3052</v>
      </c>
      <c r="G80" s="3202" t="s">
        <v>3122</v>
      </c>
      <c r="H80" s="3202">
        <v>30396.51</v>
      </c>
      <c r="I80" s="3202" t="s">
        <v>3107</v>
      </c>
      <c r="J80" s="3202" t="s">
        <v>2773</v>
      </c>
      <c r="K80" s="3202" t="s">
        <v>3259</v>
      </c>
      <c r="L80" s="3202" t="s">
        <v>3260</v>
      </c>
      <c r="M80" s="3202">
        <v>1851</v>
      </c>
      <c r="N80" s="3202">
        <v>40.6</v>
      </c>
      <c r="O80" s="3202">
        <v>304.48</v>
      </c>
      <c r="P80" s="3202">
        <v>0.54</v>
      </c>
      <c r="Q80" s="3202" t="s">
        <v>3097</v>
      </c>
      <c r="R80" s="3208">
        <f t="shared" si="1"/>
        <v>608.99695501522501</v>
      </c>
    </row>
    <row r="81" spans="2:18">
      <c r="B81" s="3202" t="s">
        <v>3261</v>
      </c>
      <c r="C81" s="3202" t="s">
        <v>3049</v>
      </c>
      <c r="D81" s="3202" t="s">
        <v>3050</v>
      </c>
      <c r="E81" s="3202" t="s">
        <v>3051</v>
      </c>
      <c r="F81" s="3202" t="s">
        <v>3052</v>
      </c>
      <c r="G81" s="3202" t="s">
        <v>3059</v>
      </c>
      <c r="H81" s="3202">
        <v>3540</v>
      </c>
      <c r="I81" s="3202" t="s">
        <v>3102</v>
      </c>
      <c r="J81" s="3202" t="s">
        <v>2773</v>
      </c>
      <c r="K81" s="3202" t="s">
        <v>3262</v>
      </c>
      <c r="L81" s="3202" t="s">
        <v>3263</v>
      </c>
      <c r="M81" s="3202">
        <v>592</v>
      </c>
      <c r="N81" s="3202">
        <v>111.49</v>
      </c>
      <c r="O81" s="3202">
        <v>668.92</v>
      </c>
      <c r="P81" s="3202">
        <v>0.85</v>
      </c>
      <c r="Q81" s="3202" t="s">
        <v>3097</v>
      </c>
      <c r="R81" s="3208">
        <f t="shared" si="1"/>
        <v>1672.3416382918085</v>
      </c>
    </row>
    <row r="82" spans="2:18">
      <c r="B82" s="3202" t="s">
        <v>3264</v>
      </c>
      <c r="C82" s="3202" t="s">
        <v>3049</v>
      </c>
      <c r="D82" s="3202" t="s">
        <v>3050</v>
      </c>
      <c r="E82" s="3202" t="s">
        <v>3051</v>
      </c>
      <c r="F82" s="3202" t="s">
        <v>3052</v>
      </c>
      <c r="G82" s="3202" t="s">
        <v>3059</v>
      </c>
      <c r="H82" s="3202">
        <v>1512</v>
      </c>
      <c r="I82" s="3202" t="s">
        <v>3240</v>
      </c>
      <c r="J82" s="3202" t="s">
        <v>2773</v>
      </c>
      <c r="K82" s="3202" t="s">
        <v>3262</v>
      </c>
      <c r="L82" s="3202" t="s">
        <v>3265</v>
      </c>
      <c r="M82" s="3202">
        <v>107</v>
      </c>
      <c r="N82" s="3202">
        <v>47.18</v>
      </c>
      <c r="O82" s="3202">
        <v>353.83</v>
      </c>
      <c r="P82" s="3202">
        <v>3.88</v>
      </c>
      <c r="Q82" s="3202" t="s">
        <v>3097</v>
      </c>
      <c r="R82" s="3208">
        <f t="shared" si="1"/>
        <v>707.69646151769246</v>
      </c>
    </row>
    <row r="83" spans="2:18">
      <c r="B83" s="3202" t="s">
        <v>3266</v>
      </c>
      <c r="C83" s="3202" t="s">
        <v>3049</v>
      </c>
      <c r="D83" s="3202" t="s">
        <v>3050</v>
      </c>
      <c r="E83" s="3202" t="s">
        <v>3051</v>
      </c>
      <c r="F83" s="3202" t="s">
        <v>3052</v>
      </c>
      <c r="G83" s="3202" t="s">
        <v>3059</v>
      </c>
      <c r="H83" s="3202">
        <v>2010.81</v>
      </c>
      <c r="I83" s="3202" t="s">
        <v>3168</v>
      </c>
      <c r="J83" s="3202" t="s">
        <v>2773</v>
      </c>
      <c r="K83" s="3202" t="s">
        <v>3267</v>
      </c>
      <c r="L83" s="3202" t="s">
        <v>3268</v>
      </c>
      <c r="M83" s="3202">
        <v>212</v>
      </c>
      <c r="N83" s="3202">
        <v>70.290000000000006</v>
      </c>
      <c r="O83" s="3202">
        <v>585.72</v>
      </c>
      <c r="P83" s="3202">
        <v>17.78</v>
      </c>
      <c r="Q83" s="3202" t="s">
        <v>3057</v>
      </c>
      <c r="R83" s="3208">
        <f t="shared" si="1"/>
        <v>1054.3447282763589</v>
      </c>
    </row>
    <row r="84" spans="2:18">
      <c r="B84" s="3202" t="s">
        <v>3269</v>
      </c>
      <c r="C84" s="3202" t="s">
        <v>3049</v>
      </c>
      <c r="D84" s="3202" t="s">
        <v>3050</v>
      </c>
      <c r="E84" s="3202" t="s">
        <v>3051</v>
      </c>
      <c r="F84" s="3202" t="s">
        <v>3052</v>
      </c>
      <c r="G84" s="3202" t="s">
        <v>3122</v>
      </c>
      <c r="H84" s="3202">
        <v>35436.44</v>
      </c>
      <c r="I84" s="3202" t="s">
        <v>3230</v>
      </c>
      <c r="J84" s="3202" t="s">
        <v>2773</v>
      </c>
      <c r="K84" s="3202" t="s">
        <v>3270</v>
      </c>
      <c r="L84" s="3202" t="s">
        <v>3232</v>
      </c>
      <c r="M84" s="3202">
        <v>4990</v>
      </c>
      <c r="N84" s="3202">
        <v>93.88</v>
      </c>
      <c r="O84" s="3202">
        <v>563.25</v>
      </c>
      <c r="P84" s="3202">
        <v>0.2</v>
      </c>
      <c r="Q84" s="3202" t="s">
        <v>3118</v>
      </c>
      <c r="R84" s="3208">
        <f t="shared" si="1"/>
        <v>1408.1929590352049</v>
      </c>
    </row>
    <row r="85" spans="2:18">
      <c r="B85" s="3202" t="s">
        <v>3271</v>
      </c>
      <c r="C85" s="3202" t="s">
        <v>3049</v>
      </c>
      <c r="D85" s="3202" t="s">
        <v>3050</v>
      </c>
      <c r="E85" s="3202" t="s">
        <v>3051</v>
      </c>
      <c r="F85" s="3202" t="s">
        <v>3052</v>
      </c>
      <c r="G85" s="3202" t="s">
        <v>3122</v>
      </c>
      <c r="H85" s="3202">
        <v>84757.08</v>
      </c>
      <c r="I85" s="3202" t="s">
        <v>3102</v>
      </c>
      <c r="J85" s="3202" t="s">
        <v>2773</v>
      </c>
      <c r="K85" s="3202" t="s">
        <v>3272</v>
      </c>
      <c r="L85" s="3202" t="s">
        <v>3246</v>
      </c>
      <c r="M85" s="3202">
        <v>10617</v>
      </c>
      <c r="N85" s="3202">
        <v>83.51</v>
      </c>
      <c r="O85" s="3202">
        <v>501.06</v>
      </c>
      <c r="P85" s="3202">
        <v>0.05</v>
      </c>
      <c r="Q85" s="3202" t="s">
        <v>3164</v>
      </c>
      <c r="R85" s="3208">
        <f t="shared" si="1"/>
        <v>1252.6437367813162</v>
      </c>
    </row>
    <row r="86" spans="2:18">
      <c r="B86" s="3202" t="s">
        <v>3273</v>
      </c>
      <c r="C86" s="3202" t="s">
        <v>3049</v>
      </c>
      <c r="D86" s="3202" t="s">
        <v>3050</v>
      </c>
      <c r="E86" s="3202" t="s">
        <v>3051</v>
      </c>
      <c r="F86" s="3202" t="s">
        <v>3052</v>
      </c>
      <c r="G86" s="3202" t="s">
        <v>3065</v>
      </c>
      <c r="H86" s="3202">
        <v>26860.15</v>
      </c>
      <c r="I86" s="3202" t="s">
        <v>3180</v>
      </c>
      <c r="J86" s="3202" t="s">
        <v>2773</v>
      </c>
      <c r="K86" s="3202" t="s">
        <v>3274</v>
      </c>
      <c r="L86" s="3202" t="s">
        <v>3232</v>
      </c>
      <c r="M86" s="3202">
        <v>4314</v>
      </c>
      <c r="N86" s="3202">
        <v>107.07</v>
      </c>
      <c r="O86" s="3202">
        <v>535.37</v>
      </c>
      <c r="P86" s="3202">
        <v>0.12</v>
      </c>
      <c r="Q86" s="3202" t="s">
        <v>3057</v>
      </c>
      <c r="R86" s="3208">
        <f t="shared" si="1"/>
        <v>1606.0419697901509</v>
      </c>
    </row>
    <row r="87" spans="2:18">
      <c r="B87" s="3202" t="s">
        <v>3275</v>
      </c>
      <c r="C87" s="3202" t="s">
        <v>3049</v>
      </c>
      <c r="D87" s="3202" t="s">
        <v>3050</v>
      </c>
      <c r="E87" s="3202" t="s">
        <v>3051</v>
      </c>
      <c r="F87" s="3202" t="s">
        <v>3052</v>
      </c>
      <c r="G87" s="3202" t="s">
        <v>3111</v>
      </c>
      <c r="H87" s="3202">
        <v>6158.49</v>
      </c>
      <c r="I87" s="3202" t="s">
        <v>3240</v>
      </c>
      <c r="J87" s="3202" t="s">
        <v>2773</v>
      </c>
      <c r="K87" s="3202" t="s">
        <v>3276</v>
      </c>
      <c r="L87" s="3202" t="s">
        <v>3194</v>
      </c>
      <c r="M87" s="3202">
        <v>614</v>
      </c>
      <c r="N87" s="3202">
        <v>66.47</v>
      </c>
      <c r="O87" s="3202">
        <v>498.5</v>
      </c>
      <c r="P87" s="3202">
        <v>1.66</v>
      </c>
      <c r="Q87" s="3202" t="s">
        <v>3057</v>
      </c>
      <c r="R87" s="3208">
        <f t="shared" si="1"/>
        <v>997.04501477492613</v>
      </c>
    </row>
    <row r="88" spans="2:18">
      <c r="B88" s="3202" t="s">
        <v>3277</v>
      </c>
      <c r="C88" s="3202" t="s">
        <v>3049</v>
      </c>
      <c r="D88" s="3202" t="s">
        <v>3050</v>
      </c>
      <c r="E88" s="3202" t="s">
        <v>3051</v>
      </c>
      <c r="F88" s="3202" t="s">
        <v>3052</v>
      </c>
      <c r="G88" s="3202" t="s">
        <v>3122</v>
      </c>
      <c r="H88" s="3202">
        <v>7272.26</v>
      </c>
      <c r="I88" s="3202" t="s">
        <v>3060</v>
      </c>
      <c r="J88" s="3202" t="s">
        <v>2773</v>
      </c>
      <c r="K88" s="3202" t="s">
        <v>3278</v>
      </c>
      <c r="L88" s="3202" t="s">
        <v>3279</v>
      </c>
      <c r="M88" s="3202">
        <v>1012</v>
      </c>
      <c r="N88" s="3202">
        <v>92.77</v>
      </c>
      <c r="O88" s="3202">
        <v>1391.58</v>
      </c>
      <c r="P88" s="3202">
        <v>0.5</v>
      </c>
      <c r="Q88" s="3202" t="s">
        <v>3057</v>
      </c>
      <c r="R88" s="3208">
        <f t="shared" si="1"/>
        <v>1391.5430422847885</v>
      </c>
    </row>
    <row r="89" spans="2:18">
      <c r="B89" s="3202" t="s">
        <v>3280</v>
      </c>
      <c r="C89" s="3202" t="s">
        <v>3049</v>
      </c>
      <c r="D89" s="3202" t="s">
        <v>3050</v>
      </c>
      <c r="E89" s="3202" t="s">
        <v>3051</v>
      </c>
      <c r="F89" s="3202" t="s">
        <v>3052</v>
      </c>
      <c r="G89" s="3202" t="s">
        <v>3059</v>
      </c>
      <c r="H89" s="3202">
        <v>21766</v>
      </c>
      <c r="I89" s="3202" t="s">
        <v>3102</v>
      </c>
      <c r="J89" s="3202" t="s">
        <v>2773</v>
      </c>
      <c r="K89" s="3202" t="s">
        <v>3281</v>
      </c>
      <c r="L89" s="3202" t="s">
        <v>3282</v>
      </c>
      <c r="M89" s="3202">
        <v>3350</v>
      </c>
      <c r="N89" s="3202">
        <v>102.61</v>
      </c>
      <c r="O89" s="3202">
        <v>615.63</v>
      </c>
      <c r="P89" s="3202">
        <v>0</v>
      </c>
      <c r="Q89" s="3202" t="s">
        <v>3164</v>
      </c>
      <c r="R89" s="3208">
        <f t="shared" si="1"/>
        <v>1539.1423042884785</v>
      </c>
    </row>
    <row r="90" spans="2:18">
      <c r="B90" s="3202" t="s">
        <v>3280</v>
      </c>
      <c r="C90" s="3202" t="s">
        <v>3049</v>
      </c>
      <c r="D90" s="3202" t="s">
        <v>3050</v>
      </c>
      <c r="E90" s="3202" t="s">
        <v>3051</v>
      </c>
      <c r="F90" s="3202" t="s">
        <v>3052</v>
      </c>
      <c r="G90" s="3202" t="s">
        <v>3059</v>
      </c>
      <c r="H90" s="3202">
        <v>21766</v>
      </c>
      <c r="I90" s="3202" t="s">
        <v>3102</v>
      </c>
      <c r="J90" s="3202" t="s">
        <v>2773</v>
      </c>
      <c r="K90" s="3202" t="s">
        <v>3281</v>
      </c>
      <c r="L90" s="3202" t="s">
        <v>3282</v>
      </c>
      <c r="M90" s="3202">
        <v>3350</v>
      </c>
      <c r="N90" s="3202">
        <v>102.61</v>
      </c>
      <c r="O90" s="3202">
        <v>615.63</v>
      </c>
      <c r="P90" s="3202">
        <v>0</v>
      </c>
      <c r="Q90" s="3202" t="s">
        <v>3164</v>
      </c>
      <c r="R90" s="3208">
        <f t="shared" si="1"/>
        <v>1539.1423042884785</v>
      </c>
    </row>
    <row r="91" spans="2:18">
      <c r="B91" s="3202" t="s">
        <v>3283</v>
      </c>
      <c r="C91" s="3202" t="s">
        <v>3049</v>
      </c>
      <c r="D91" s="3202" t="s">
        <v>3050</v>
      </c>
      <c r="E91" s="3202" t="s">
        <v>3051</v>
      </c>
      <c r="F91" s="3202" t="s">
        <v>3052</v>
      </c>
      <c r="G91" s="3202" t="s">
        <v>3059</v>
      </c>
      <c r="H91" s="3202">
        <v>600</v>
      </c>
      <c r="I91" s="3202" t="s">
        <v>3284</v>
      </c>
      <c r="J91" s="3202" t="s">
        <v>2773</v>
      </c>
      <c r="K91" s="3202" t="s">
        <v>3285</v>
      </c>
      <c r="L91" s="3202" t="s">
        <v>3286</v>
      </c>
      <c r="M91" s="3202">
        <v>137</v>
      </c>
      <c r="N91" s="3202">
        <v>152.22</v>
      </c>
      <c r="O91" s="3202">
        <v>1427.07</v>
      </c>
      <c r="P91" s="3202">
        <v>44.21</v>
      </c>
      <c r="Q91" s="3202" t="s">
        <v>3097</v>
      </c>
      <c r="R91" s="3208">
        <f t="shared" si="1"/>
        <v>2283.2885835570823</v>
      </c>
    </row>
    <row r="92" spans="2:18">
      <c r="B92" s="3202" t="s">
        <v>3283</v>
      </c>
      <c r="C92" s="3202" t="s">
        <v>3049</v>
      </c>
      <c r="D92" s="3202" t="s">
        <v>3050</v>
      </c>
      <c r="E92" s="3202" t="s">
        <v>3051</v>
      </c>
      <c r="F92" s="3202" t="s">
        <v>3052</v>
      </c>
      <c r="G92" s="3202" t="s">
        <v>3059</v>
      </c>
      <c r="H92" s="3202">
        <v>600</v>
      </c>
      <c r="I92" s="3202" t="s">
        <v>3284</v>
      </c>
      <c r="J92" s="3202" t="s">
        <v>2773</v>
      </c>
      <c r="K92" s="3202" t="s">
        <v>3285</v>
      </c>
      <c r="L92" s="3202" t="s">
        <v>3286</v>
      </c>
      <c r="M92" s="3202">
        <v>137</v>
      </c>
      <c r="N92" s="3202">
        <v>152.22</v>
      </c>
      <c r="O92" s="3202">
        <v>1427.07</v>
      </c>
      <c r="P92" s="3202">
        <v>44.21</v>
      </c>
      <c r="Q92" s="3202" t="s">
        <v>3097</v>
      </c>
      <c r="R92" s="3208">
        <f t="shared" si="1"/>
        <v>2283.2885835570823</v>
      </c>
    </row>
    <row r="93" spans="2:18">
      <c r="B93" s="3202" t="s">
        <v>3287</v>
      </c>
      <c r="C93" s="3202" t="s">
        <v>3049</v>
      </c>
      <c r="D93" s="3202" t="s">
        <v>3050</v>
      </c>
      <c r="E93" s="3202" t="s">
        <v>3051</v>
      </c>
      <c r="F93" s="3202" t="s">
        <v>3052</v>
      </c>
      <c r="G93" s="3202" t="s">
        <v>3065</v>
      </c>
      <c r="H93" s="3202">
        <v>15556</v>
      </c>
      <c r="I93" s="3202" t="s">
        <v>3288</v>
      </c>
      <c r="J93" s="3202" t="s">
        <v>2773</v>
      </c>
      <c r="K93" s="3202" t="s">
        <v>3289</v>
      </c>
      <c r="L93" s="3202" t="s">
        <v>3290</v>
      </c>
      <c r="M93" s="3202">
        <v>2400</v>
      </c>
      <c r="N93" s="3202">
        <v>102.85</v>
      </c>
      <c r="O93" s="3202">
        <v>701.27</v>
      </c>
      <c r="P93" s="3202">
        <v>0</v>
      </c>
      <c r="Q93" s="3202" t="s">
        <v>3097</v>
      </c>
      <c r="R93" s="3208">
        <f t="shared" si="1"/>
        <v>1542.7422862885687</v>
      </c>
    </row>
    <row r="94" spans="2:18">
      <c r="B94" s="3202" t="s">
        <v>3287</v>
      </c>
      <c r="C94" s="3202" t="s">
        <v>3049</v>
      </c>
      <c r="D94" s="3202" t="s">
        <v>3050</v>
      </c>
      <c r="E94" s="3202" t="s">
        <v>3051</v>
      </c>
      <c r="F94" s="3202" t="s">
        <v>3052</v>
      </c>
      <c r="G94" s="3202" t="s">
        <v>3065</v>
      </c>
      <c r="H94" s="3202">
        <v>15556</v>
      </c>
      <c r="I94" s="3202" t="s">
        <v>3288</v>
      </c>
      <c r="J94" s="3202" t="s">
        <v>2773</v>
      </c>
      <c r="K94" s="3202" t="s">
        <v>3289</v>
      </c>
      <c r="L94" s="3202" t="s">
        <v>3290</v>
      </c>
      <c r="M94" s="3202">
        <v>2400</v>
      </c>
      <c r="N94" s="3202">
        <v>102.85</v>
      </c>
      <c r="O94" s="3202">
        <v>701.27</v>
      </c>
      <c r="P94" s="3202">
        <v>0</v>
      </c>
      <c r="Q94" s="3202" t="s">
        <v>3097</v>
      </c>
      <c r="R94" s="3208">
        <f t="shared" si="1"/>
        <v>1542.7422862885687</v>
      </c>
    </row>
    <row r="95" spans="2:18">
      <c r="B95" s="3202" t="s">
        <v>3291</v>
      </c>
      <c r="C95" s="3202" t="s">
        <v>3049</v>
      </c>
      <c r="D95" s="3202" t="s">
        <v>3050</v>
      </c>
      <c r="E95" s="3202" t="s">
        <v>3051</v>
      </c>
      <c r="F95" s="3202" t="s">
        <v>3052</v>
      </c>
      <c r="G95" s="3202" t="s">
        <v>3122</v>
      </c>
      <c r="H95" s="3202">
        <v>2169.2800000000002</v>
      </c>
      <c r="I95" s="3202" t="s">
        <v>3292</v>
      </c>
      <c r="J95" s="3202" t="s">
        <v>2773</v>
      </c>
      <c r="K95" s="3202" t="s">
        <v>3293</v>
      </c>
      <c r="L95" s="3202" t="s">
        <v>3125</v>
      </c>
      <c r="M95" s="3202">
        <v>98</v>
      </c>
      <c r="N95" s="3202">
        <v>30.12</v>
      </c>
      <c r="O95" s="3202">
        <v>564.70000000000005</v>
      </c>
      <c r="P95" s="3202">
        <v>0</v>
      </c>
      <c r="Q95" s="3202" t="s">
        <v>3118</v>
      </c>
      <c r="R95" s="3208">
        <f t="shared" si="1"/>
        <v>451.79774101129499</v>
      </c>
    </row>
    <row r="96" spans="2:18">
      <c r="B96" s="3202" t="s">
        <v>3294</v>
      </c>
      <c r="C96" s="3202" t="s">
        <v>3049</v>
      </c>
      <c r="D96" s="3202" t="s">
        <v>3050</v>
      </c>
      <c r="E96" s="3202" t="s">
        <v>3051</v>
      </c>
      <c r="F96" s="3202" t="s">
        <v>3052</v>
      </c>
      <c r="G96" s="3202" t="s">
        <v>3059</v>
      </c>
      <c r="H96" s="3202">
        <v>589</v>
      </c>
      <c r="I96" s="3202" t="s">
        <v>3295</v>
      </c>
      <c r="J96" s="3202" t="s">
        <v>2773</v>
      </c>
      <c r="K96" s="3202" t="s">
        <v>3296</v>
      </c>
      <c r="L96" s="3202" t="s">
        <v>3297</v>
      </c>
      <c r="M96" s="3202">
        <v>93</v>
      </c>
      <c r="N96" s="3202">
        <v>105.26</v>
      </c>
      <c r="O96" s="3202">
        <v>375.93</v>
      </c>
      <c r="P96" s="3202">
        <v>0</v>
      </c>
      <c r="Q96" s="3202" t="s">
        <v>3164</v>
      </c>
      <c r="R96" s="3208">
        <f t="shared" si="1"/>
        <v>1578.8921055394726</v>
      </c>
    </row>
    <row r="97" spans="2:18">
      <c r="B97" s="3202" t="s">
        <v>3298</v>
      </c>
      <c r="C97" s="3202" t="s">
        <v>3049</v>
      </c>
      <c r="D97" s="3202" t="s">
        <v>3050</v>
      </c>
      <c r="E97" s="3202" t="s">
        <v>3051</v>
      </c>
      <c r="F97" s="3202" t="s">
        <v>3052</v>
      </c>
      <c r="G97" s="3202" t="s">
        <v>3059</v>
      </c>
      <c r="H97" s="3202">
        <v>9941</v>
      </c>
      <c r="I97" s="3202" t="s">
        <v>3299</v>
      </c>
      <c r="J97" s="3202" t="s">
        <v>2773</v>
      </c>
      <c r="K97" s="3202" t="s">
        <v>3300</v>
      </c>
      <c r="L97" s="3202" t="s">
        <v>3301</v>
      </c>
      <c r="M97" s="3202">
        <v>1064.22</v>
      </c>
      <c r="N97" s="3202">
        <v>71.37</v>
      </c>
      <c r="O97" s="3202">
        <v>356.85</v>
      </c>
      <c r="P97" s="3202">
        <v>0</v>
      </c>
      <c r="Q97" s="3202" t="s">
        <v>3057</v>
      </c>
      <c r="R97" s="3208">
        <f t="shared" si="1"/>
        <v>1070.5446472767637</v>
      </c>
    </row>
    <row r="98" spans="2:18">
      <c r="B98" s="3202" t="s">
        <v>3302</v>
      </c>
      <c r="C98" s="3202" t="s">
        <v>3049</v>
      </c>
      <c r="D98" s="3202" t="s">
        <v>3050</v>
      </c>
      <c r="E98" s="3202" t="s">
        <v>3051</v>
      </c>
      <c r="F98" s="3202" t="s">
        <v>3052</v>
      </c>
      <c r="G98" s="3202" t="s">
        <v>3111</v>
      </c>
      <c r="H98" s="3202">
        <v>8573.82</v>
      </c>
      <c r="I98" s="3202" t="s">
        <v>3303</v>
      </c>
      <c r="J98" s="3202" t="s">
        <v>2773</v>
      </c>
      <c r="K98" s="3202" t="s">
        <v>3304</v>
      </c>
      <c r="L98" s="3202" t="s">
        <v>3305</v>
      </c>
      <c r="M98" s="3202">
        <v>772</v>
      </c>
      <c r="N98" s="3202">
        <v>60.03</v>
      </c>
      <c r="O98" s="3202">
        <v>333.49</v>
      </c>
      <c r="P98" s="3202">
        <v>0.26</v>
      </c>
      <c r="Q98" s="3202" t="s">
        <v>3057</v>
      </c>
      <c r="R98" s="3208">
        <f t="shared" si="1"/>
        <v>900.44549777251132</v>
      </c>
    </row>
    <row r="99" spans="2:18">
      <c r="B99" s="3202" t="s">
        <v>3306</v>
      </c>
      <c r="C99" s="3202" t="s">
        <v>3049</v>
      </c>
      <c r="D99" s="3202" t="s">
        <v>3050</v>
      </c>
      <c r="E99" s="3202" t="s">
        <v>3051</v>
      </c>
      <c r="F99" s="3202" t="s">
        <v>3052</v>
      </c>
      <c r="G99" s="3202" t="s">
        <v>3059</v>
      </c>
      <c r="H99" s="3202">
        <v>47438</v>
      </c>
      <c r="I99" s="3202" t="s">
        <v>3102</v>
      </c>
      <c r="J99" s="3202" t="s">
        <v>2773</v>
      </c>
      <c r="K99" s="3202" t="s">
        <v>3307</v>
      </c>
      <c r="L99" s="3202" t="s">
        <v>3282</v>
      </c>
      <c r="M99" s="3202">
        <v>7320</v>
      </c>
      <c r="N99" s="3202">
        <v>102.87</v>
      </c>
      <c r="O99" s="3202">
        <v>617.23</v>
      </c>
      <c r="P99" s="3202">
        <v>0.27</v>
      </c>
      <c r="Q99" s="3202" t="s">
        <v>3097</v>
      </c>
      <c r="R99" s="3208">
        <f t="shared" si="1"/>
        <v>1543.0422847885764</v>
      </c>
    </row>
    <row r="100" spans="2:18">
      <c r="B100" s="3202" t="s">
        <v>3306</v>
      </c>
      <c r="C100" s="3202" t="s">
        <v>3049</v>
      </c>
      <c r="D100" s="3202" t="s">
        <v>3050</v>
      </c>
      <c r="E100" s="3202" t="s">
        <v>3051</v>
      </c>
      <c r="F100" s="3202" t="s">
        <v>3052</v>
      </c>
      <c r="G100" s="3202" t="s">
        <v>3059</v>
      </c>
      <c r="H100" s="3202">
        <v>47438</v>
      </c>
      <c r="I100" s="3202" t="s">
        <v>3102</v>
      </c>
      <c r="J100" s="3202" t="s">
        <v>2773</v>
      </c>
      <c r="K100" s="3202" t="s">
        <v>3307</v>
      </c>
      <c r="L100" s="3202" t="s">
        <v>3282</v>
      </c>
      <c r="M100" s="3202">
        <v>7320</v>
      </c>
      <c r="N100" s="3202">
        <v>102.87</v>
      </c>
      <c r="O100" s="3202">
        <v>617.23</v>
      </c>
      <c r="P100" s="3202">
        <v>0.27</v>
      </c>
      <c r="Q100" s="3202" t="s">
        <v>3097</v>
      </c>
      <c r="R100" s="3208">
        <f t="shared" si="1"/>
        <v>1543.0422847885764</v>
      </c>
    </row>
    <row r="101" spans="2:18">
      <c r="B101" s="3202" t="s">
        <v>3308</v>
      </c>
      <c r="C101" s="3202" t="s">
        <v>3049</v>
      </c>
      <c r="D101" s="3202" t="s">
        <v>3050</v>
      </c>
      <c r="E101" s="3202" t="s">
        <v>3051</v>
      </c>
      <c r="F101" s="3202" t="s">
        <v>3052</v>
      </c>
      <c r="G101" s="3202" t="s">
        <v>3122</v>
      </c>
      <c r="H101" s="3202">
        <v>33725.5</v>
      </c>
      <c r="I101" s="3202" t="s">
        <v>3102</v>
      </c>
      <c r="J101" s="3202" t="s">
        <v>2773</v>
      </c>
      <c r="K101" s="3202" t="s">
        <v>3309</v>
      </c>
      <c r="L101" s="3202" t="s">
        <v>3310</v>
      </c>
      <c r="M101" s="3202">
        <v>708</v>
      </c>
      <c r="N101" s="3202">
        <v>14</v>
      </c>
      <c r="O101" s="3202">
        <v>83.96</v>
      </c>
      <c r="P101" s="3202">
        <v>0</v>
      </c>
      <c r="Q101" s="3202" t="s">
        <v>3118</v>
      </c>
      <c r="R101" s="3208">
        <f t="shared" si="1"/>
        <v>209.99895000524998</v>
      </c>
    </row>
    <row r="102" spans="2:18">
      <c r="B102" s="3202" t="s">
        <v>3311</v>
      </c>
      <c r="C102" s="3202" t="s">
        <v>3049</v>
      </c>
      <c r="D102" s="3202" t="s">
        <v>3050</v>
      </c>
      <c r="E102" s="3202" t="s">
        <v>3051</v>
      </c>
      <c r="F102" s="3202" t="s">
        <v>3052</v>
      </c>
      <c r="G102" s="3202" t="s">
        <v>3122</v>
      </c>
      <c r="H102" s="3202">
        <v>33701</v>
      </c>
      <c r="I102" s="3202" t="s">
        <v>3102</v>
      </c>
      <c r="J102" s="3202" t="s">
        <v>2773</v>
      </c>
      <c r="K102" s="3202" t="s">
        <v>3309</v>
      </c>
      <c r="L102" s="3202" t="s">
        <v>3310</v>
      </c>
      <c r="M102" s="3202">
        <v>708</v>
      </c>
      <c r="N102" s="3202">
        <v>14.01</v>
      </c>
      <c r="O102" s="3202">
        <v>84.03</v>
      </c>
      <c r="P102" s="3202">
        <v>0</v>
      </c>
      <c r="Q102" s="3202" t="s">
        <v>3118</v>
      </c>
      <c r="R102" s="3208">
        <f t="shared" si="1"/>
        <v>210.14894925525374</v>
      </c>
    </row>
  </sheetData>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workbookViewId="0">
      <selection activeCell="L12" sqref="L12"/>
    </sheetView>
  </sheetViews>
  <sheetFormatPr defaultColWidth="6.625" defaultRowHeight="11.25"/>
  <cols>
    <col min="1" max="1" width="4.375" style="3204" customWidth="1"/>
    <col min="2" max="2" width="25.25" style="3204" customWidth="1"/>
    <col min="3" max="3" width="6.625" style="3204"/>
    <col min="4" max="4" width="12.875" style="3204" customWidth="1"/>
    <col min="5" max="5" width="6.625" style="3204"/>
    <col min="6" max="6" width="7" style="3204" customWidth="1"/>
    <col min="7" max="7" width="14.75" style="3204" customWidth="1"/>
    <col min="8" max="8" width="8.625" style="3204" customWidth="1"/>
    <col min="9" max="9" width="23.25" style="3204" customWidth="1"/>
    <col min="10" max="10" width="6.625" style="3204" hidden="1" customWidth="1"/>
    <col min="11" max="11" width="11" style="3204" customWidth="1"/>
    <col min="12" max="12" width="25" style="3204" customWidth="1"/>
    <col min="13" max="13" width="6.625" style="3204" hidden="1" customWidth="1"/>
    <col min="14" max="14" width="8.5" style="3204" customWidth="1"/>
    <col min="15" max="15" width="9.25" style="3204" customWidth="1"/>
    <col min="16" max="16" width="6.625" style="3204"/>
    <col min="17" max="17" width="6.625" style="3204" hidden="1" customWidth="1"/>
    <col min="18" max="16384" width="6.625" style="3204"/>
  </cols>
  <sheetData>
    <row r="2" spans="2:18" s="3203" customFormat="1" ht="22.5">
      <c r="B2" s="3203" t="s">
        <v>3034</v>
      </c>
      <c r="C2" s="3203" t="s">
        <v>3035</v>
      </c>
      <c r="D2" s="3203" t="s">
        <v>3036</v>
      </c>
      <c r="E2" s="3203" t="s">
        <v>3037</v>
      </c>
      <c r="F2" s="3203" t="s">
        <v>3038</v>
      </c>
      <c r="G2" s="3203" t="s">
        <v>3039</v>
      </c>
      <c r="H2" s="3203" t="s">
        <v>3040</v>
      </c>
      <c r="I2" s="3203" t="s">
        <v>1989</v>
      </c>
      <c r="J2" s="3203" t="s">
        <v>3041</v>
      </c>
      <c r="K2" s="3203" t="s">
        <v>3042</v>
      </c>
      <c r="L2" s="3203" t="s">
        <v>3043</v>
      </c>
      <c r="M2" s="3203" t="s">
        <v>3044</v>
      </c>
      <c r="N2" s="3203" t="s">
        <v>3045</v>
      </c>
      <c r="O2" s="3203" t="s">
        <v>3046</v>
      </c>
      <c r="P2" s="3203" t="s">
        <v>3047</v>
      </c>
      <c r="Q2" s="3203" t="s">
        <v>3048</v>
      </c>
      <c r="R2" s="3201" t="s">
        <v>3514</v>
      </c>
    </row>
    <row r="3" spans="2:18">
      <c r="B3" s="3204" t="s">
        <v>3518</v>
      </c>
      <c r="C3" s="3204" t="s">
        <v>3049</v>
      </c>
      <c r="D3" s="3204" t="s">
        <v>3314</v>
      </c>
      <c r="E3" s="3204" t="s">
        <v>3051</v>
      </c>
      <c r="F3" s="3204" t="s">
        <v>3052</v>
      </c>
      <c r="G3" s="3204" t="s">
        <v>3315</v>
      </c>
      <c r="H3" s="3204">
        <v>21182.13</v>
      </c>
      <c r="I3" s="3204" t="s">
        <v>3316</v>
      </c>
      <c r="J3" s="3204" t="s">
        <v>2773</v>
      </c>
      <c r="K3" s="3204" t="s">
        <v>3317</v>
      </c>
      <c r="L3" s="3204" t="s">
        <v>3318</v>
      </c>
      <c r="M3" s="3204">
        <v>4300</v>
      </c>
      <c r="N3" s="3204">
        <v>135.33000000000001</v>
      </c>
      <c r="O3" s="3204">
        <v>1268.75</v>
      </c>
      <c r="P3" s="3204">
        <v>8.26</v>
      </c>
      <c r="Q3" s="3204" t="s">
        <v>3057</v>
      </c>
      <c r="R3" s="3208">
        <f>N3/666.67*10000</f>
        <v>2029.9398503007487</v>
      </c>
    </row>
    <row r="4" spans="2:18">
      <c r="B4" s="3204" t="s">
        <v>3519</v>
      </c>
      <c r="C4" s="3204" t="s">
        <v>3049</v>
      </c>
      <c r="D4" s="3204" t="s">
        <v>3314</v>
      </c>
      <c r="E4" s="3204" t="s">
        <v>3051</v>
      </c>
      <c r="F4" s="3204" t="s">
        <v>3052</v>
      </c>
      <c r="G4" s="3204" t="s">
        <v>3315</v>
      </c>
      <c r="H4" s="3204">
        <v>6704.13</v>
      </c>
      <c r="I4" s="3204" t="s">
        <v>3319</v>
      </c>
      <c r="J4" s="3204" t="s">
        <v>2773</v>
      </c>
      <c r="K4" s="3204" t="s">
        <v>3317</v>
      </c>
      <c r="L4" s="3204" t="s">
        <v>3320</v>
      </c>
      <c r="M4" s="3204">
        <v>1522.82</v>
      </c>
      <c r="N4" s="3204">
        <v>151.43</v>
      </c>
      <c r="O4" s="3204">
        <v>1135.74</v>
      </c>
      <c r="P4" s="3204">
        <v>0</v>
      </c>
      <c r="Q4" s="3204" t="s">
        <v>3057</v>
      </c>
      <c r="R4" s="3208">
        <f t="shared" ref="R4:R67" si="0">N4/666.67*10000</f>
        <v>2271.438642806786</v>
      </c>
    </row>
    <row r="5" spans="2:18">
      <c r="B5" s="3204" t="s">
        <v>3321</v>
      </c>
      <c r="C5" s="3204" t="s">
        <v>3049</v>
      </c>
      <c r="D5" s="3204" t="s">
        <v>3314</v>
      </c>
      <c r="E5" s="3204" t="s">
        <v>3051</v>
      </c>
      <c r="F5" s="3204" t="s">
        <v>3052</v>
      </c>
      <c r="G5" s="3204" t="s">
        <v>3315</v>
      </c>
      <c r="H5" s="3204">
        <v>9104.7999999999993</v>
      </c>
      <c r="I5" s="3204" t="s">
        <v>3316</v>
      </c>
      <c r="J5" s="3204" t="s">
        <v>2773</v>
      </c>
      <c r="K5" s="3204" t="s">
        <v>3061</v>
      </c>
      <c r="L5" s="3204" t="s">
        <v>3062</v>
      </c>
      <c r="M5" s="3204">
        <v>574</v>
      </c>
      <c r="N5" s="3204">
        <v>42.03</v>
      </c>
      <c r="O5" s="3204">
        <v>394.01</v>
      </c>
      <c r="P5" s="3204">
        <v>110.26</v>
      </c>
      <c r="Q5" s="3204" t="s">
        <v>3090</v>
      </c>
      <c r="R5" s="3208">
        <f t="shared" si="0"/>
        <v>630.44684776576128</v>
      </c>
    </row>
    <row r="6" spans="2:18" s="3215" customFormat="1">
      <c r="B6" s="3215" t="s">
        <v>3533</v>
      </c>
      <c r="C6" s="3215" t="s">
        <v>3049</v>
      </c>
      <c r="D6" s="3215" t="s">
        <v>3314</v>
      </c>
      <c r="E6" s="3215" t="s">
        <v>3051</v>
      </c>
      <c r="F6" s="3215" t="s">
        <v>3052</v>
      </c>
      <c r="G6" s="3215" t="s">
        <v>3315</v>
      </c>
      <c r="H6" s="3215">
        <v>121736.95</v>
      </c>
      <c r="I6" s="3215" t="s">
        <v>3322</v>
      </c>
      <c r="J6" s="3215" t="s">
        <v>2773</v>
      </c>
      <c r="K6" s="3215" t="s">
        <v>3067</v>
      </c>
      <c r="L6" s="3215" t="s">
        <v>3323</v>
      </c>
      <c r="M6" s="3215">
        <v>18380</v>
      </c>
      <c r="N6" s="3215">
        <v>100.65</v>
      </c>
      <c r="O6" s="3215">
        <v>754.9</v>
      </c>
      <c r="P6" s="3215">
        <v>1.66</v>
      </c>
      <c r="Q6" s="3215" t="s">
        <v>3057</v>
      </c>
      <c r="R6" s="3214">
        <f t="shared" si="0"/>
        <v>1509.742451287744</v>
      </c>
    </row>
    <row r="7" spans="2:18">
      <c r="B7" s="3204" t="s">
        <v>3324</v>
      </c>
      <c r="C7" s="3204" t="s">
        <v>3049</v>
      </c>
      <c r="D7" s="3204" t="s">
        <v>3314</v>
      </c>
      <c r="E7" s="3204" t="s">
        <v>3051</v>
      </c>
      <c r="F7" s="3204" t="s">
        <v>3052</v>
      </c>
      <c r="G7" s="3204" t="s">
        <v>3315</v>
      </c>
      <c r="H7" s="3204">
        <v>155207.74</v>
      </c>
      <c r="I7" s="3204" t="s">
        <v>3322</v>
      </c>
      <c r="J7" s="3204" t="s">
        <v>2773</v>
      </c>
      <c r="K7" s="3204" t="s">
        <v>3067</v>
      </c>
      <c r="L7" s="3204" t="s">
        <v>3323</v>
      </c>
      <c r="M7" s="3204">
        <v>23350</v>
      </c>
      <c r="N7" s="3204">
        <v>100.3</v>
      </c>
      <c r="O7" s="3204">
        <v>752.22</v>
      </c>
      <c r="P7" s="3204">
        <v>1.3</v>
      </c>
      <c r="Q7" s="3204" t="s">
        <v>3057</v>
      </c>
      <c r="R7" s="3208">
        <f t="shared" si="0"/>
        <v>1504.4924775376123</v>
      </c>
    </row>
    <row r="8" spans="2:18">
      <c r="B8" s="3204" t="s">
        <v>3325</v>
      </c>
      <c r="C8" s="3204" t="s">
        <v>3049</v>
      </c>
      <c r="D8" s="3204" t="s">
        <v>3314</v>
      </c>
      <c r="E8" s="3204" t="s">
        <v>3051</v>
      </c>
      <c r="F8" s="3204" t="s">
        <v>3052</v>
      </c>
      <c r="G8" s="3204" t="s">
        <v>3315</v>
      </c>
      <c r="H8" s="3204">
        <v>48224</v>
      </c>
      <c r="I8" s="3204" t="s">
        <v>3326</v>
      </c>
      <c r="J8" s="3204" t="s">
        <v>2773</v>
      </c>
      <c r="K8" s="3204" t="s">
        <v>3327</v>
      </c>
      <c r="L8" s="3204" t="s">
        <v>3328</v>
      </c>
      <c r="M8" s="3204">
        <v>29000</v>
      </c>
      <c r="N8" s="3204">
        <v>400.91</v>
      </c>
      <c r="O8" s="3204">
        <v>3006.8</v>
      </c>
      <c r="P8" s="3204">
        <v>132</v>
      </c>
      <c r="Q8" s="3204" t="s">
        <v>3097</v>
      </c>
      <c r="R8" s="3208">
        <f t="shared" si="0"/>
        <v>6013.6199319003417</v>
      </c>
    </row>
    <row r="9" spans="2:18">
      <c r="B9" s="3204" t="s">
        <v>3329</v>
      </c>
      <c r="C9" s="3204" t="s">
        <v>3049</v>
      </c>
      <c r="D9" s="3204" t="s">
        <v>3314</v>
      </c>
      <c r="E9" s="3204" t="s">
        <v>3051</v>
      </c>
      <c r="F9" s="3204" t="s">
        <v>3073</v>
      </c>
      <c r="G9" s="3204" t="s">
        <v>3315</v>
      </c>
      <c r="H9" s="3204">
        <v>32765.99</v>
      </c>
      <c r="I9" s="3204" t="s">
        <v>3330</v>
      </c>
      <c r="J9" s="3204" t="s">
        <v>2773</v>
      </c>
      <c r="K9" s="3204" t="s">
        <v>3331</v>
      </c>
      <c r="L9" s="3204" t="s">
        <v>3332</v>
      </c>
      <c r="M9" s="3204">
        <v>17550</v>
      </c>
      <c r="N9" s="3204">
        <v>357.08</v>
      </c>
      <c r="O9" s="3204">
        <v>2975.65</v>
      </c>
      <c r="P9" s="3204">
        <v>18.86</v>
      </c>
      <c r="Q9" s="3204" t="s">
        <v>3164</v>
      </c>
      <c r="R9" s="3208">
        <f t="shared" si="0"/>
        <v>5356.1732191339042</v>
      </c>
    </row>
    <row r="10" spans="2:18">
      <c r="B10" s="3204" t="s">
        <v>3516</v>
      </c>
      <c r="C10" s="3204" t="s">
        <v>3049</v>
      </c>
      <c r="D10" s="3204" t="s">
        <v>3314</v>
      </c>
      <c r="E10" s="3204" t="s">
        <v>3051</v>
      </c>
      <c r="F10" s="3204" t="s">
        <v>3052</v>
      </c>
      <c r="G10" s="3204" t="s">
        <v>3315</v>
      </c>
      <c r="H10" s="3204">
        <v>65172</v>
      </c>
      <c r="I10" s="3204" t="s">
        <v>3333</v>
      </c>
      <c r="J10" s="3204" t="s">
        <v>2773</v>
      </c>
      <c r="K10" s="3204" t="s">
        <v>3088</v>
      </c>
      <c r="L10" s="3204" t="s">
        <v>3334</v>
      </c>
      <c r="M10" s="3204">
        <v>2770</v>
      </c>
      <c r="N10" s="3204">
        <v>28.34</v>
      </c>
      <c r="O10" s="3204">
        <v>250.02</v>
      </c>
      <c r="P10" s="3204">
        <v>0.73</v>
      </c>
      <c r="Q10" s="3204" t="s">
        <v>3090</v>
      </c>
      <c r="R10" s="3208">
        <f t="shared" si="0"/>
        <v>425.09787451062749</v>
      </c>
    </row>
    <row r="11" spans="2:18">
      <c r="B11" s="3204" t="s">
        <v>3335</v>
      </c>
      <c r="C11" s="3204" t="s">
        <v>3049</v>
      </c>
      <c r="D11" s="3204" t="s">
        <v>3314</v>
      </c>
      <c r="E11" s="3204" t="s">
        <v>3051</v>
      </c>
      <c r="F11" s="3204" t="s">
        <v>3052</v>
      </c>
      <c r="G11" s="3204" t="s">
        <v>3315</v>
      </c>
      <c r="H11" s="3204">
        <v>28907</v>
      </c>
      <c r="I11" s="3204" t="s">
        <v>3336</v>
      </c>
      <c r="J11" s="3204" t="s">
        <v>2773</v>
      </c>
      <c r="K11" s="3204" t="s">
        <v>3088</v>
      </c>
      <c r="L11" s="3204" t="s">
        <v>3334</v>
      </c>
      <c r="M11" s="3204">
        <v>1200</v>
      </c>
      <c r="N11" s="3204">
        <v>27.67</v>
      </c>
      <c r="O11" s="3204">
        <v>276.75</v>
      </c>
      <c r="P11" s="3204">
        <v>0</v>
      </c>
      <c r="Q11" s="3204" t="s">
        <v>3090</v>
      </c>
      <c r="R11" s="3208">
        <f t="shared" si="0"/>
        <v>415.04792476037625</v>
      </c>
    </row>
    <row r="12" spans="2:18">
      <c r="B12" s="3204" t="s">
        <v>3337</v>
      </c>
      <c r="C12" s="3204" t="s">
        <v>3049</v>
      </c>
      <c r="D12" s="3204" t="s">
        <v>3314</v>
      </c>
      <c r="E12" s="3204" t="s">
        <v>3051</v>
      </c>
      <c r="F12" s="3204" t="s">
        <v>3052</v>
      </c>
      <c r="G12" s="3204" t="s">
        <v>3315</v>
      </c>
      <c r="H12" s="3204">
        <v>44553</v>
      </c>
      <c r="I12" s="3204" t="s">
        <v>3333</v>
      </c>
      <c r="J12" s="3204" t="s">
        <v>2773</v>
      </c>
      <c r="K12" s="3204" t="s">
        <v>3088</v>
      </c>
      <c r="L12" s="3204" t="s">
        <v>3334</v>
      </c>
      <c r="M12" s="3204">
        <v>1900</v>
      </c>
      <c r="N12" s="3204">
        <v>28.43</v>
      </c>
      <c r="O12" s="3204">
        <v>250.86</v>
      </c>
      <c r="P12" s="3204">
        <v>0</v>
      </c>
      <c r="Q12" s="3204" t="s">
        <v>3090</v>
      </c>
      <c r="R12" s="3208">
        <f t="shared" si="0"/>
        <v>426.44786776066127</v>
      </c>
    </row>
    <row r="13" spans="2:18">
      <c r="B13" s="3204" t="s">
        <v>3338</v>
      </c>
      <c r="C13" s="3204" t="s">
        <v>3049</v>
      </c>
      <c r="D13" s="3204" t="s">
        <v>3314</v>
      </c>
      <c r="E13" s="3204" t="s">
        <v>3051</v>
      </c>
      <c r="F13" s="3204" t="s">
        <v>3052</v>
      </c>
      <c r="G13" s="3204" t="s">
        <v>3315</v>
      </c>
      <c r="H13" s="3204">
        <v>53444</v>
      </c>
      <c r="I13" s="3204" t="s">
        <v>3333</v>
      </c>
      <c r="J13" s="3204" t="s">
        <v>2773</v>
      </c>
      <c r="K13" s="3204" t="s">
        <v>3088</v>
      </c>
      <c r="L13" s="3204" t="s">
        <v>3334</v>
      </c>
      <c r="M13" s="3204">
        <v>2250</v>
      </c>
      <c r="N13" s="3204">
        <v>28.07</v>
      </c>
      <c r="O13" s="3204">
        <v>247.65</v>
      </c>
      <c r="P13" s="3204">
        <v>0</v>
      </c>
      <c r="Q13" s="3204" t="s">
        <v>3090</v>
      </c>
      <c r="R13" s="3208">
        <f t="shared" si="0"/>
        <v>421.04789476052622</v>
      </c>
    </row>
    <row r="14" spans="2:18">
      <c r="B14" s="3204" t="s">
        <v>3339</v>
      </c>
      <c r="C14" s="3204" t="s">
        <v>3049</v>
      </c>
      <c r="D14" s="3204" t="s">
        <v>3314</v>
      </c>
      <c r="E14" s="3204" t="s">
        <v>3051</v>
      </c>
      <c r="F14" s="3204" t="s">
        <v>3052</v>
      </c>
      <c r="G14" s="3204" t="s">
        <v>3315</v>
      </c>
      <c r="H14" s="3204">
        <v>38010</v>
      </c>
      <c r="I14" s="3204" t="s">
        <v>3333</v>
      </c>
      <c r="J14" s="3204" t="s">
        <v>2773</v>
      </c>
      <c r="K14" s="3204" t="s">
        <v>3088</v>
      </c>
      <c r="L14" s="3204" t="s">
        <v>3334</v>
      </c>
      <c r="M14" s="3204">
        <v>1600</v>
      </c>
      <c r="N14" s="3204">
        <v>28.06</v>
      </c>
      <c r="O14" s="3204">
        <v>247.61</v>
      </c>
      <c r="P14" s="3204">
        <v>0</v>
      </c>
      <c r="Q14" s="3204" t="s">
        <v>3090</v>
      </c>
      <c r="R14" s="3208">
        <f t="shared" si="0"/>
        <v>420.89789551052246</v>
      </c>
    </row>
    <row r="15" spans="2:18">
      <c r="B15" s="3204" t="s">
        <v>3340</v>
      </c>
      <c r="C15" s="3204" t="s">
        <v>3049</v>
      </c>
      <c r="D15" s="3204" t="s">
        <v>3314</v>
      </c>
      <c r="E15" s="3204" t="s">
        <v>3051</v>
      </c>
      <c r="F15" s="3204" t="s">
        <v>3052</v>
      </c>
      <c r="G15" s="3204" t="s">
        <v>3315</v>
      </c>
      <c r="H15" s="3204">
        <v>48035</v>
      </c>
      <c r="I15" s="3204" t="s">
        <v>3333</v>
      </c>
      <c r="J15" s="3204" t="s">
        <v>2773</v>
      </c>
      <c r="K15" s="3204" t="s">
        <v>3088</v>
      </c>
      <c r="L15" s="3204" t="s">
        <v>3334</v>
      </c>
      <c r="M15" s="3204">
        <v>2050</v>
      </c>
      <c r="N15" s="3204">
        <v>28.45</v>
      </c>
      <c r="O15" s="3204">
        <v>251.03</v>
      </c>
      <c r="P15" s="3204">
        <v>0</v>
      </c>
      <c r="Q15" s="3204" t="s">
        <v>3090</v>
      </c>
      <c r="R15" s="3208">
        <f t="shared" si="0"/>
        <v>426.74786626066873</v>
      </c>
    </row>
    <row r="16" spans="2:18">
      <c r="B16" s="3204" t="s">
        <v>3341</v>
      </c>
      <c r="C16" s="3204" t="s">
        <v>3049</v>
      </c>
      <c r="D16" s="3204" t="s">
        <v>3314</v>
      </c>
      <c r="E16" s="3204" t="s">
        <v>3051</v>
      </c>
      <c r="F16" s="3204" t="s">
        <v>3052</v>
      </c>
      <c r="G16" s="3204" t="s">
        <v>3315</v>
      </c>
      <c r="H16" s="3204">
        <v>66832</v>
      </c>
      <c r="I16" s="3204" t="s">
        <v>3333</v>
      </c>
      <c r="J16" s="3204" t="s">
        <v>2773</v>
      </c>
      <c r="K16" s="3204" t="s">
        <v>3088</v>
      </c>
      <c r="L16" s="3204" t="s">
        <v>3334</v>
      </c>
      <c r="M16" s="3204">
        <v>2820</v>
      </c>
      <c r="N16" s="3204">
        <v>28.13</v>
      </c>
      <c r="O16" s="3204">
        <v>248.21</v>
      </c>
      <c r="P16" s="3204">
        <v>0.71</v>
      </c>
      <c r="Q16" s="3204" t="s">
        <v>3090</v>
      </c>
      <c r="R16" s="3208">
        <f t="shared" si="0"/>
        <v>421.94789026054872</v>
      </c>
    </row>
    <row r="17" spans="2:18">
      <c r="B17" s="3204" t="s">
        <v>3532</v>
      </c>
      <c r="C17" s="3204" t="s">
        <v>3049</v>
      </c>
      <c r="D17" s="3204" t="s">
        <v>3314</v>
      </c>
      <c r="E17" s="3204" t="s">
        <v>3051</v>
      </c>
      <c r="F17" s="3204" t="s">
        <v>3052</v>
      </c>
      <c r="G17" s="3204" t="s">
        <v>3315</v>
      </c>
      <c r="H17" s="3204">
        <v>50471</v>
      </c>
      <c r="I17" s="3204" t="s">
        <v>3326</v>
      </c>
      <c r="J17" s="3204" t="s">
        <v>2773</v>
      </c>
      <c r="K17" s="3204" t="s">
        <v>3095</v>
      </c>
      <c r="L17" s="3204" t="s">
        <v>3096</v>
      </c>
      <c r="M17" s="3204">
        <v>25600</v>
      </c>
      <c r="N17" s="3204">
        <v>338.15</v>
      </c>
      <c r="O17" s="3204">
        <v>2536.11</v>
      </c>
      <c r="P17" s="3204">
        <v>0.2</v>
      </c>
      <c r="Q17" s="3204" t="s">
        <v>3097</v>
      </c>
      <c r="R17" s="3208">
        <f t="shared" si="0"/>
        <v>5072.2246388768053</v>
      </c>
    </row>
    <row r="18" spans="2:18">
      <c r="B18" s="3204" t="s">
        <v>3342</v>
      </c>
      <c r="C18" s="3204" t="s">
        <v>3049</v>
      </c>
      <c r="D18" s="3204" t="s">
        <v>3314</v>
      </c>
      <c r="E18" s="3204" t="s">
        <v>3051</v>
      </c>
      <c r="F18" s="3204" t="s">
        <v>3052</v>
      </c>
      <c r="G18" s="3204" t="s">
        <v>3315</v>
      </c>
      <c r="H18" s="3204">
        <v>15093.82</v>
      </c>
      <c r="I18" s="3204" t="s">
        <v>3343</v>
      </c>
      <c r="J18" s="3204" t="s">
        <v>2773</v>
      </c>
      <c r="K18" s="3204" t="s">
        <v>3344</v>
      </c>
      <c r="L18" s="3204" t="s">
        <v>3154</v>
      </c>
      <c r="M18" s="3204">
        <v>2100</v>
      </c>
      <c r="N18" s="3204">
        <v>92.75</v>
      </c>
      <c r="O18" s="3204">
        <v>1159.42</v>
      </c>
      <c r="P18" s="3204">
        <v>7.69</v>
      </c>
      <c r="Q18" s="3204" t="s">
        <v>3057</v>
      </c>
      <c r="R18" s="3208">
        <f t="shared" si="0"/>
        <v>1391.2430437847811</v>
      </c>
    </row>
    <row r="19" spans="2:18" s="3215" customFormat="1">
      <c r="B19" s="3215" t="s">
        <v>3345</v>
      </c>
      <c r="C19" s="3215" t="s">
        <v>3049</v>
      </c>
      <c r="D19" s="3215" t="s">
        <v>3314</v>
      </c>
      <c r="E19" s="3215" t="s">
        <v>3051</v>
      </c>
      <c r="F19" s="3215" t="s">
        <v>3052</v>
      </c>
      <c r="G19" s="3215" t="s">
        <v>3315</v>
      </c>
      <c r="H19" s="3215">
        <v>18870.12</v>
      </c>
      <c r="I19" s="3215" t="s">
        <v>3346</v>
      </c>
      <c r="J19" s="3215" t="s">
        <v>2773</v>
      </c>
      <c r="K19" s="3215" t="s">
        <v>3108</v>
      </c>
      <c r="L19" s="3215" t="s">
        <v>3347</v>
      </c>
      <c r="M19" s="3215">
        <v>2900</v>
      </c>
      <c r="N19" s="3215">
        <v>102.45</v>
      </c>
      <c r="O19" s="3215">
        <v>853.78</v>
      </c>
      <c r="P19" s="3215">
        <v>9.43</v>
      </c>
      <c r="Q19" s="3215" t="s">
        <v>3057</v>
      </c>
      <c r="R19" s="3214">
        <f t="shared" si="0"/>
        <v>1536.7423162884186</v>
      </c>
    </row>
    <row r="20" spans="2:18" s="3215" customFormat="1">
      <c r="B20" s="3215" t="s">
        <v>3348</v>
      </c>
      <c r="C20" s="3215" t="s">
        <v>3049</v>
      </c>
      <c r="D20" s="3215" t="s">
        <v>3349</v>
      </c>
      <c r="E20" s="3215" t="s">
        <v>3051</v>
      </c>
      <c r="F20" s="3215" t="s">
        <v>3052</v>
      </c>
      <c r="G20" s="3215" t="s">
        <v>3350</v>
      </c>
      <c r="H20" s="3215">
        <v>65769.77</v>
      </c>
      <c r="I20" s="3215" t="s">
        <v>3351</v>
      </c>
      <c r="J20" s="3215" t="s">
        <v>2773</v>
      </c>
      <c r="K20" s="3215" t="s">
        <v>3352</v>
      </c>
      <c r="L20" s="3215" t="s">
        <v>3353</v>
      </c>
      <c r="M20" s="3215">
        <v>8899</v>
      </c>
      <c r="N20" s="3215">
        <v>90.2</v>
      </c>
      <c r="O20" s="3215">
        <v>676.52</v>
      </c>
      <c r="P20" s="3215">
        <v>0.23</v>
      </c>
      <c r="Q20" s="3215" t="s">
        <v>3057</v>
      </c>
      <c r="R20" s="3214">
        <f t="shared" si="0"/>
        <v>1352.9932350338249</v>
      </c>
    </row>
    <row r="21" spans="2:18">
      <c r="B21" s="3204" t="s">
        <v>3354</v>
      </c>
      <c r="C21" s="3204" t="s">
        <v>3049</v>
      </c>
      <c r="D21" s="3204" t="s">
        <v>3314</v>
      </c>
      <c r="E21" s="3204" t="s">
        <v>3051</v>
      </c>
      <c r="F21" s="3204" t="s">
        <v>3052</v>
      </c>
      <c r="G21" s="3204" t="s">
        <v>3355</v>
      </c>
      <c r="H21" s="3204">
        <v>16826.38</v>
      </c>
      <c r="I21" s="3204" t="s">
        <v>3356</v>
      </c>
      <c r="J21" s="3204" t="s">
        <v>2773</v>
      </c>
      <c r="K21" s="3204" t="s">
        <v>3112</v>
      </c>
      <c r="L21" s="3204" t="s">
        <v>3178</v>
      </c>
      <c r="M21" s="3204">
        <v>2610</v>
      </c>
      <c r="N21" s="3204">
        <v>103.41</v>
      </c>
      <c r="O21" s="3204">
        <v>1034.08</v>
      </c>
      <c r="P21" s="3204">
        <v>3.16</v>
      </c>
      <c r="Q21" s="3204" t="s">
        <v>3057</v>
      </c>
      <c r="R21" s="3208">
        <f t="shared" si="0"/>
        <v>1551.1422442887788</v>
      </c>
    </row>
    <row r="22" spans="2:18">
      <c r="B22" s="3204" t="s">
        <v>3357</v>
      </c>
      <c r="C22" s="3204" t="s">
        <v>3049</v>
      </c>
      <c r="D22" s="3204" t="s">
        <v>3314</v>
      </c>
      <c r="E22" s="3204" t="s">
        <v>3051</v>
      </c>
      <c r="F22" s="3204" t="s">
        <v>3052</v>
      </c>
      <c r="G22" s="3204" t="s">
        <v>3355</v>
      </c>
      <c r="H22" s="3204">
        <v>2736.62</v>
      </c>
      <c r="I22" s="3204" t="s">
        <v>3358</v>
      </c>
      <c r="J22" s="3204" t="s">
        <v>2773</v>
      </c>
      <c r="K22" s="3204" t="s">
        <v>3116</v>
      </c>
      <c r="L22" s="3204" t="s">
        <v>3359</v>
      </c>
      <c r="M22" s="3204">
        <v>890.35</v>
      </c>
      <c r="N22" s="3204">
        <v>216.9</v>
      </c>
      <c r="O22" s="3204">
        <v>1301.3900000000001</v>
      </c>
      <c r="P22" s="3204">
        <v>0</v>
      </c>
      <c r="Q22" s="3204" t="s">
        <v>3057</v>
      </c>
      <c r="R22" s="3208">
        <f t="shared" si="0"/>
        <v>3253.4837325813378</v>
      </c>
    </row>
    <row r="23" spans="2:18">
      <c r="B23" s="3204" t="s">
        <v>3360</v>
      </c>
      <c r="C23" s="3204" t="s">
        <v>3049</v>
      </c>
      <c r="D23" s="3204" t="s">
        <v>3314</v>
      </c>
      <c r="E23" s="3204" t="s">
        <v>3051</v>
      </c>
      <c r="F23" s="3204" t="s">
        <v>3052</v>
      </c>
      <c r="G23" s="3204" t="s">
        <v>3355</v>
      </c>
      <c r="H23" s="3204">
        <v>64583</v>
      </c>
      <c r="I23" s="3204" t="s">
        <v>3326</v>
      </c>
      <c r="J23" s="3204" t="s">
        <v>2773</v>
      </c>
      <c r="K23" s="3204" t="s">
        <v>3119</v>
      </c>
      <c r="L23" s="3204" t="s">
        <v>3361</v>
      </c>
      <c r="M23" s="3204">
        <v>9520</v>
      </c>
      <c r="N23" s="3204">
        <v>98.27</v>
      </c>
      <c r="O23" s="3204">
        <v>737.03</v>
      </c>
      <c r="P23" s="3204">
        <v>0.21</v>
      </c>
      <c r="Q23" s="3204" t="s">
        <v>3097</v>
      </c>
      <c r="R23" s="3208">
        <f t="shared" si="0"/>
        <v>1474.0426297868512</v>
      </c>
    </row>
    <row r="24" spans="2:18">
      <c r="B24" s="3204" t="s">
        <v>3362</v>
      </c>
      <c r="C24" s="3204" t="s">
        <v>3049</v>
      </c>
      <c r="D24" s="3204" t="s">
        <v>3314</v>
      </c>
      <c r="E24" s="3204" t="s">
        <v>3051</v>
      </c>
      <c r="F24" s="3204" t="s">
        <v>3052</v>
      </c>
      <c r="G24" s="3204" t="s">
        <v>3355</v>
      </c>
      <c r="H24" s="3204">
        <v>25532</v>
      </c>
      <c r="I24" s="3204" t="s">
        <v>3326</v>
      </c>
      <c r="J24" s="3204" t="s">
        <v>2773</v>
      </c>
      <c r="K24" s="3204" t="s">
        <v>3119</v>
      </c>
      <c r="L24" s="3204" t="s">
        <v>3361</v>
      </c>
      <c r="M24" s="3204">
        <v>3690</v>
      </c>
      <c r="N24" s="3204">
        <v>96.35</v>
      </c>
      <c r="O24" s="3204">
        <v>722.62</v>
      </c>
      <c r="P24" s="3204">
        <v>1.1000000000000001</v>
      </c>
      <c r="Q24" s="3204" t="s">
        <v>3097</v>
      </c>
      <c r="R24" s="3208">
        <f t="shared" si="0"/>
        <v>1445.2427737861312</v>
      </c>
    </row>
    <row r="25" spans="2:18">
      <c r="B25" s="3204" t="s">
        <v>3363</v>
      </c>
      <c r="C25" s="3204" t="s">
        <v>3049</v>
      </c>
      <c r="D25" s="3204" t="s">
        <v>3314</v>
      </c>
      <c r="E25" s="3204" t="s">
        <v>3051</v>
      </c>
      <c r="F25" s="3204" t="s">
        <v>3052</v>
      </c>
      <c r="G25" s="3204" t="s">
        <v>3355</v>
      </c>
      <c r="H25" s="3204">
        <v>18947</v>
      </c>
      <c r="I25" s="3204" t="s">
        <v>3364</v>
      </c>
      <c r="J25" s="3204" t="s">
        <v>2773</v>
      </c>
      <c r="K25" s="3204" t="s">
        <v>3119</v>
      </c>
      <c r="L25" s="3204" t="s">
        <v>3365</v>
      </c>
      <c r="M25" s="3204">
        <v>810</v>
      </c>
      <c r="N25" s="3204">
        <v>28.5</v>
      </c>
      <c r="O25" s="3204">
        <v>267.18</v>
      </c>
      <c r="P25" s="3204">
        <v>1.25</v>
      </c>
      <c r="Q25" s="3204" t="s">
        <v>3090</v>
      </c>
      <c r="R25" s="3208">
        <f t="shared" si="0"/>
        <v>427.49786251068747</v>
      </c>
    </row>
    <row r="26" spans="2:18">
      <c r="B26" s="3204" t="s">
        <v>3366</v>
      </c>
      <c r="C26" s="3204" t="s">
        <v>3049</v>
      </c>
      <c r="D26" s="3204" t="s">
        <v>3314</v>
      </c>
      <c r="E26" s="3204" t="s">
        <v>3051</v>
      </c>
      <c r="F26" s="3204" t="s">
        <v>3052</v>
      </c>
      <c r="G26" s="3204" t="s">
        <v>3355</v>
      </c>
      <c r="H26" s="3204">
        <v>35743</v>
      </c>
      <c r="I26" s="3204" t="s">
        <v>3367</v>
      </c>
      <c r="J26" s="3204" t="s">
        <v>2773</v>
      </c>
      <c r="K26" s="3204" t="s">
        <v>3119</v>
      </c>
      <c r="L26" s="3204" t="s">
        <v>3368</v>
      </c>
      <c r="M26" s="3204">
        <v>19150</v>
      </c>
      <c r="N26" s="3204">
        <v>357.18</v>
      </c>
      <c r="O26" s="3204">
        <v>2976.5</v>
      </c>
      <c r="P26" s="3204">
        <v>12.65</v>
      </c>
      <c r="Q26" s="3204" t="s">
        <v>3097</v>
      </c>
      <c r="R26" s="3208">
        <f t="shared" si="0"/>
        <v>5357.6732116339417</v>
      </c>
    </row>
    <row r="27" spans="2:18">
      <c r="B27" s="3204" t="s">
        <v>3369</v>
      </c>
      <c r="C27" s="3204" t="s">
        <v>3049</v>
      </c>
      <c r="D27" s="3204" t="s">
        <v>3349</v>
      </c>
      <c r="E27" s="3204" t="s">
        <v>3051</v>
      </c>
      <c r="F27" s="3204" t="s">
        <v>3052</v>
      </c>
      <c r="G27" s="3204" t="s">
        <v>3350</v>
      </c>
      <c r="H27" s="3204">
        <v>19530.73</v>
      </c>
      <c r="I27" s="3204" t="s">
        <v>3351</v>
      </c>
      <c r="J27" s="3204" t="s">
        <v>2773</v>
      </c>
      <c r="K27" s="3204" t="s">
        <v>3370</v>
      </c>
      <c r="L27" s="3204" t="s">
        <v>3371</v>
      </c>
      <c r="M27" s="3204">
        <v>3820</v>
      </c>
      <c r="N27" s="3204">
        <v>130.38999999999999</v>
      </c>
      <c r="O27" s="3204">
        <v>977.95</v>
      </c>
      <c r="P27" s="3204">
        <v>8.52</v>
      </c>
      <c r="Q27" s="3204" t="s">
        <v>3057</v>
      </c>
      <c r="R27" s="3208">
        <f t="shared" si="0"/>
        <v>1955.8402207988959</v>
      </c>
    </row>
    <row r="28" spans="2:18">
      <c r="B28" s="3204" t="s">
        <v>3515</v>
      </c>
      <c r="C28" s="3204" t="s">
        <v>3049</v>
      </c>
      <c r="D28" s="3204" t="s">
        <v>3349</v>
      </c>
      <c r="E28" s="3204" t="s">
        <v>3051</v>
      </c>
      <c r="F28" s="3204" t="s">
        <v>3052</v>
      </c>
      <c r="G28" s="3204" t="s">
        <v>3350</v>
      </c>
      <c r="H28" s="3204">
        <v>34971.339999999997</v>
      </c>
      <c r="I28" s="3204" t="s">
        <v>3351</v>
      </c>
      <c r="J28" s="3204" t="s">
        <v>2773</v>
      </c>
      <c r="K28" s="3204" t="s">
        <v>3370</v>
      </c>
      <c r="L28" s="3204" t="s">
        <v>3371</v>
      </c>
      <c r="M28" s="3204">
        <v>6700</v>
      </c>
      <c r="N28" s="3204">
        <v>127.72</v>
      </c>
      <c r="O28" s="3204">
        <v>957.92</v>
      </c>
      <c r="P28" s="3204">
        <v>6.35</v>
      </c>
      <c r="Q28" s="3204" t="s">
        <v>3097</v>
      </c>
      <c r="R28" s="3208">
        <f t="shared" si="0"/>
        <v>1915.7904210478948</v>
      </c>
    </row>
    <row r="29" spans="2:18">
      <c r="B29" s="3204" t="s">
        <v>3372</v>
      </c>
      <c r="C29" s="3204" t="s">
        <v>3049</v>
      </c>
      <c r="D29" s="3204" t="s">
        <v>3314</v>
      </c>
      <c r="E29" s="3204" t="s">
        <v>3051</v>
      </c>
      <c r="F29" s="3204" t="s">
        <v>3052</v>
      </c>
      <c r="G29" s="3204" t="s">
        <v>3355</v>
      </c>
      <c r="H29" s="3204">
        <v>44198</v>
      </c>
      <c r="I29" s="3204" t="s">
        <v>3326</v>
      </c>
      <c r="J29" s="3204" t="s">
        <v>2773</v>
      </c>
      <c r="K29" s="3204" t="s">
        <v>3373</v>
      </c>
      <c r="L29" s="3204" t="s">
        <v>3374</v>
      </c>
      <c r="M29" s="3204">
        <v>10100</v>
      </c>
      <c r="N29" s="3204">
        <v>152.34</v>
      </c>
      <c r="O29" s="3204">
        <v>1142.58</v>
      </c>
      <c r="P29" s="3204">
        <v>1</v>
      </c>
      <c r="Q29" s="3204" t="s">
        <v>3097</v>
      </c>
      <c r="R29" s="3208">
        <f t="shared" si="0"/>
        <v>2285.0885745571272</v>
      </c>
    </row>
    <row r="30" spans="2:18">
      <c r="B30" s="3204" t="s">
        <v>3375</v>
      </c>
      <c r="C30" s="3204" t="s">
        <v>3049</v>
      </c>
      <c r="D30" s="3204" t="s">
        <v>3314</v>
      </c>
      <c r="E30" s="3204" t="s">
        <v>3051</v>
      </c>
      <c r="F30" s="3204" t="s">
        <v>3052</v>
      </c>
      <c r="G30" s="3204" t="s">
        <v>3355</v>
      </c>
      <c r="H30" s="3204">
        <v>59358.63</v>
      </c>
      <c r="I30" s="3204" t="s">
        <v>3346</v>
      </c>
      <c r="J30" s="3204" t="s">
        <v>2773</v>
      </c>
      <c r="K30" s="3204" t="s">
        <v>3376</v>
      </c>
      <c r="L30" s="3204" t="s">
        <v>3072</v>
      </c>
      <c r="M30" s="3204">
        <v>11700</v>
      </c>
      <c r="N30" s="3204">
        <v>131.4</v>
      </c>
      <c r="O30" s="3204">
        <v>1095.03</v>
      </c>
      <c r="P30" s="3204">
        <v>19.39</v>
      </c>
      <c r="Q30" s="3204" t="s">
        <v>3057</v>
      </c>
      <c r="R30" s="3208">
        <f t="shared" si="0"/>
        <v>1970.990145049275</v>
      </c>
    </row>
    <row r="31" spans="2:18">
      <c r="B31" s="3204" t="s">
        <v>3377</v>
      </c>
      <c r="C31" s="3204" t="s">
        <v>3049</v>
      </c>
      <c r="D31" s="3204" t="s">
        <v>3314</v>
      </c>
      <c r="E31" s="3204" t="s">
        <v>3051</v>
      </c>
      <c r="F31" s="3204" t="s">
        <v>3052</v>
      </c>
      <c r="G31" s="3204" t="s">
        <v>3355</v>
      </c>
      <c r="H31" s="3204">
        <v>68921</v>
      </c>
      <c r="I31" s="3204" t="s">
        <v>3364</v>
      </c>
      <c r="J31" s="3204" t="s">
        <v>2773</v>
      </c>
      <c r="K31" s="3204" t="s">
        <v>3378</v>
      </c>
      <c r="L31" s="3204" t="s">
        <v>3361</v>
      </c>
      <c r="M31" s="3204">
        <v>40050</v>
      </c>
      <c r="N31" s="3204">
        <v>387.4</v>
      </c>
      <c r="O31" s="3204">
        <v>3631.88</v>
      </c>
      <c r="P31" s="3204">
        <v>0.13</v>
      </c>
      <c r="Q31" s="3204" t="s">
        <v>3097</v>
      </c>
      <c r="R31" s="3208">
        <f t="shared" si="0"/>
        <v>5810.9709451452736</v>
      </c>
    </row>
    <row r="32" spans="2:18">
      <c r="B32" s="3204" t="s">
        <v>3379</v>
      </c>
      <c r="C32" s="3204" t="s">
        <v>3049</v>
      </c>
      <c r="D32" s="3204" t="s">
        <v>3349</v>
      </c>
      <c r="E32" s="3204" t="s">
        <v>3051</v>
      </c>
      <c r="F32" s="3204" t="s">
        <v>3127</v>
      </c>
      <c r="G32" s="3204" t="s">
        <v>3380</v>
      </c>
      <c r="H32" s="3204">
        <v>32765.99</v>
      </c>
      <c r="I32" s="3204" t="s">
        <v>3381</v>
      </c>
      <c r="J32" s="3204" t="s">
        <v>2773</v>
      </c>
      <c r="K32" s="3204" t="s">
        <v>3331</v>
      </c>
      <c r="L32" s="3204" t="s">
        <v>3332</v>
      </c>
      <c r="M32" s="3204">
        <v>17550</v>
      </c>
      <c r="N32" s="3204">
        <v>357.08</v>
      </c>
      <c r="O32" s="3204">
        <v>2975.65</v>
      </c>
      <c r="P32" s="3204">
        <v>9.69</v>
      </c>
      <c r="Q32" s="3204" t="s">
        <v>3164</v>
      </c>
      <c r="R32" s="3208">
        <f t="shared" si="0"/>
        <v>5356.1732191339042</v>
      </c>
    </row>
    <row r="33" spans="2:18">
      <c r="B33" s="3204" t="s">
        <v>3382</v>
      </c>
      <c r="C33" s="3204" t="s">
        <v>3049</v>
      </c>
      <c r="D33" s="3204" t="s">
        <v>3314</v>
      </c>
      <c r="E33" s="3204" t="s">
        <v>3051</v>
      </c>
      <c r="F33" s="3204" t="s">
        <v>3052</v>
      </c>
      <c r="G33" s="3204" t="s">
        <v>3355</v>
      </c>
      <c r="H33" s="3204">
        <v>34942.400000000001</v>
      </c>
      <c r="I33" s="3204" t="s">
        <v>3319</v>
      </c>
      <c r="J33" s="3204" t="s">
        <v>2773</v>
      </c>
      <c r="K33" s="3204" t="s">
        <v>3383</v>
      </c>
      <c r="L33" s="3204" t="s">
        <v>3384</v>
      </c>
      <c r="M33" s="3204">
        <v>6603.65</v>
      </c>
      <c r="N33" s="3204">
        <v>125.99</v>
      </c>
      <c r="O33" s="3204">
        <v>944.94</v>
      </c>
      <c r="P33" s="3204">
        <v>0</v>
      </c>
      <c r="Q33" s="3204" t="s">
        <v>3057</v>
      </c>
      <c r="R33" s="3208">
        <f t="shared" si="0"/>
        <v>1889.8405507972459</v>
      </c>
    </row>
    <row r="34" spans="2:18">
      <c r="B34" s="3204" t="s">
        <v>3385</v>
      </c>
      <c r="C34" s="3204" t="s">
        <v>3049</v>
      </c>
      <c r="D34" s="3204" t="s">
        <v>3314</v>
      </c>
      <c r="E34" s="3204" t="s">
        <v>3051</v>
      </c>
      <c r="F34" s="3204" t="s">
        <v>3052</v>
      </c>
      <c r="G34" s="3204" t="s">
        <v>3355</v>
      </c>
      <c r="H34" s="3204">
        <v>11339.04</v>
      </c>
      <c r="I34" s="3204" t="s">
        <v>3326</v>
      </c>
      <c r="J34" s="3204" t="s">
        <v>2773</v>
      </c>
      <c r="K34" s="3204" t="s">
        <v>3386</v>
      </c>
      <c r="L34" s="3204" t="s">
        <v>3387</v>
      </c>
      <c r="M34" s="3204">
        <v>2142</v>
      </c>
      <c r="N34" s="3204">
        <v>125.94</v>
      </c>
      <c r="O34" s="3204">
        <v>944.51</v>
      </c>
      <c r="P34" s="3204">
        <v>0</v>
      </c>
      <c r="Q34" s="3204" t="s">
        <v>3057</v>
      </c>
      <c r="R34" s="3208">
        <f t="shared" si="0"/>
        <v>1889.0905545472272</v>
      </c>
    </row>
    <row r="35" spans="2:18">
      <c r="B35" s="3204" t="s">
        <v>3388</v>
      </c>
      <c r="C35" s="3204" t="s">
        <v>3049</v>
      </c>
      <c r="D35" s="3204" t="s">
        <v>3349</v>
      </c>
      <c r="E35" s="3204" t="s">
        <v>3051</v>
      </c>
      <c r="F35" s="3204" t="s">
        <v>3052</v>
      </c>
      <c r="G35" s="3204" t="s">
        <v>3389</v>
      </c>
      <c r="H35" s="3204">
        <v>111605.4</v>
      </c>
      <c r="I35" s="3204" t="s">
        <v>3351</v>
      </c>
      <c r="J35" s="3204" t="s">
        <v>2773</v>
      </c>
      <c r="K35" s="3204" t="s">
        <v>3390</v>
      </c>
      <c r="L35" s="3204" t="s">
        <v>3391</v>
      </c>
      <c r="M35" s="3204">
        <v>21000</v>
      </c>
      <c r="N35" s="3204">
        <v>125.44</v>
      </c>
      <c r="O35" s="3204">
        <v>940.8</v>
      </c>
      <c r="P35" s="3204">
        <v>39.07</v>
      </c>
      <c r="Q35" s="3204" t="s">
        <v>3090</v>
      </c>
      <c r="R35" s="3208">
        <f t="shared" si="0"/>
        <v>1881.59059204704</v>
      </c>
    </row>
    <row r="36" spans="2:18">
      <c r="B36" s="3204" t="s">
        <v>3392</v>
      </c>
      <c r="C36" s="3204" t="s">
        <v>3049</v>
      </c>
      <c r="D36" s="3204" t="s">
        <v>3349</v>
      </c>
      <c r="E36" s="3204" t="s">
        <v>3051</v>
      </c>
      <c r="F36" s="3204" t="s">
        <v>3052</v>
      </c>
      <c r="G36" s="3204" t="s">
        <v>3393</v>
      </c>
      <c r="H36" s="3204">
        <v>63430.06</v>
      </c>
      <c r="I36" s="3204" t="s">
        <v>3394</v>
      </c>
      <c r="J36" s="3204" t="s">
        <v>2773</v>
      </c>
      <c r="K36" s="3204" t="s">
        <v>3395</v>
      </c>
      <c r="L36" s="3204" t="s">
        <v>3396</v>
      </c>
      <c r="M36" s="3204">
        <v>14300</v>
      </c>
      <c r="N36" s="3204">
        <v>150.30000000000001</v>
      </c>
      <c r="O36" s="3204">
        <v>1409.02</v>
      </c>
      <c r="P36" s="3204">
        <v>66.28</v>
      </c>
      <c r="Q36" s="3204" t="s">
        <v>3090</v>
      </c>
      <c r="R36" s="3208">
        <f t="shared" si="0"/>
        <v>2254.4887275563624</v>
      </c>
    </row>
    <row r="37" spans="2:18">
      <c r="B37" s="3204" t="s">
        <v>3397</v>
      </c>
      <c r="C37" s="3204" t="s">
        <v>3049</v>
      </c>
      <c r="D37" s="3204" t="s">
        <v>3314</v>
      </c>
      <c r="E37" s="3204" t="s">
        <v>3051</v>
      </c>
      <c r="F37" s="3204" t="s">
        <v>3052</v>
      </c>
      <c r="G37" s="3204" t="s">
        <v>3355</v>
      </c>
      <c r="H37" s="3204">
        <v>61637</v>
      </c>
      <c r="I37" s="3204" t="s">
        <v>3367</v>
      </c>
      <c r="J37" s="3204" t="s">
        <v>2773</v>
      </c>
      <c r="K37" s="3204" t="s">
        <v>3140</v>
      </c>
      <c r="L37" s="3204" t="s">
        <v>3147</v>
      </c>
      <c r="M37" s="3204">
        <v>14020</v>
      </c>
      <c r="N37" s="3204">
        <v>151.63999999999999</v>
      </c>
      <c r="O37" s="3204">
        <v>1263.67</v>
      </c>
      <c r="P37" s="3204">
        <v>27.45</v>
      </c>
      <c r="Q37" s="3204" t="s">
        <v>3097</v>
      </c>
      <c r="R37" s="3208">
        <f t="shared" si="0"/>
        <v>2274.5886270568649</v>
      </c>
    </row>
    <row r="38" spans="2:18">
      <c r="B38" s="3204" t="s">
        <v>3398</v>
      </c>
      <c r="C38" s="3204" t="s">
        <v>3049</v>
      </c>
      <c r="D38" s="3204" t="s">
        <v>3349</v>
      </c>
      <c r="E38" s="3204" t="s">
        <v>3051</v>
      </c>
      <c r="F38" s="3204" t="s">
        <v>3052</v>
      </c>
      <c r="G38" s="3204" t="s">
        <v>3399</v>
      </c>
      <c r="H38" s="3204">
        <v>29806.09</v>
      </c>
      <c r="I38" s="3204" t="s">
        <v>3400</v>
      </c>
      <c r="J38" s="3204" t="s">
        <v>2773</v>
      </c>
      <c r="K38" s="3204" t="s">
        <v>3153</v>
      </c>
      <c r="L38" s="3204" t="s">
        <v>3401</v>
      </c>
      <c r="M38" s="3204">
        <v>4150</v>
      </c>
      <c r="N38" s="3204">
        <v>92.82</v>
      </c>
      <c r="O38" s="3204">
        <v>605.36</v>
      </c>
      <c r="P38" s="3204">
        <v>2.4700000000000002</v>
      </c>
      <c r="Q38" s="3204" t="s">
        <v>3090</v>
      </c>
      <c r="R38" s="3208">
        <f t="shared" si="0"/>
        <v>1392.2930385348072</v>
      </c>
    </row>
    <row r="39" spans="2:18">
      <c r="B39" s="3204" t="s">
        <v>3402</v>
      </c>
      <c r="C39" s="3204" t="s">
        <v>3049</v>
      </c>
      <c r="D39" s="3204" t="s">
        <v>3314</v>
      </c>
      <c r="E39" s="3204" t="s">
        <v>3051</v>
      </c>
      <c r="F39" s="3204" t="s">
        <v>3052</v>
      </c>
      <c r="G39" s="3204" t="s">
        <v>3355</v>
      </c>
      <c r="H39" s="3204">
        <v>54721.8</v>
      </c>
      <c r="I39" s="3204" t="s">
        <v>3403</v>
      </c>
      <c r="J39" s="3204" t="s">
        <v>2773</v>
      </c>
      <c r="K39" s="3204" t="s">
        <v>3157</v>
      </c>
      <c r="L39" s="3204" t="s">
        <v>3178</v>
      </c>
      <c r="M39" s="3204">
        <v>7400</v>
      </c>
      <c r="N39" s="3204">
        <v>90.15</v>
      </c>
      <c r="O39" s="3204">
        <v>901.52</v>
      </c>
      <c r="P39" s="3204">
        <v>12.12</v>
      </c>
      <c r="Q39" s="3204" t="s">
        <v>3118</v>
      </c>
      <c r="R39" s="3208">
        <f t="shared" si="0"/>
        <v>1352.2432387838062</v>
      </c>
    </row>
    <row r="40" spans="2:18">
      <c r="B40" s="3204" t="s">
        <v>3404</v>
      </c>
      <c r="C40" s="3204" t="s">
        <v>3049</v>
      </c>
      <c r="D40" s="3204" t="s">
        <v>3349</v>
      </c>
      <c r="E40" s="3204" t="s">
        <v>3051</v>
      </c>
      <c r="F40" s="3204" t="s">
        <v>3052</v>
      </c>
      <c r="G40" s="3204" t="s">
        <v>3405</v>
      </c>
      <c r="H40" s="3204">
        <v>130614.5</v>
      </c>
      <c r="I40" s="3204" t="s">
        <v>3406</v>
      </c>
      <c r="J40" s="3204" t="s">
        <v>2773</v>
      </c>
      <c r="K40" s="3204" t="s">
        <v>3407</v>
      </c>
      <c r="L40" s="3204" t="s">
        <v>3232</v>
      </c>
      <c r="M40" s="3204">
        <v>29400</v>
      </c>
      <c r="N40" s="3204">
        <v>150.06</v>
      </c>
      <c r="O40" s="3204">
        <v>993.82</v>
      </c>
      <c r="P40" s="3204">
        <v>15.29</v>
      </c>
      <c r="Q40" s="3204" t="s">
        <v>3164</v>
      </c>
      <c r="R40" s="3208">
        <f t="shared" si="0"/>
        <v>2250.8887455562722</v>
      </c>
    </row>
    <row r="41" spans="2:18">
      <c r="B41" s="3204" t="s">
        <v>3408</v>
      </c>
      <c r="C41" s="3204" t="s">
        <v>3049</v>
      </c>
      <c r="D41" s="3204" t="s">
        <v>3349</v>
      </c>
      <c r="E41" s="3204" t="s">
        <v>3051</v>
      </c>
      <c r="F41" s="3204" t="s">
        <v>3052</v>
      </c>
      <c r="G41" s="3204" t="s">
        <v>3409</v>
      </c>
      <c r="H41" s="3204">
        <v>29795.75</v>
      </c>
      <c r="I41" s="3204" t="s">
        <v>3410</v>
      </c>
      <c r="J41" s="3204" t="s">
        <v>2773</v>
      </c>
      <c r="K41" s="3204" t="s">
        <v>3186</v>
      </c>
      <c r="L41" s="3204" t="s">
        <v>3411</v>
      </c>
      <c r="M41" s="3204">
        <v>1050</v>
      </c>
      <c r="N41" s="3204">
        <v>23.49</v>
      </c>
      <c r="O41" s="3204">
        <v>195.78</v>
      </c>
      <c r="P41" s="3204">
        <v>0.96</v>
      </c>
      <c r="Q41" s="3204" t="s">
        <v>3057</v>
      </c>
      <c r="R41" s="3208">
        <f t="shared" si="0"/>
        <v>352.34823825880869</v>
      </c>
    </row>
    <row r="42" spans="2:18">
      <c r="B42" s="3204" t="s">
        <v>3412</v>
      </c>
      <c r="C42" s="3204" t="s">
        <v>3049</v>
      </c>
      <c r="D42" s="3204" t="s">
        <v>3349</v>
      </c>
      <c r="E42" s="3204" t="s">
        <v>3051</v>
      </c>
      <c r="F42" s="3204" t="s">
        <v>3052</v>
      </c>
      <c r="G42" s="3204" t="s">
        <v>3409</v>
      </c>
      <c r="H42" s="3204">
        <v>57931.82</v>
      </c>
      <c r="I42" s="3204" t="s">
        <v>3413</v>
      </c>
      <c r="J42" s="3204" t="s">
        <v>2773</v>
      </c>
      <c r="K42" s="3204" t="s">
        <v>3186</v>
      </c>
      <c r="L42" s="3204" t="s">
        <v>3174</v>
      </c>
      <c r="M42" s="3204">
        <v>2042</v>
      </c>
      <c r="N42" s="3204">
        <v>23.5</v>
      </c>
      <c r="O42" s="3204">
        <v>271.13</v>
      </c>
      <c r="P42" s="3204">
        <v>0.49</v>
      </c>
      <c r="Q42" s="3204" t="s">
        <v>3057</v>
      </c>
      <c r="R42" s="3208">
        <f t="shared" si="0"/>
        <v>352.49823750881245</v>
      </c>
    </row>
    <row r="43" spans="2:18">
      <c r="B43" s="3204" t="s">
        <v>3414</v>
      </c>
      <c r="C43" s="3204" t="s">
        <v>3049</v>
      </c>
      <c r="D43" s="3204" t="s">
        <v>3349</v>
      </c>
      <c r="E43" s="3204" t="s">
        <v>3051</v>
      </c>
      <c r="F43" s="3204" t="s">
        <v>3052</v>
      </c>
      <c r="G43" s="3204" t="s">
        <v>3409</v>
      </c>
      <c r="H43" s="3204">
        <v>58935.51</v>
      </c>
      <c r="I43" s="3204" t="s">
        <v>3415</v>
      </c>
      <c r="J43" s="3204" t="s">
        <v>2773</v>
      </c>
      <c r="K43" s="3204" t="s">
        <v>3186</v>
      </c>
      <c r="L43" s="3204" t="s">
        <v>3174</v>
      </c>
      <c r="M43" s="3204">
        <v>2077</v>
      </c>
      <c r="N43" s="3204">
        <v>23.49</v>
      </c>
      <c r="O43" s="3204">
        <v>234.94</v>
      </c>
      <c r="P43" s="3204">
        <v>0.48</v>
      </c>
      <c r="Q43" s="3204" t="s">
        <v>3118</v>
      </c>
      <c r="R43" s="3208">
        <f t="shared" si="0"/>
        <v>352.34823825880869</v>
      </c>
    </row>
    <row r="44" spans="2:18" s="3207" customFormat="1">
      <c r="B44" s="3207" t="s">
        <v>3416</v>
      </c>
      <c r="C44" s="3207" t="s">
        <v>3049</v>
      </c>
      <c r="D44" s="3207" t="s">
        <v>3349</v>
      </c>
      <c r="E44" s="3207" t="s">
        <v>3051</v>
      </c>
      <c r="F44" s="3207" t="s">
        <v>3052</v>
      </c>
      <c r="G44" s="3207" t="s">
        <v>3409</v>
      </c>
      <c r="H44" s="3207">
        <v>63227.08</v>
      </c>
      <c r="I44" s="3207" t="s">
        <v>3394</v>
      </c>
      <c r="J44" s="3207" t="s">
        <v>2773</v>
      </c>
      <c r="K44" s="3207" t="s">
        <v>3186</v>
      </c>
      <c r="L44" s="3207" t="s">
        <v>3411</v>
      </c>
      <c r="M44" s="3207">
        <v>2229</v>
      </c>
      <c r="N44" s="3207">
        <v>23.5</v>
      </c>
      <c r="O44" s="3207">
        <v>220.34</v>
      </c>
      <c r="P44" s="3207">
        <v>0.45</v>
      </c>
      <c r="Q44" s="3207" t="s">
        <v>3097</v>
      </c>
      <c r="R44" s="3209">
        <f t="shared" si="0"/>
        <v>352.49823750881245</v>
      </c>
    </row>
    <row r="45" spans="2:18">
      <c r="B45" s="3204" t="s">
        <v>3417</v>
      </c>
      <c r="C45" s="3204" t="s">
        <v>3049</v>
      </c>
      <c r="D45" s="3204" t="s">
        <v>3349</v>
      </c>
      <c r="E45" s="3204" t="s">
        <v>3051</v>
      </c>
      <c r="F45" s="3204" t="s">
        <v>3052</v>
      </c>
      <c r="G45" s="3204" t="s">
        <v>3409</v>
      </c>
      <c r="H45" s="3204">
        <v>77580.05</v>
      </c>
      <c r="I45" s="3204" t="s">
        <v>3413</v>
      </c>
      <c r="J45" s="3204" t="s">
        <v>2773</v>
      </c>
      <c r="K45" s="3204" t="s">
        <v>3186</v>
      </c>
      <c r="L45" s="3204" t="s">
        <v>3174</v>
      </c>
      <c r="M45" s="3204">
        <v>2735</v>
      </c>
      <c r="N45" s="3204">
        <v>23.5</v>
      </c>
      <c r="O45" s="3204">
        <v>271.18</v>
      </c>
      <c r="P45" s="3204">
        <v>0.37</v>
      </c>
      <c r="Q45" s="3204" t="s">
        <v>3057</v>
      </c>
      <c r="R45" s="3208">
        <f t="shared" si="0"/>
        <v>352.49823750881245</v>
      </c>
    </row>
    <row r="46" spans="2:18">
      <c r="B46" s="3204" t="s">
        <v>3418</v>
      </c>
      <c r="C46" s="3204" t="s">
        <v>3049</v>
      </c>
      <c r="D46" s="3204" t="s">
        <v>3349</v>
      </c>
      <c r="E46" s="3204" t="s">
        <v>3051</v>
      </c>
      <c r="F46" s="3204" t="s">
        <v>3052</v>
      </c>
      <c r="G46" s="3204" t="s">
        <v>3409</v>
      </c>
      <c r="H46" s="3204">
        <v>78729.95</v>
      </c>
      <c r="I46" s="3204" t="s">
        <v>3413</v>
      </c>
      <c r="J46" s="3204" t="s">
        <v>2773</v>
      </c>
      <c r="K46" s="3204" t="s">
        <v>3186</v>
      </c>
      <c r="L46" s="3204" t="s">
        <v>3174</v>
      </c>
      <c r="M46" s="3204">
        <v>2775</v>
      </c>
      <c r="N46" s="3204">
        <v>23.5</v>
      </c>
      <c r="O46" s="3204">
        <v>271.12</v>
      </c>
      <c r="P46" s="3204">
        <v>0.36</v>
      </c>
      <c r="Q46" s="3204" t="s">
        <v>3057</v>
      </c>
      <c r="R46" s="3208">
        <f t="shared" si="0"/>
        <v>352.49823750881245</v>
      </c>
    </row>
    <row r="47" spans="2:18">
      <c r="B47" s="3204" t="s">
        <v>3419</v>
      </c>
      <c r="C47" s="3204" t="s">
        <v>3049</v>
      </c>
      <c r="D47" s="3204" t="s">
        <v>3349</v>
      </c>
      <c r="E47" s="3204" t="s">
        <v>3051</v>
      </c>
      <c r="F47" s="3204" t="s">
        <v>3052</v>
      </c>
      <c r="G47" s="3204" t="s">
        <v>3409</v>
      </c>
      <c r="H47" s="3204">
        <v>63175.09</v>
      </c>
      <c r="I47" s="3204" t="s">
        <v>3410</v>
      </c>
      <c r="J47" s="3204" t="s">
        <v>2773</v>
      </c>
      <c r="K47" s="3204" t="s">
        <v>3186</v>
      </c>
      <c r="L47" s="3204" t="s">
        <v>3411</v>
      </c>
      <c r="M47" s="3204">
        <v>2227</v>
      </c>
      <c r="N47" s="3204">
        <v>23.5</v>
      </c>
      <c r="O47" s="3204">
        <v>195.84</v>
      </c>
      <c r="P47" s="3204">
        <v>0.45</v>
      </c>
      <c r="Q47" s="3204" t="s">
        <v>3057</v>
      </c>
      <c r="R47" s="3208">
        <f t="shared" si="0"/>
        <v>352.49823750881245</v>
      </c>
    </row>
    <row r="48" spans="2:18">
      <c r="B48" s="3204" t="s">
        <v>3420</v>
      </c>
      <c r="C48" s="3204" t="s">
        <v>3049</v>
      </c>
      <c r="D48" s="3204" t="s">
        <v>3349</v>
      </c>
      <c r="E48" s="3204" t="s">
        <v>3051</v>
      </c>
      <c r="F48" s="3204" t="s">
        <v>3052</v>
      </c>
      <c r="G48" s="3204" t="s">
        <v>3409</v>
      </c>
      <c r="H48" s="3204">
        <v>55693.49</v>
      </c>
      <c r="I48" s="3204" t="s">
        <v>3413</v>
      </c>
      <c r="J48" s="3204" t="s">
        <v>2773</v>
      </c>
      <c r="K48" s="3204" t="s">
        <v>3186</v>
      </c>
      <c r="L48" s="3204" t="s">
        <v>3174</v>
      </c>
      <c r="M48" s="3204">
        <v>1963</v>
      </c>
      <c r="N48" s="3204">
        <v>23.5</v>
      </c>
      <c r="O48" s="3204">
        <v>271.12</v>
      </c>
      <c r="P48" s="3204">
        <v>0.51</v>
      </c>
      <c r="Q48" s="3204" t="s">
        <v>3057</v>
      </c>
      <c r="R48" s="3208">
        <f t="shared" si="0"/>
        <v>352.49823750881245</v>
      </c>
    </row>
    <row r="49" spans="2:18">
      <c r="B49" s="3204" t="s">
        <v>3421</v>
      </c>
      <c r="C49" s="3204" t="s">
        <v>3049</v>
      </c>
      <c r="D49" s="3204" t="s">
        <v>3314</v>
      </c>
      <c r="E49" s="3204" t="s">
        <v>3051</v>
      </c>
      <c r="F49" s="3204" t="s">
        <v>3052</v>
      </c>
      <c r="G49" s="3204" t="s">
        <v>3355</v>
      </c>
      <c r="H49" s="3204">
        <v>73789.17</v>
      </c>
      <c r="I49" s="3204" t="s">
        <v>3410</v>
      </c>
      <c r="J49" s="3204" t="s">
        <v>2773</v>
      </c>
      <c r="K49" s="3204" t="s">
        <v>3186</v>
      </c>
      <c r="L49" s="3204" t="s">
        <v>3411</v>
      </c>
      <c r="M49" s="3204">
        <v>2601</v>
      </c>
      <c r="N49" s="3204">
        <v>23.5</v>
      </c>
      <c r="O49" s="3204">
        <v>195.83</v>
      </c>
      <c r="P49" s="3204">
        <v>0.39</v>
      </c>
      <c r="Q49" s="3204" t="s">
        <v>3057</v>
      </c>
      <c r="R49" s="3208">
        <f t="shared" si="0"/>
        <v>352.49823750881245</v>
      </c>
    </row>
    <row r="50" spans="2:18">
      <c r="B50" s="3204" t="s">
        <v>3422</v>
      </c>
      <c r="C50" s="3204" t="s">
        <v>3049</v>
      </c>
      <c r="D50" s="3204" t="s">
        <v>3349</v>
      </c>
      <c r="E50" s="3204" t="s">
        <v>3051</v>
      </c>
      <c r="F50" s="3204" t="s">
        <v>3052</v>
      </c>
      <c r="G50" s="3204" t="s">
        <v>3409</v>
      </c>
      <c r="H50" s="3204">
        <v>58618.28</v>
      </c>
      <c r="I50" s="3204" t="s">
        <v>3415</v>
      </c>
      <c r="J50" s="3204" t="s">
        <v>2773</v>
      </c>
      <c r="K50" s="3204" t="s">
        <v>3186</v>
      </c>
      <c r="L50" s="3204" t="s">
        <v>3174</v>
      </c>
      <c r="M50" s="3204">
        <v>2066</v>
      </c>
      <c r="N50" s="3204">
        <v>23.5</v>
      </c>
      <c r="O50" s="3204">
        <v>234.96</v>
      </c>
      <c r="P50" s="3204">
        <v>0.49</v>
      </c>
      <c r="Q50" s="3204" t="s">
        <v>3097</v>
      </c>
      <c r="R50" s="3208">
        <f t="shared" si="0"/>
        <v>352.49823750881245</v>
      </c>
    </row>
    <row r="51" spans="2:18">
      <c r="B51" s="3204" t="s">
        <v>3416</v>
      </c>
      <c r="C51" s="3204" t="s">
        <v>3049</v>
      </c>
      <c r="D51" s="3204" t="s">
        <v>3349</v>
      </c>
      <c r="E51" s="3204" t="s">
        <v>3051</v>
      </c>
      <c r="F51" s="3204" t="s">
        <v>3052</v>
      </c>
      <c r="G51" s="3204" t="s">
        <v>3409</v>
      </c>
      <c r="H51" s="3204">
        <v>57295.92</v>
      </c>
      <c r="I51" s="3204" t="s">
        <v>3394</v>
      </c>
      <c r="J51" s="3204" t="s">
        <v>2773</v>
      </c>
      <c r="K51" s="3204" t="s">
        <v>3186</v>
      </c>
      <c r="L51" s="3204" t="s">
        <v>3411</v>
      </c>
      <c r="M51" s="3204">
        <v>2020</v>
      </c>
      <c r="N51" s="3204">
        <v>23.5</v>
      </c>
      <c r="O51" s="3204">
        <v>220.34</v>
      </c>
      <c r="P51" s="3204">
        <v>0.5</v>
      </c>
      <c r="Q51" s="3204" t="s">
        <v>3097</v>
      </c>
      <c r="R51" s="3208">
        <f t="shared" si="0"/>
        <v>352.49823750881245</v>
      </c>
    </row>
    <row r="52" spans="2:18">
      <c r="B52" s="3204" t="s">
        <v>3423</v>
      </c>
      <c r="C52" s="3204" t="s">
        <v>3049</v>
      </c>
      <c r="D52" s="3204" t="s">
        <v>3349</v>
      </c>
      <c r="E52" s="3204" t="s">
        <v>3051</v>
      </c>
      <c r="F52" s="3204" t="s">
        <v>3052</v>
      </c>
      <c r="G52" s="3204" t="s">
        <v>3409</v>
      </c>
      <c r="H52" s="3204">
        <v>38418.080000000002</v>
      </c>
      <c r="I52" s="3204" t="s">
        <v>3410</v>
      </c>
      <c r="J52" s="3204" t="s">
        <v>2773</v>
      </c>
      <c r="K52" s="3204" t="s">
        <v>3186</v>
      </c>
      <c r="L52" s="3204" t="s">
        <v>3411</v>
      </c>
      <c r="M52" s="3204">
        <v>1354</v>
      </c>
      <c r="N52" s="3204">
        <v>23.5</v>
      </c>
      <c r="O52" s="3204">
        <v>195.8</v>
      </c>
      <c r="P52" s="3204">
        <v>0.74</v>
      </c>
      <c r="Q52" s="3204" t="s">
        <v>3097</v>
      </c>
      <c r="R52" s="3208">
        <f t="shared" si="0"/>
        <v>352.49823750881245</v>
      </c>
    </row>
    <row r="53" spans="2:18">
      <c r="B53" s="3204" t="s">
        <v>3424</v>
      </c>
      <c r="C53" s="3204" t="s">
        <v>3049</v>
      </c>
      <c r="D53" s="3204" t="s">
        <v>3349</v>
      </c>
      <c r="E53" s="3204" t="s">
        <v>3051</v>
      </c>
      <c r="F53" s="3204" t="s">
        <v>3052</v>
      </c>
      <c r="G53" s="3204" t="s">
        <v>3409</v>
      </c>
      <c r="H53" s="3204">
        <v>50538.25</v>
      </c>
      <c r="I53" s="3204" t="s">
        <v>3413</v>
      </c>
      <c r="J53" s="3204" t="s">
        <v>2773</v>
      </c>
      <c r="K53" s="3204" t="s">
        <v>3196</v>
      </c>
      <c r="L53" s="3204" t="s">
        <v>3425</v>
      </c>
      <c r="M53" s="3204">
        <v>1781</v>
      </c>
      <c r="N53" s="3204">
        <v>23.49</v>
      </c>
      <c r="O53" s="3204">
        <v>271.07</v>
      </c>
      <c r="P53" s="3204">
        <v>0.56000000000000005</v>
      </c>
      <c r="Q53" s="3204" t="s">
        <v>3057</v>
      </c>
      <c r="R53" s="3208">
        <f t="shared" si="0"/>
        <v>352.34823825880869</v>
      </c>
    </row>
    <row r="54" spans="2:18">
      <c r="B54" s="3204" t="s">
        <v>3426</v>
      </c>
      <c r="C54" s="3204" t="s">
        <v>3049</v>
      </c>
      <c r="D54" s="3204" t="s">
        <v>3349</v>
      </c>
      <c r="E54" s="3204" t="s">
        <v>3051</v>
      </c>
      <c r="F54" s="3204" t="s">
        <v>3052</v>
      </c>
      <c r="G54" s="3204" t="s">
        <v>3409</v>
      </c>
      <c r="H54" s="3204">
        <v>44337.95</v>
      </c>
      <c r="I54" s="3204" t="s">
        <v>3413</v>
      </c>
      <c r="J54" s="3204" t="s">
        <v>2773</v>
      </c>
      <c r="K54" s="3204" t="s">
        <v>3196</v>
      </c>
      <c r="L54" s="3204" t="s">
        <v>3214</v>
      </c>
      <c r="M54" s="3204">
        <v>1563</v>
      </c>
      <c r="N54" s="3204">
        <v>23.5</v>
      </c>
      <c r="O54" s="3204">
        <v>271.17</v>
      </c>
      <c r="P54" s="3204">
        <v>0.64</v>
      </c>
      <c r="Q54" s="3204" t="s">
        <v>3057</v>
      </c>
      <c r="R54" s="3208">
        <f t="shared" si="0"/>
        <v>352.49823750881245</v>
      </c>
    </row>
    <row r="55" spans="2:18">
      <c r="B55" s="3204" t="s">
        <v>3427</v>
      </c>
      <c r="C55" s="3204" t="s">
        <v>3049</v>
      </c>
      <c r="D55" s="3204" t="s">
        <v>3349</v>
      </c>
      <c r="E55" s="3204" t="s">
        <v>3051</v>
      </c>
      <c r="F55" s="3204" t="s">
        <v>3052</v>
      </c>
      <c r="G55" s="3204" t="s">
        <v>3409</v>
      </c>
      <c r="H55" s="3204">
        <v>35516.120000000003</v>
      </c>
      <c r="I55" s="3204" t="s">
        <v>3413</v>
      </c>
      <c r="J55" s="3204" t="s">
        <v>2773</v>
      </c>
      <c r="K55" s="3204" t="s">
        <v>3196</v>
      </c>
      <c r="L55" s="3204" t="s">
        <v>3214</v>
      </c>
      <c r="M55" s="3204">
        <v>1252</v>
      </c>
      <c r="N55" s="3204">
        <v>23.5</v>
      </c>
      <c r="O55" s="3204">
        <v>271.17</v>
      </c>
      <c r="P55" s="3204">
        <v>0.81</v>
      </c>
      <c r="Q55" s="3204" t="s">
        <v>3057</v>
      </c>
      <c r="R55" s="3208">
        <f t="shared" si="0"/>
        <v>352.49823750881245</v>
      </c>
    </row>
    <row r="56" spans="2:18">
      <c r="B56" s="3204" t="s">
        <v>3428</v>
      </c>
      <c r="C56" s="3204" t="s">
        <v>3049</v>
      </c>
      <c r="D56" s="3204" t="s">
        <v>3349</v>
      </c>
      <c r="E56" s="3204" t="s">
        <v>3051</v>
      </c>
      <c r="F56" s="3204" t="s">
        <v>3052</v>
      </c>
      <c r="G56" s="3204" t="s">
        <v>3409</v>
      </c>
      <c r="H56" s="3204">
        <v>33560.31</v>
      </c>
      <c r="I56" s="3204" t="s">
        <v>3413</v>
      </c>
      <c r="J56" s="3204" t="s">
        <v>2773</v>
      </c>
      <c r="K56" s="3204" t="s">
        <v>3196</v>
      </c>
      <c r="L56" s="3204" t="s">
        <v>3425</v>
      </c>
      <c r="M56" s="3204">
        <v>1783</v>
      </c>
      <c r="N56" s="3204">
        <v>35.42</v>
      </c>
      <c r="O56" s="3204">
        <v>408.68</v>
      </c>
      <c r="P56" s="3204">
        <v>52</v>
      </c>
      <c r="Q56" s="3204" t="s">
        <v>3057</v>
      </c>
      <c r="R56" s="3208">
        <f t="shared" si="0"/>
        <v>531.2973435132825</v>
      </c>
    </row>
    <row r="57" spans="2:18">
      <c r="B57" s="3204" t="s">
        <v>3429</v>
      </c>
      <c r="C57" s="3204" t="s">
        <v>3049</v>
      </c>
      <c r="D57" s="3204" t="s">
        <v>3349</v>
      </c>
      <c r="E57" s="3204" t="s">
        <v>3051</v>
      </c>
      <c r="F57" s="3204" t="s">
        <v>3052</v>
      </c>
      <c r="G57" s="3204" t="s">
        <v>3409</v>
      </c>
      <c r="H57" s="3204">
        <v>50552.01</v>
      </c>
      <c r="I57" s="3204" t="s">
        <v>3410</v>
      </c>
      <c r="J57" s="3204" t="s">
        <v>2773</v>
      </c>
      <c r="K57" s="3204" t="s">
        <v>3196</v>
      </c>
      <c r="L57" s="3204" t="s">
        <v>3425</v>
      </c>
      <c r="M57" s="3204">
        <v>1782</v>
      </c>
      <c r="N57" s="3204">
        <v>23.5</v>
      </c>
      <c r="O57" s="3204">
        <v>195.84</v>
      </c>
      <c r="P57" s="3204">
        <v>0.56000000000000005</v>
      </c>
      <c r="Q57" s="3204" t="s">
        <v>3118</v>
      </c>
      <c r="R57" s="3208">
        <f t="shared" si="0"/>
        <v>352.49823750881245</v>
      </c>
    </row>
    <row r="58" spans="2:18">
      <c r="B58" s="3204" t="s">
        <v>3430</v>
      </c>
      <c r="C58" s="3204" t="s">
        <v>3049</v>
      </c>
      <c r="D58" s="3204" t="s">
        <v>3349</v>
      </c>
      <c r="E58" s="3204" t="s">
        <v>3051</v>
      </c>
      <c r="F58" s="3204" t="s">
        <v>3052</v>
      </c>
      <c r="G58" s="3204" t="s">
        <v>3409</v>
      </c>
      <c r="H58" s="3204">
        <v>46106.34</v>
      </c>
      <c r="I58" s="3204" t="s">
        <v>3415</v>
      </c>
      <c r="J58" s="3204" t="s">
        <v>2773</v>
      </c>
      <c r="K58" s="3204" t="s">
        <v>3196</v>
      </c>
      <c r="L58" s="3204" t="s">
        <v>3214</v>
      </c>
      <c r="M58" s="3204">
        <v>1625</v>
      </c>
      <c r="N58" s="3204">
        <v>23.5</v>
      </c>
      <c r="O58" s="3204">
        <v>234.96</v>
      </c>
      <c r="P58" s="3204">
        <v>0.62</v>
      </c>
      <c r="Q58" s="3204" t="s">
        <v>3118</v>
      </c>
      <c r="R58" s="3208">
        <f t="shared" si="0"/>
        <v>352.49823750881245</v>
      </c>
    </row>
    <row r="59" spans="2:18">
      <c r="B59" s="3204" t="s">
        <v>3431</v>
      </c>
      <c r="C59" s="3204" t="s">
        <v>3049</v>
      </c>
      <c r="D59" s="3204" t="s">
        <v>3314</v>
      </c>
      <c r="E59" s="3204" t="s">
        <v>3051</v>
      </c>
      <c r="F59" s="3204" t="s">
        <v>3052</v>
      </c>
      <c r="G59" s="3204" t="s">
        <v>3355</v>
      </c>
      <c r="H59" s="3204">
        <v>614.88</v>
      </c>
      <c r="I59" s="3204" t="s">
        <v>3415</v>
      </c>
      <c r="J59" s="3204" t="s">
        <v>2773</v>
      </c>
      <c r="K59" s="3204" t="s">
        <v>3196</v>
      </c>
      <c r="L59" s="3204" t="s">
        <v>3432</v>
      </c>
      <c r="M59" s="3204">
        <v>51</v>
      </c>
      <c r="N59" s="3204">
        <v>55.3</v>
      </c>
      <c r="O59" s="3204">
        <v>552.95000000000005</v>
      </c>
      <c r="P59" s="3204">
        <v>2</v>
      </c>
      <c r="Q59" s="3204" t="s">
        <v>3057</v>
      </c>
      <c r="R59" s="3208">
        <f t="shared" si="0"/>
        <v>829.49585252073746</v>
      </c>
    </row>
    <row r="60" spans="2:18">
      <c r="B60" s="3204" t="s">
        <v>3433</v>
      </c>
      <c r="C60" s="3204" t="s">
        <v>3049</v>
      </c>
      <c r="D60" s="3204" t="s">
        <v>3349</v>
      </c>
      <c r="E60" s="3204" t="s">
        <v>3051</v>
      </c>
      <c r="F60" s="3204" t="s">
        <v>3052</v>
      </c>
      <c r="G60" s="3204" t="s">
        <v>3409</v>
      </c>
      <c r="H60" s="3204">
        <v>41538.370000000003</v>
      </c>
      <c r="I60" s="3204" t="s">
        <v>3415</v>
      </c>
      <c r="J60" s="3204" t="s">
        <v>2773</v>
      </c>
      <c r="K60" s="3204" t="s">
        <v>3196</v>
      </c>
      <c r="L60" s="3204" t="s">
        <v>3214</v>
      </c>
      <c r="M60" s="3204">
        <v>1464</v>
      </c>
      <c r="N60" s="3204">
        <v>23.5</v>
      </c>
      <c r="O60" s="3204">
        <v>234.96</v>
      </c>
      <c r="P60" s="3204">
        <v>0.69</v>
      </c>
      <c r="Q60" s="3204" t="s">
        <v>3118</v>
      </c>
      <c r="R60" s="3208">
        <f t="shared" si="0"/>
        <v>352.49823750881245</v>
      </c>
    </row>
    <row r="61" spans="2:18">
      <c r="B61" s="3204" t="s">
        <v>3517</v>
      </c>
      <c r="C61" s="3204" t="s">
        <v>3049</v>
      </c>
      <c r="D61" s="3204" t="s">
        <v>3314</v>
      </c>
      <c r="E61" s="3204" t="s">
        <v>3051</v>
      </c>
      <c r="F61" s="3204" t="s">
        <v>3073</v>
      </c>
      <c r="G61" s="3204" t="s">
        <v>3355</v>
      </c>
      <c r="H61" s="3204">
        <v>87946.04</v>
      </c>
      <c r="I61" s="3204" t="s">
        <v>3434</v>
      </c>
      <c r="J61" s="3204" t="s">
        <v>2773</v>
      </c>
      <c r="K61" s="3204" t="s">
        <v>3435</v>
      </c>
      <c r="L61" s="3204" t="s">
        <v>3436</v>
      </c>
      <c r="M61" s="3204">
        <v>43500</v>
      </c>
      <c r="N61" s="3204">
        <v>329.75</v>
      </c>
      <c r="O61" s="3204">
        <v>2747.9</v>
      </c>
      <c r="P61" s="3204">
        <v>11.54</v>
      </c>
      <c r="Q61" s="3204" t="s">
        <v>3097</v>
      </c>
      <c r="R61" s="3208">
        <f t="shared" si="0"/>
        <v>4946.2252688736562</v>
      </c>
    </row>
    <row r="62" spans="2:18">
      <c r="B62" s="3204" t="s">
        <v>3437</v>
      </c>
      <c r="C62" s="3204" t="s">
        <v>3049</v>
      </c>
      <c r="D62" s="3204" t="s">
        <v>3314</v>
      </c>
      <c r="E62" s="3204" t="s">
        <v>3051</v>
      </c>
      <c r="F62" s="3204" t="s">
        <v>3073</v>
      </c>
      <c r="G62" s="3204" t="s">
        <v>3355</v>
      </c>
      <c r="H62" s="3204">
        <v>101397.5</v>
      </c>
      <c r="I62" s="3204" t="s">
        <v>3434</v>
      </c>
      <c r="J62" s="3204" t="s">
        <v>2773</v>
      </c>
      <c r="K62" s="3204" t="s">
        <v>3435</v>
      </c>
      <c r="L62" s="3204" t="s">
        <v>3438</v>
      </c>
      <c r="M62" s="3204">
        <v>49200</v>
      </c>
      <c r="N62" s="3204">
        <v>323.48</v>
      </c>
      <c r="O62" s="3204">
        <v>2695.65</v>
      </c>
      <c r="P62" s="3204">
        <v>9.33</v>
      </c>
      <c r="Q62" s="3204" t="s">
        <v>3097</v>
      </c>
      <c r="R62" s="3208">
        <f t="shared" si="0"/>
        <v>4852.175739121305</v>
      </c>
    </row>
    <row r="63" spans="2:18">
      <c r="B63" s="3204" t="s">
        <v>3439</v>
      </c>
      <c r="C63" s="3204" t="s">
        <v>3049</v>
      </c>
      <c r="D63" s="3204" t="s">
        <v>3349</v>
      </c>
      <c r="E63" s="3204" t="s">
        <v>3051</v>
      </c>
      <c r="F63" s="3204" t="s">
        <v>3052</v>
      </c>
      <c r="G63" s="3204" t="s">
        <v>3409</v>
      </c>
      <c r="H63" s="3204">
        <v>72950.8</v>
      </c>
      <c r="I63" s="3204" t="s">
        <v>3410</v>
      </c>
      <c r="J63" s="3204" t="s">
        <v>2773</v>
      </c>
      <c r="K63" s="3204" t="s">
        <v>3220</v>
      </c>
      <c r="L63" s="3204" t="s">
        <v>3440</v>
      </c>
      <c r="M63" s="3204">
        <v>16500</v>
      </c>
      <c r="N63" s="3204">
        <v>150.79</v>
      </c>
      <c r="O63" s="3204">
        <v>1256.55</v>
      </c>
      <c r="P63" s="3204">
        <v>50</v>
      </c>
      <c r="Q63" s="3204" t="s">
        <v>3164</v>
      </c>
      <c r="R63" s="3208">
        <f t="shared" si="0"/>
        <v>2261.8386908065459</v>
      </c>
    </row>
    <row r="64" spans="2:18">
      <c r="B64" s="3204" t="s">
        <v>3441</v>
      </c>
      <c r="C64" s="3204" t="s">
        <v>3049</v>
      </c>
      <c r="D64" s="3204" t="s">
        <v>3314</v>
      </c>
      <c r="E64" s="3204" t="s">
        <v>3051</v>
      </c>
      <c r="F64" s="3204" t="s">
        <v>3052</v>
      </c>
      <c r="G64" s="3204" t="s">
        <v>3355</v>
      </c>
      <c r="H64" s="3204">
        <v>67706.8</v>
      </c>
      <c r="I64" s="3204" t="s">
        <v>3319</v>
      </c>
      <c r="J64" s="3204" t="s">
        <v>2773</v>
      </c>
      <c r="K64" s="3204" t="s">
        <v>3442</v>
      </c>
      <c r="L64" s="3204" t="s">
        <v>3443</v>
      </c>
      <c r="M64" s="3204">
        <v>21600</v>
      </c>
      <c r="N64" s="3204">
        <v>212.68</v>
      </c>
      <c r="O64" s="3204">
        <v>1595.1</v>
      </c>
      <c r="P64" s="3204">
        <v>77.239999999999995</v>
      </c>
      <c r="Q64" s="3204" t="s">
        <v>3057</v>
      </c>
      <c r="R64" s="3208">
        <f t="shared" si="0"/>
        <v>3190.1840490797549</v>
      </c>
    </row>
    <row r="65" spans="2:18">
      <c r="B65" s="3204" t="s">
        <v>3444</v>
      </c>
      <c r="C65" s="3204" t="s">
        <v>3049</v>
      </c>
      <c r="D65" s="3204" t="s">
        <v>3349</v>
      </c>
      <c r="E65" s="3204" t="s">
        <v>3051</v>
      </c>
      <c r="F65" s="3204" t="s">
        <v>3052</v>
      </c>
      <c r="G65" s="3204" t="s">
        <v>3409</v>
      </c>
      <c r="H65" s="3204">
        <v>71183.199999999997</v>
      </c>
      <c r="I65" s="3204" t="s">
        <v>3410</v>
      </c>
      <c r="J65" s="3204" t="s">
        <v>2773</v>
      </c>
      <c r="K65" s="3204" t="s">
        <v>3445</v>
      </c>
      <c r="L65" s="3204" t="s">
        <v>3361</v>
      </c>
      <c r="M65" s="3204">
        <v>14180</v>
      </c>
      <c r="N65" s="3204">
        <v>132.80000000000001</v>
      </c>
      <c r="O65" s="3204">
        <v>1029.56</v>
      </c>
      <c r="P65" s="3204">
        <v>32.770000000000003</v>
      </c>
      <c r="Q65" s="3204" t="s">
        <v>3097</v>
      </c>
      <c r="R65" s="3208">
        <f t="shared" si="0"/>
        <v>1991.9900400498</v>
      </c>
    </row>
    <row r="66" spans="2:18">
      <c r="B66" s="3204" t="s">
        <v>3446</v>
      </c>
      <c r="C66" s="3204" t="s">
        <v>3049</v>
      </c>
      <c r="D66" s="3204" t="s">
        <v>3314</v>
      </c>
      <c r="E66" s="3204" t="s">
        <v>3051</v>
      </c>
      <c r="F66" s="3204" t="s">
        <v>3052</v>
      </c>
      <c r="G66" s="3204" t="s">
        <v>3355</v>
      </c>
      <c r="H66" s="3204">
        <v>5485.61</v>
      </c>
      <c r="I66" s="3204" t="s">
        <v>3343</v>
      </c>
      <c r="J66" s="3204" t="s">
        <v>2773</v>
      </c>
      <c r="K66" s="3204" t="s">
        <v>3447</v>
      </c>
      <c r="L66" s="3204" t="s">
        <v>3353</v>
      </c>
      <c r="M66" s="3204">
        <v>620</v>
      </c>
      <c r="N66" s="3204">
        <v>75.349999999999994</v>
      </c>
      <c r="O66" s="3204">
        <v>941.86</v>
      </c>
      <c r="P66" s="3204">
        <v>15.89</v>
      </c>
      <c r="Q66" s="3204" t="s">
        <v>3057</v>
      </c>
      <c r="R66" s="3208">
        <f t="shared" si="0"/>
        <v>1130.2443487782562</v>
      </c>
    </row>
    <row r="67" spans="2:18">
      <c r="B67" s="3204" t="s">
        <v>3448</v>
      </c>
      <c r="C67" s="3204" t="s">
        <v>3049</v>
      </c>
      <c r="D67" s="3204" t="s">
        <v>3349</v>
      </c>
      <c r="E67" s="3204" t="s">
        <v>3051</v>
      </c>
      <c r="F67" s="3204" t="s">
        <v>3052</v>
      </c>
      <c r="G67" s="3204" t="s">
        <v>3409</v>
      </c>
      <c r="H67" s="3204">
        <v>34172.18</v>
      </c>
      <c r="I67" s="3204" t="s">
        <v>3449</v>
      </c>
      <c r="J67" s="3204" t="s">
        <v>2773</v>
      </c>
      <c r="K67" s="3204" t="s">
        <v>3450</v>
      </c>
      <c r="L67" s="3204" t="s">
        <v>3232</v>
      </c>
      <c r="M67" s="3204">
        <v>6180</v>
      </c>
      <c r="N67" s="3204">
        <v>120.57</v>
      </c>
      <c r="O67" s="3204">
        <v>904.24</v>
      </c>
      <c r="P67" s="3204">
        <v>20.47</v>
      </c>
      <c r="Q67" s="3204" t="s">
        <v>3057</v>
      </c>
      <c r="R67" s="3208">
        <f t="shared" si="0"/>
        <v>1808.5409572952135</v>
      </c>
    </row>
    <row r="68" spans="2:18">
      <c r="B68" s="3204" t="s">
        <v>3451</v>
      </c>
      <c r="C68" s="3204" t="s">
        <v>3049</v>
      </c>
      <c r="D68" s="3204" t="s">
        <v>3314</v>
      </c>
      <c r="E68" s="3204" t="s">
        <v>3051</v>
      </c>
      <c r="F68" s="3204" t="s">
        <v>3052</v>
      </c>
      <c r="G68" s="3204" t="s">
        <v>3355</v>
      </c>
      <c r="H68" s="3204">
        <v>110293</v>
      </c>
      <c r="I68" s="3204" t="s">
        <v>3449</v>
      </c>
      <c r="J68" s="3204" t="s">
        <v>2773</v>
      </c>
      <c r="K68" s="3204" t="s">
        <v>3452</v>
      </c>
      <c r="L68" s="3204" t="s">
        <v>3232</v>
      </c>
      <c r="M68" s="3204">
        <v>24850</v>
      </c>
      <c r="N68" s="3204">
        <v>150.21</v>
      </c>
      <c r="O68" s="3204">
        <v>1126.54</v>
      </c>
      <c r="P68" s="3204">
        <v>15.05</v>
      </c>
      <c r="Q68" s="3204" t="s">
        <v>3057</v>
      </c>
      <c r="R68" s="3208">
        <f t="shared" ref="R68:R102" si="1">N68/666.67*10000</f>
        <v>2253.1387343063284</v>
      </c>
    </row>
    <row r="69" spans="2:18">
      <c r="B69" s="3204" t="s">
        <v>3453</v>
      </c>
      <c r="C69" s="3204" t="s">
        <v>3049</v>
      </c>
      <c r="D69" s="3204" t="s">
        <v>3349</v>
      </c>
      <c r="E69" s="3204" t="s">
        <v>3051</v>
      </c>
      <c r="F69" s="3204" t="s">
        <v>3052</v>
      </c>
      <c r="G69" s="3204" t="s">
        <v>3409</v>
      </c>
      <c r="H69" s="3204">
        <v>49448.74</v>
      </c>
      <c r="I69" s="3204" t="s">
        <v>3449</v>
      </c>
      <c r="J69" s="3204" t="s">
        <v>2773</v>
      </c>
      <c r="K69" s="3204" t="s">
        <v>3452</v>
      </c>
      <c r="L69" s="3204" t="s">
        <v>3246</v>
      </c>
      <c r="M69" s="3204">
        <v>8950</v>
      </c>
      <c r="N69" s="3204">
        <v>120.66</v>
      </c>
      <c r="O69" s="3204">
        <v>904.98</v>
      </c>
      <c r="P69" s="3204">
        <v>19.329999999999998</v>
      </c>
      <c r="Q69" s="3204" t="s">
        <v>3057</v>
      </c>
      <c r="R69" s="3208">
        <f t="shared" si="1"/>
        <v>1809.8909505452473</v>
      </c>
    </row>
    <row r="70" spans="2:18">
      <c r="B70" s="3204" t="s">
        <v>3454</v>
      </c>
      <c r="C70" s="3204" t="s">
        <v>3049</v>
      </c>
      <c r="D70" s="3204" t="s">
        <v>3349</v>
      </c>
      <c r="E70" s="3204" t="s">
        <v>3051</v>
      </c>
      <c r="F70" s="3204" t="s">
        <v>3052</v>
      </c>
      <c r="G70" s="3204" t="s">
        <v>3409</v>
      </c>
      <c r="H70" s="3204">
        <v>121262.8</v>
      </c>
      <c r="I70" s="3204" t="s">
        <v>3455</v>
      </c>
      <c r="J70" s="3204" t="s">
        <v>2773</v>
      </c>
      <c r="K70" s="3204" t="s">
        <v>3452</v>
      </c>
      <c r="L70" s="3204" t="s">
        <v>3246</v>
      </c>
      <c r="M70" s="3204">
        <v>21850</v>
      </c>
      <c r="N70" s="3204">
        <v>120.12</v>
      </c>
      <c r="O70" s="3204">
        <v>1001.03</v>
      </c>
      <c r="P70" s="3204">
        <v>20.05</v>
      </c>
      <c r="Q70" s="3204" t="s">
        <v>3057</v>
      </c>
      <c r="R70" s="3208">
        <f t="shared" si="1"/>
        <v>1801.7909910450451</v>
      </c>
    </row>
    <row r="71" spans="2:18">
      <c r="B71" s="3204" t="s">
        <v>3456</v>
      </c>
      <c r="C71" s="3204" t="s">
        <v>3049</v>
      </c>
      <c r="D71" s="3204" t="s">
        <v>3314</v>
      </c>
      <c r="E71" s="3204" t="s">
        <v>3051</v>
      </c>
      <c r="F71" s="3204" t="s">
        <v>3052</v>
      </c>
      <c r="G71" s="3204" t="s">
        <v>3355</v>
      </c>
      <c r="H71" s="3204">
        <v>95177.22</v>
      </c>
      <c r="I71" s="3204" t="s">
        <v>3351</v>
      </c>
      <c r="J71" s="3204" t="s">
        <v>2773</v>
      </c>
      <c r="K71" s="3204" t="s">
        <v>3237</v>
      </c>
      <c r="L71" s="3204" t="s">
        <v>3457</v>
      </c>
      <c r="M71" s="3204">
        <v>2855</v>
      </c>
      <c r="N71" s="3204">
        <v>20</v>
      </c>
      <c r="O71" s="3204">
        <v>149.97</v>
      </c>
      <c r="P71" s="3204">
        <v>0.18</v>
      </c>
      <c r="Q71" s="3204" t="s">
        <v>3057</v>
      </c>
      <c r="R71" s="3208">
        <f t="shared" si="1"/>
        <v>299.99850000750001</v>
      </c>
    </row>
    <row r="72" spans="2:18">
      <c r="B72" s="3204" t="s">
        <v>3458</v>
      </c>
      <c r="C72" s="3204" t="s">
        <v>3049</v>
      </c>
      <c r="D72" s="3204" t="s">
        <v>3314</v>
      </c>
      <c r="E72" s="3204" t="s">
        <v>3051</v>
      </c>
      <c r="F72" s="3204" t="s">
        <v>3052</v>
      </c>
      <c r="G72" s="3204" t="s">
        <v>3355</v>
      </c>
      <c r="H72" s="3204">
        <v>116547.9</v>
      </c>
      <c r="I72" s="3204" t="s">
        <v>3351</v>
      </c>
      <c r="J72" s="3204" t="s">
        <v>2773</v>
      </c>
      <c r="K72" s="3204" t="s">
        <v>3237</v>
      </c>
      <c r="L72" s="3204" t="s">
        <v>3459</v>
      </c>
      <c r="M72" s="3204">
        <v>3495</v>
      </c>
      <c r="N72" s="3204">
        <v>19.989999999999998</v>
      </c>
      <c r="O72" s="3204">
        <v>149.93</v>
      </c>
      <c r="P72" s="3204">
        <v>0.14000000000000001</v>
      </c>
      <c r="Q72" s="3204" t="s">
        <v>3057</v>
      </c>
      <c r="R72" s="3208">
        <f t="shared" si="1"/>
        <v>299.8485007574962</v>
      </c>
    </row>
    <row r="73" spans="2:18">
      <c r="B73" s="3204" t="s">
        <v>3460</v>
      </c>
      <c r="C73" s="3204" t="s">
        <v>3049</v>
      </c>
      <c r="D73" s="3204" t="s">
        <v>3314</v>
      </c>
      <c r="E73" s="3204" t="s">
        <v>3051</v>
      </c>
      <c r="F73" s="3204" t="s">
        <v>3052</v>
      </c>
      <c r="G73" s="3204" t="s">
        <v>3355</v>
      </c>
      <c r="H73" s="3204">
        <v>60418.38</v>
      </c>
      <c r="I73" s="3204" t="s">
        <v>3351</v>
      </c>
      <c r="J73" s="3204" t="s">
        <v>2773</v>
      </c>
      <c r="K73" s="3204" t="s">
        <v>3237</v>
      </c>
      <c r="L73" s="3204" t="s">
        <v>3461</v>
      </c>
      <c r="M73" s="3204">
        <v>1815</v>
      </c>
      <c r="N73" s="3204">
        <v>20.03</v>
      </c>
      <c r="O73" s="3204">
        <v>150.19</v>
      </c>
      <c r="P73" s="3204">
        <v>0.28000000000000003</v>
      </c>
      <c r="Q73" s="3204" t="s">
        <v>3057</v>
      </c>
      <c r="R73" s="3208">
        <f t="shared" si="1"/>
        <v>300.44849775751123</v>
      </c>
    </row>
    <row r="74" spans="2:18">
      <c r="B74" s="3204" t="s">
        <v>3462</v>
      </c>
      <c r="C74" s="3204" t="s">
        <v>3049</v>
      </c>
      <c r="D74" s="3204" t="s">
        <v>3314</v>
      </c>
      <c r="E74" s="3204" t="s">
        <v>3051</v>
      </c>
      <c r="F74" s="3204" t="s">
        <v>3052</v>
      </c>
      <c r="G74" s="3204" t="s">
        <v>3355</v>
      </c>
      <c r="H74" s="3204">
        <v>67477.14</v>
      </c>
      <c r="I74" s="3204" t="s">
        <v>3351</v>
      </c>
      <c r="J74" s="3204" t="s">
        <v>2773</v>
      </c>
      <c r="K74" s="3204" t="s">
        <v>3237</v>
      </c>
      <c r="L74" s="3204" t="s">
        <v>3463</v>
      </c>
      <c r="M74" s="3204">
        <v>2025</v>
      </c>
      <c r="N74" s="3204">
        <v>20.010000000000002</v>
      </c>
      <c r="O74" s="3204">
        <v>150.05000000000001</v>
      </c>
      <c r="P74" s="3204">
        <v>0.25</v>
      </c>
      <c r="Q74" s="3204" t="s">
        <v>3057</v>
      </c>
      <c r="R74" s="3208">
        <f t="shared" si="1"/>
        <v>300.14849925750377</v>
      </c>
    </row>
    <row r="75" spans="2:18">
      <c r="B75" s="3204" t="s">
        <v>3464</v>
      </c>
      <c r="C75" s="3204" t="s">
        <v>3049</v>
      </c>
      <c r="D75" s="3204" t="s">
        <v>3314</v>
      </c>
      <c r="E75" s="3204" t="s">
        <v>3051</v>
      </c>
      <c r="F75" s="3204" t="s">
        <v>3052</v>
      </c>
      <c r="G75" s="3204" t="s">
        <v>3355</v>
      </c>
      <c r="H75" s="3204">
        <v>89772.76</v>
      </c>
      <c r="I75" s="3204" t="s">
        <v>3351</v>
      </c>
      <c r="J75" s="3204" t="s">
        <v>2773</v>
      </c>
      <c r="K75" s="3204" t="s">
        <v>3237</v>
      </c>
      <c r="L75" s="3204" t="s">
        <v>3459</v>
      </c>
      <c r="M75" s="3204">
        <v>2695</v>
      </c>
      <c r="N75" s="3204">
        <v>20.010000000000002</v>
      </c>
      <c r="O75" s="3204">
        <v>150.09</v>
      </c>
      <c r="P75" s="3204">
        <v>0.19</v>
      </c>
      <c r="Q75" s="3204" t="s">
        <v>3057</v>
      </c>
      <c r="R75" s="3208">
        <f t="shared" si="1"/>
        <v>300.14849925750377</v>
      </c>
    </row>
    <row r="76" spans="2:18">
      <c r="B76" s="3204" t="s">
        <v>3465</v>
      </c>
      <c r="C76" s="3204" t="s">
        <v>3049</v>
      </c>
      <c r="D76" s="3204" t="s">
        <v>3314</v>
      </c>
      <c r="E76" s="3204" t="s">
        <v>3051</v>
      </c>
      <c r="F76" s="3204" t="s">
        <v>3052</v>
      </c>
      <c r="G76" s="3204" t="s">
        <v>3355</v>
      </c>
      <c r="H76" s="3204">
        <v>111156.4</v>
      </c>
      <c r="I76" s="3204" t="s">
        <v>3351</v>
      </c>
      <c r="J76" s="3204" t="s">
        <v>2773</v>
      </c>
      <c r="K76" s="3204" t="s">
        <v>3237</v>
      </c>
      <c r="L76" s="3204" t="s">
        <v>3461</v>
      </c>
      <c r="M76" s="3204">
        <v>3335</v>
      </c>
      <c r="N76" s="3204">
        <v>20</v>
      </c>
      <c r="O76" s="3204">
        <v>150</v>
      </c>
      <c r="P76" s="3204">
        <v>0.15</v>
      </c>
      <c r="Q76" s="3204" t="s">
        <v>3057</v>
      </c>
      <c r="R76" s="3208">
        <f t="shared" si="1"/>
        <v>299.99850000750001</v>
      </c>
    </row>
    <row r="77" spans="2:18">
      <c r="B77" s="3204" t="s">
        <v>3466</v>
      </c>
      <c r="C77" s="3204" t="s">
        <v>3049</v>
      </c>
      <c r="D77" s="3204" t="s">
        <v>3314</v>
      </c>
      <c r="E77" s="3204" t="s">
        <v>3051</v>
      </c>
      <c r="F77" s="3204" t="s">
        <v>3052</v>
      </c>
      <c r="G77" s="3204" t="s">
        <v>3355</v>
      </c>
      <c r="H77" s="3204">
        <v>85541.52</v>
      </c>
      <c r="I77" s="3204" t="s">
        <v>3351</v>
      </c>
      <c r="J77" s="3204" t="s">
        <v>2773</v>
      </c>
      <c r="K77" s="3204" t="s">
        <v>3237</v>
      </c>
      <c r="L77" s="3204" t="s">
        <v>3461</v>
      </c>
      <c r="M77" s="3204">
        <v>2565</v>
      </c>
      <c r="N77" s="3204">
        <v>19.989999999999998</v>
      </c>
      <c r="O77" s="3204">
        <v>149.93</v>
      </c>
      <c r="P77" s="3204">
        <v>0.2</v>
      </c>
      <c r="Q77" s="3204" t="s">
        <v>3057</v>
      </c>
      <c r="R77" s="3208">
        <f t="shared" si="1"/>
        <v>299.8485007574962</v>
      </c>
    </row>
    <row r="78" spans="2:18">
      <c r="B78" s="3204" t="s">
        <v>3467</v>
      </c>
      <c r="C78" s="3204" t="s">
        <v>3049</v>
      </c>
      <c r="D78" s="3204" t="s">
        <v>3314</v>
      </c>
      <c r="E78" s="3204" t="s">
        <v>3051</v>
      </c>
      <c r="F78" s="3204" t="s">
        <v>3052</v>
      </c>
      <c r="G78" s="3204" t="s">
        <v>3355</v>
      </c>
      <c r="H78" s="3204">
        <v>87370.43</v>
      </c>
      <c r="I78" s="3204" t="s">
        <v>3351</v>
      </c>
      <c r="J78" s="3204" t="s">
        <v>2773</v>
      </c>
      <c r="K78" s="3204" t="s">
        <v>3237</v>
      </c>
      <c r="L78" s="3204" t="s">
        <v>3463</v>
      </c>
      <c r="M78" s="3204">
        <v>2620</v>
      </c>
      <c r="N78" s="3204">
        <v>19.989999999999998</v>
      </c>
      <c r="O78" s="3204">
        <v>149.93</v>
      </c>
      <c r="P78" s="3204">
        <v>0.19</v>
      </c>
      <c r="Q78" s="3204" t="s">
        <v>3057</v>
      </c>
      <c r="R78" s="3208">
        <f t="shared" si="1"/>
        <v>299.8485007574962</v>
      </c>
    </row>
    <row r="79" spans="2:18">
      <c r="B79" s="3204" t="s">
        <v>3468</v>
      </c>
      <c r="C79" s="3204" t="s">
        <v>3049</v>
      </c>
      <c r="D79" s="3204" t="s">
        <v>3314</v>
      </c>
      <c r="E79" s="3204" t="s">
        <v>3051</v>
      </c>
      <c r="F79" s="3204" t="s">
        <v>3052</v>
      </c>
      <c r="G79" s="3204" t="s">
        <v>3355</v>
      </c>
      <c r="H79" s="3204">
        <v>26177.18</v>
      </c>
      <c r="I79" s="3204" t="s">
        <v>3356</v>
      </c>
      <c r="J79" s="3204" t="s">
        <v>2773</v>
      </c>
      <c r="K79" s="3204" t="s">
        <v>3237</v>
      </c>
      <c r="L79" s="3204" t="s">
        <v>3457</v>
      </c>
      <c r="M79" s="3204">
        <v>785</v>
      </c>
      <c r="N79" s="3204">
        <v>19.989999999999998</v>
      </c>
      <c r="O79" s="3204">
        <v>199.91</v>
      </c>
      <c r="P79" s="3204">
        <v>0.64</v>
      </c>
      <c r="Q79" s="3204" t="s">
        <v>3057</v>
      </c>
      <c r="R79" s="3208">
        <f t="shared" si="1"/>
        <v>299.8485007574962</v>
      </c>
    </row>
    <row r="80" spans="2:18">
      <c r="B80" s="3204" t="s">
        <v>3469</v>
      </c>
      <c r="C80" s="3204" t="s">
        <v>3049</v>
      </c>
      <c r="D80" s="3204" t="s">
        <v>3314</v>
      </c>
      <c r="E80" s="3204" t="s">
        <v>3051</v>
      </c>
      <c r="F80" s="3204" t="s">
        <v>3052</v>
      </c>
      <c r="G80" s="3204" t="s">
        <v>3355</v>
      </c>
      <c r="H80" s="3204">
        <v>102554.9</v>
      </c>
      <c r="I80" s="3204" t="s">
        <v>3351</v>
      </c>
      <c r="J80" s="3204" t="s">
        <v>2773</v>
      </c>
      <c r="K80" s="3204" t="s">
        <v>3237</v>
      </c>
      <c r="L80" s="3204" t="s">
        <v>3459</v>
      </c>
      <c r="M80" s="3204">
        <v>3075</v>
      </c>
      <c r="N80" s="3204">
        <v>19.989999999999998</v>
      </c>
      <c r="O80" s="3204">
        <v>149.91</v>
      </c>
      <c r="P80" s="3204">
        <v>0.16</v>
      </c>
      <c r="Q80" s="3204" t="s">
        <v>3057</v>
      </c>
      <c r="R80" s="3208">
        <f t="shared" si="1"/>
        <v>299.8485007574962</v>
      </c>
    </row>
    <row r="81" spans="2:18">
      <c r="B81" s="3204" t="s">
        <v>3470</v>
      </c>
      <c r="C81" s="3204" t="s">
        <v>3049</v>
      </c>
      <c r="D81" s="3204" t="s">
        <v>3314</v>
      </c>
      <c r="E81" s="3204" t="s">
        <v>3051</v>
      </c>
      <c r="F81" s="3204" t="s">
        <v>3052</v>
      </c>
      <c r="G81" s="3204" t="s">
        <v>3355</v>
      </c>
      <c r="H81" s="3204">
        <v>83167.88</v>
      </c>
      <c r="I81" s="3204" t="s">
        <v>3351</v>
      </c>
      <c r="J81" s="3204" t="s">
        <v>2773</v>
      </c>
      <c r="K81" s="3204" t="s">
        <v>3237</v>
      </c>
      <c r="L81" s="3204" t="s">
        <v>3463</v>
      </c>
      <c r="M81" s="3204">
        <v>2495</v>
      </c>
      <c r="N81" s="3204">
        <v>20</v>
      </c>
      <c r="O81" s="3204">
        <v>150</v>
      </c>
      <c r="P81" s="3204">
        <v>0.2</v>
      </c>
      <c r="Q81" s="3204" t="s">
        <v>3057</v>
      </c>
      <c r="R81" s="3208">
        <f t="shared" si="1"/>
        <v>299.99850000750001</v>
      </c>
    </row>
    <row r="82" spans="2:18">
      <c r="B82" s="3204" t="s">
        <v>3471</v>
      </c>
      <c r="C82" s="3204" t="s">
        <v>3049</v>
      </c>
      <c r="D82" s="3204" t="s">
        <v>3314</v>
      </c>
      <c r="E82" s="3204" t="s">
        <v>3051</v>
      </c>
      <c r="F82" s="3204" t="s">
        <v>3052</v>
      </c>
      <c r="G82" s="3204" t="s">
        <v>3355</v>
      </c>
      <c r="H82" s="3204">
        <v>85769.38</v>
      </c>
      <c r="I82" s="3204" t="s">
        <v>3351</v>
      </c>
      <c r="J82" s="3204" t="s">
        <v>2773</v>
      </c>
      <c r="K82" s="3204" t="s">
        <v>3237</v>
      </c>
      <c r="L82" s="3204" t="s">
        <v>3457</v>
      </c>
      <c r="M82" s="3204">
        <v>2575</v>
      </c>
      <c r="N82" s="3204">
        <v>20.010000000000002</v>
      </c>
      <c r="O82" s="3204">
        <v>150.11000000000001</v>
      </c>
      <c r="P82" s="3204">
        <v>0.19</v>
      </c>
      <c r="Q82" s="3204" t="s">
        <v>3057</v>
      </c>
      <c r="R82" s="3208">
        <f t="shared" si="1"/>
        <v>300.14849925750377</v>
      </c>
    </row>
    <row r="83" spans="2:18">
      <c r="B83" s="3204" t="s">
        <v>3472</v>
      </c>
      <c r="C83" s="3204" t="s">
        <v>3049</v>
      </c>
      <c r="D83" s="3204" t="s">
        <v>3314</v>
      </c>
      <c r="E83" s="3204" t="s">
        <v>3051</v>
      </c>
      <c r="F83" s="3204" t="s">
        <v>3052</v>
      </c>
      <c r="G83" s="3204" t="s">
        <v>3355</v>
      </c>
      <c r="H83" s="3204">
        <v>86081.53</v>
      </c>
      <c r="I83" s="3204" t="s">
        <v>3351</v>
      </c>
      <c r="J83" s="3204" t="s">
        <v>2773</v>
      </c>
      <c r="K83" s="3204" t="s">
        <v>3237</v>
      </c>
      <c r="L83" s="3204" t="s">
        <v>3463</v>
      </c>
      <c r="M83" s="3204">
        <v>2585</v>
      </c>
      <c r="N83" s="3204">
        <v>20.02</v>
      </c>
      <c r="O83" s="3204">
        <v>150.15</v>
      </c>
      <c r="P83" s="3204">
        <v>0.19</v>
      </c>
      <c r="Q83" s="3204" t="s">
        <v>3057</v>
      </c>
      <c r="R83" s="3208">
        <f t="shared" si="1"/>
        <v>300.29849850750747</v>
      </c>
    </row>
    <row r="84" spans="2:18">
      <c r="B84" s="3204" t="s">
        <v>3473</v>
      </c>
      <c r="C84" s="3204" t="s">
        <v>3049</v>
      </c>
      <c r="D84" s="3204" t="s">
        <v>3314</v>
      </c>
      <c r="E84" s="3204" t="s">
        <v>3051</v>
      </c>
      <c r="F84" s="3204" t="s">
        <v>3052</v>
      </c>
      <c r="G84" s="3204" t="s">
        <v>3355</v>
      </c>
      <c r="H84" s="3204">
        <v>90155.97</v>
      </c>
      <c r="I84" s="3204" t="s">
        <v>3346</v>
      </c>
      <c r="J84" s="3204" t="s">
        <v>2773</v>
      </c>
      <c r="K84" s="3204" t="s">
        <v>3237</v>
      </c>
      <c r="L84" s="3204" t="s">
        <v>3457</v>
      </c>
      <c r="M84" s="3204">
        <v>2705</v>
      </c>
      <c r="N84" s="3204">
        <v>20</v>
      </c>
      <c r="O84" s="3204">
        <v>166.68</v>
      </c>
      <c r="P84" s="3204">
        <v>0.19</v>
      </c>
      <c r="Q84" s="3204" t="s">
        <v>3057</v>
      </c>
      <c r="R84" s="3208">
        <f t="shared" si="1"/>
        <v>299.99850000750001</v>
      </c>
    </row>
    <row r="85" spans="2:18">
      <c r="B85" s="3204" t="s">
        <v>3474</v>
      </c>
      <c r="C85" s="3204" t="s">
        <v>3049</v>
      </c>
      <c r="D85" s="3204" t="s">
        <v>3314</v>
      </c>
      <c r="E85" s="3204" t="s">
        <v>3051</v>
      </c>
      <c r="F85" s="3204" t="s">
        <v>3052</v>
      </c>
      <c r="G85" s="3204" t="s">
        <v>3355</v>
      </c>
      <c r="H85" s="3204">
        <v>73025.73</v>
      </c>
      <c r="I85" s="3204" t="s">
        <v>3351</v>
      </c>
      <c r="J85" s="3204" t="s">
        <v>2773</v>
      </c>
      <c r="K85" s="3204" t="s">
        <v>3237</v>
      </c>
      <c r="L85" s="3204" t="s">
        <v>3461</v>
      </c>
      <c r="M85" s="3204">
        <v>2190</v>
      </c>
      <c r="N85" s="3204">
        <v>19.989999999999998</v>
      </c>
      <c r="O85" s="3204">
        <v>149.94</v>
      </c>
      <c r="P85" s="3204">
        <v>0.23</v>
      </c>
      <c r="Q85" s="3204" t="s">
        <v>3057</v>
      </c>
      <c r="R85" s="3208">
        <f t="shared" si="1"/>
        <v>299.8485007574962</v>
      </c>
    </row>
    <row r="86" spans="2:18">
      <c r="B86" s="3204" t="s">
        <v>3475</v>
      </c>
      <c r="C86" s="3204" t="s">
        <v>3049</v>
      </c>
      <c r="D86" s="3204" t="s">
        <v>3314</v>
      </c>
      <c r="E86" s="3204" t="s">
        <v>3051</v>
      </c>
      <c r="F86" s="3204" t="s">
        <v>3052</v>
      </c>
      <c r="G86" s="3204" t="s">
        <v>3355</v>
      </c>
      <c r="H86" s="3204">
        <v>55122</v>
      </c>
      <c r="I86" s="3204" t="s">
        <v>3367</v>
      </c>
      <c r="J86" s="3204" t="s">
        <v>2773</v>
      </c>
      <c r="K86" s="3204" t="s">
        <v>3241</v>
      </c>
      <c r="L86" s="3204" t="s">
        <v>3361</v>
      </c>
      <c r="M86" s="3204">
        <v>24800</v>
      </c>
      <c r="N86" s="3204">
        <v>299.94</v>
      </c>
      <c r="O86" s="3204">
        <v>2499.5100000000002</v>
      </c>
      <c r="P86" s="3204">
        <v>49.4</v>
      </c>
      <c r="Q86" s="3204" t="s">
        <v>3164</v>
      </c>
      <c r="R86" s="3208">
        <f t="shared" si="1"/>
        <v>4499.0775046124772</v>
      </c>
    </row>
    <row r="87" spans="2:18">
      <c r="B87" s="3204" t="s">
        <v>3476</v>
      </c>
      <c r="C87" s="3204" t="s">
        <v>3049</v>
      </c>
      <c r="D87" s="3204" t="s">
        <v>3314</v>
      </c>
      <c r="E87" s="3204" t="s">
        <v>3051</v>
      </c>
      <c r="F87" s="3204" t="s">
        <v>3052</v>
      </c>
      <c r="G87" s="3204" t="s">
        <v>3355</v>
      </c>
      <c r="H87" s="3204">
        <v>33664</v>
      </c>
      <c r="I87" s="3204" t="s">
        <v>3326</v>
      </c>
      <c r="J87" s="3204" t="s">
        <v>2773</v>
      </c>
      <c r="K87" s="3204" t="s">
        <v>3241</v>
      </c>
      <c r="L87" s="3204" t="s">
        <v>3477</v>
      </c>
      <c r="M87" s="3204">
        <v>16150</v>
      </c>
      <c r="N87" s="3204">
        <v>319.83</v>
      </c>
      <c r="O87" s="3204">
        <v>2398.69</v>
      </c>
      <c r="P87" s="3204">
        <v>35.71</v>
      </c>
      <c r="Q87" s="3204" t="s">
        <v>3097</v>
      </c>
      <c r="R87" s="3208">
        <f t="shared" si="1"/>
        <v>4797.4260128699361</v>
      </c>
    </row>
    <row r="88" spans="2:18">
      <c r="B88" s="3204" t="s">
        <v>3478</v>
      </c>
      <c r="C88" s="3204" t="s">
        <v>3049</v>
      </c>
      <c r="D88" s="3204" t="s">
        <v>3314</v>
      </c>
      <c r="E88" s="3204" t="s">
        <v>3051</v>
      </c>
      <c r="F88" s="3204" t="s">
        <v>3052</v>
      </c>
      <c r="G88" s="3204" t="s">
        <v>3355</v>
      </c>
      <c r="H88" s="3204">
        <v>66437</v>
      </c>
      <c r="I88" s="3204" t="s">
        <v>3367</v>
      </c>
      <c r="J88" s="3204" t="s">
        <v>2773</v>
      </c>
      <c r="K88" s="3204" t="s">
        <v>3241</v>
      </c>
      <c r="L88" s="3204" t="s">
        <v>3479</v>
      </c>
      <c r="M88" s="3204">
        <v>32880</v>
      </c>
      <c r="N88" s="3204">
        <v>329.94</v>
      </c>
      <c r="O88" s="3204">
        <v>2749.46</v>
      </c>
      <c r="P88" s="3204">
        <v>39.909999999999997</v>
      </c>
      <c r="Q88" s="3204" t="s">
        <v>3097</v>
      </c>
      <c r="R88" s="3208">
        <f t="shared" si="1"/>
        <v>4949.0752546237272</v>
      </c>
    </row>
    <row r="89" spans="2:18">
      <c r="B89" s="3204" t="s">
        <v>3480</v>
      </c>
      <c r="C89" s="3204" t="s">
        <v>3049</v>
      </c>
      <c r="D89" s="3204" t="s">
        <v>3314</v>
      </c>
      <c r="E89" s="3204" t="s">
        <v>3051</v>
      </c>
      <c r="F89" s="3204" t="s">
        <v>3052</v>
      </c>
      <c r="G89" s="3204" t="s">
        <v>3355</v>
      </c>
      <c r="H89" s="3204">
        <v>41850</v>
      </c>
      <c r="I89" s="3204" t="s">
        <v>3326</v>
      </c>
      <c r="J89" s="3204" t="s">
        <v>2773</v>
      </c>
      <c r="K89" s="3204" t="s">
        <v>3241</v>
      </c>
      <c r="L89" s="3204" t="s">
        <v>3481</v>
      </c>
      <c r="M89" s="3204">
        <v>21900</v>
      </c>
      <c r="N89" s="3204">
        <v>348.86</v>
      </c>
      <c r="O89" s="3204">
        <v>2616.48</v>
      </c>
      <c r="P89" s="3204">
        <v>47.97</v>
      </c>
      <c r="Q89" s="3204" t="s">
        <v>3164</v>
      </c>
      <c r="R89" s="3208">
        <f t="shared" si="1"/>
        <v>5232.8738356308222</v>
      </c>
    </row>
    <row r="90" spans="2:18">
      <c r="B90" s="3204" t="s">
        <v>3482</v>
      </c>
      <c r="C90" s="3204" t="s">
        <v>3049</v>
      </c>
      <c r="D90" s="3204" t="s">
        <v>3314</v>
      </c>
      <c r="E90" s="3204" t="s">
        <v>3051</v>
      </c>
      <c r="F90" s="3204" t="s">
        <v>3052</v>
      </c>
      <c r="G90" s="3204" t="s">
        <v>3355</v>
      </c>
      <c r="H90" s="3204">
        <v>305.25</v>
      </c>
      <c r="I90" s="3204" t="s">
        <v>3483</v>
      </c>
      <c r="J90" s="3204" t="s">
        <v>2773</v>
      </c>
      <c r="K90" s="3204" t="s">
        <v>3484</v>
      </c>
      <c r="L90" s="3204" t="s">
        <v>3485</v>
      </c>
      <c r="M90" s="3204">
        <v>32</v>
      </c>
      <c r="N90" s="3204">
        <v>69.89</v>
      </c>
      <c r="O90" s="3204">
        <v>403.19</v>
      </c>
      <c r="P90" s="3204">
        <v>6.67</v>
      </c>
      <c r="Q90" s="3204" t="s">
        <v>3057</v>
      </c>
      <c r="R90" s="3208">
        <f t="shared" si="1"/>
        <v>1048.3447582762087</v>
      </c>
    </row>
    <row r="91" spans="2:18">
      <c r="B91" s="3204" t="s">
        <v>3486</v>
      </c>
      <c r="C91" s="3204" t="s">
        <v>3049</v>
      </c>
      <c r="D91" s="3204" t="s">
        <v>3314</v>
      </c>
      <c r="E91" s="3204" t="s">
        <v>3051</v>
      </c>
      <c r="F91" s="3204" t="s">
        <v>3052</v>
      </c>
      <c r="G91" s="3204" t="s">
        <v>3355</v>
      </c>
      <c r="H91" s="3204">
        <v>534.14</v>
      </c>
      <c r="I91" s="3204" t="s">
        <v>3483</v>
      </c>
      <c r="J91" s="3204" t="s">
        <v>2773</v>
      </c>
      <c r="K91" s="3204" t="s">
        <v>3484</v>
      </c>
      <c r="L91" s="3204" t="s">
        <v>3485</v>
      </c>
      <c r="M91" s="3204">
        <v>56</v>
      </c>
      <c r="N91" s="3204">
        <v>69.89</v>
      </c>
      <c r="O91" s="3204">
        <v>403.24</v>
      </c>
      <c r="P91" s="3204">
        <v>7.69</v>
      </c>
      <c r="Q91" s="3204" t="s">
        <v>3057</v>
      </c>
      <c r="R91" s="3208">
        <f t="shared" si="1"/>
        <v>1048.3447582762087</v>
      </c>
    </row>
    <row r="92" spans="2:18">
      <c r="B92" s="3204" t="s">
        <v>3487</v>
      </c>
      <c r="C92" s="3204" t="s">
        <v>3049</v>
      </c>
      <c r="D92" s="3204" t="s">
        <v>3314</v>
      </c>
      <c r="E92" s="3204" t="s">
        <v>3051</v>
      </c>
      <c r="F92" s="3204" t="s">
        <v>3052</v>
      </c>
      <c r="G92" s="3204" t="s">
        <v>3355</v>
      </c>
      <c r="H92" s="3204">
        <v>7518</v>
      </c>
      <c r="I92" s="3204" t="s">
        <v>3336</v>
      </c>
      <c r="J92" s="3204" t="s">
        <v>2773</v>
      </c>
      <c r="K92" s="3204" t="s">
        <v>3488</v>
      </c>
      <c r="L92" s="3204" t="s">
        <v>3365</v>
      </c>
      <c r="M92" s="3204">
        <v>250</v>
      </c>
      <c r="N92" s="3204">
        <v>22.17</v>
      </c>
      <c r="O92" s="3204">
        <v>221.68</v>
      </c>
      <c r="P92" s="3204">
        <v>0.81</v>
      </c>
      <c r="Q92" s="3204" t="s">
        <v>3090</v>
      </c>
      <c r="R92" s="3208">
        <f t="shared" si="1"/>
        <v>332.54833725831378</v>
      </c>
    </row>
    <row r="93" spans="2:18">
      <c r="B93" s="3204" t="s">
        <v>3489</v>
      </c>
      <c r="C93" s="3204" t="s">
        <v>3049</v>
      </c>
      <c r="D93" s="3204" t="s">
        <v>3314</v>
      </c>
      <c r="E93" s="3204" t="s">
        <v>3051</v>
      </c>
      <c r="F93" s="3204" t="s">
        <v>3052</v>
      </c>
      <c r="G93" s="3204" t="s">
        <v>3355</v>
      </c>
      <c r="H93" s="3204">
        <v>9457.17</v>
      </c>
      <c r="I93" s="3204" t="s">
        <v>3490</v>
      </c>
      <c r="J93" s="3204" t="s">
        <v>2773</v>
      </c>
      <c r="K93" s="3204" t="s">
        <v>3491</v>
      </c>
      <c r="L93" s="3204" t="s">
        <v>3353</v>
      </c>
      <c r="M93" s="3204">
        <v>2010</v>
      </c>
      <c r="N93" s="3204">
        <v>141.69</v>
      </c>
      <c r="O93" s="3204">
        <v>1328.35</v>
      </c>
      <c r="P93" s="3204">
        <v>116.13</v>
      </c>
      <c r="Q93" s="3204" t="s">
        <v>3118</v>
      </c>
      <c r="R93" s="3208">
        <f t="shared" si="1"/>
        <v>2125.3393733031335</v>
      </c>
    </row>
    <row r="94" spans="2:18">
      <c r="B94" s="3204" t="s">
        <v>3492</v>
      </c>
      <c r="C94" s="3204" t="s">
        <v>3049</v>
      </c>
      <c r="D94" s="3204" t="s">
        <v>3314</v>
      </c>
      <c r="E94" s="3204" t="s">
        <v>3051</v>
      </c>
      <c r="F94" s="3204" t="s">
        <v>3052</v>
      </c>
      <c r="G94" s="3204" t="s">
        <v>3355</v>
      </c>
      <c r="H94" s="3204">
        <v>20832.93</v>
      </c>
      <c r="I94" s="3204" t="s">
        <v>3493</v>
      </c>
      <c r="J94" s="3204" t="s">
        <v>2773</v>
      </c>
      <c r="K94" s="3204" t="s">
        <v>3249</v>
      </c>
      <c r="L94" s="3204" t="s">
        <v>3353</v>
      </c>
      <c r="M94" s="3204">
        <v>1406</v>
      </c>
      <c r="N94" s="3204">
        <v>44.99</v>
      </c>
      <c r="O94" s="3204">
        <v>613.53</v>
      </c>
      <c r="P94" s="3204">
        <v>4.54</v>
      </c>
      <c r="Q94" s="3204" t="s">
        <v>3057</v>
      </c>
      <c r="R94" s="3208">
        <f t="shared" si="1"/>
        <v>674.84662576687128</v>
      </c>
    </row>
    <row r="95" spans="2:18">
      <c r="B95" s="3204" t="s">
        <v>3494</v>
      </c>
      <c r="C95" s="3204" t="s">
        <v>3049</v>
      </c>
      <c r="D95" s="3204" t="s">
        <v>3314</v>
      </c>
      <c r="E95" s="3204" t="s">
        <v>3051</v>
      </c>
      <c r="F95" s="3204" t="s">
        <v>3052</v>
      </c>
      <c r="G95" s="3204" t="s">
        <v>3355</v>
      </c>
      <c r="H95" s="3204">
        <v>36566</v>
      </c>
      <c r="I95" s="3204" t="s">
        <v>3326</v>
      </c>
      <c r="J95" s="3204" t="s">
        <v>2773</v>
      </c>
      <c r="K95" s="3204" t="s">
        <v>3495</v>
      </c>
      <c r="L95" s="3204" t="s">
        <v>3440</v>
      </c>
      <c r="M95" s="3204">
        <v>4500</v>
      </c>
      <c r="N95" s="3204">
        <v>82.04</v>
      </c>
      <c r="O95" s="3204">
        <v>615.33000000000004</v>
      </c>
      <c r="P95" s="3204">
        <v>1.35</v>
      </c>
      <c r="Q95" s="3204" t="s">
        <v>3097</v>
      </c>
      <c r="R95" s="3208">
        <f t="shared" si="1"/>
        <v>1230.5938470307651</v>
      </c>
    </row>
    <row r="96" spans="2:18">
      <c r="B96" s="3204" t="s">
        <v>3382</v>
      </c>
      <c r="C96" s="3204" t="s">
        <v>3049</v>
      </c>
      <c r="D96" s="3204" t="s">
        <v>3314</v>
      </c>
      <c r="E96" s="3204" t="s">
        <v>3051</v>
      </c>
      <c r="F96" s="3204" t="s">
        <v>3052</v>
      </c>
      <c r="G96" s="3204" t="s">
        <v>3355</v>
      </c>
      <c r="H96" s="3204">
        <v>646.5</v>
      </c>
      <c r="I96" s="3204" t="s">
        <v>3319</v>
      </c>
      <c r="J96" s="3204" t="s">
        <v>2773</v>
      </c>
      <c r="K96" s="3204" t="s">
        <v>3496</v>
      </c>
      <c r="L96" s="3204" t="s">
        <v>3497</v>
      </c>
      <c r="M96" s="3204">
        <v>126.07</v>
      </c>
      <c r="N96" s="3204">
        <v>130</v>
      </c>
      <c r="O96" s="3204">
        <v>975.1</v>
      </c>
      <c r="P96" s="3204">
        <v>0</v>
      </c>
      <c r="Q96" s="3204" t="s">
        <v>3057</v>
      </c>
      <c r="R96" s="3208">
        <f t="shared" si="1"/>
        <v>1949.9902500487499</v>
      </c>
    </row>
    <row r="97" spans="2:18">
      <c r="B97" s="3204" t="s">
        <v>3498</v>
      </c>
      <c r="C97" s="3204" t="s">
        <v>3049</v>
      </c>
      <c r="D97" s="3204" t="s">
        <v>3314</v>
      </c>
      <c r="E97" s="3204" t="s">
        <v>3051</v>
      </c>
      <c r="F97" s="3204" t="s">
        <v>3052</v>
      </c>
      <c r="G97" s="3204" t="s">
        <v>3355</v>
      </c>
      <c r="H97" s="3204">
        <v>26124</v>
      </c>
      <c r="I97" s="3204" t="s">
        <v>3455</v>
      </c>
      <c r="J97" s="3204" t="s">
        <v>2773</v>
      </c>
      <c r="K97" s="3204" t="s">
        <v>3499</v>
      </c>
      <c r="L97" s="3204" t="s">
        <v>3361</v>
      </c>
      <c r="M97" s="3204">
        <v>12220</v>
      </c>
      <c r="N97" s="3204">
        <v>311.85000000000002</v>
      </c>
      <c r="O97" s="3204">
        <v>2598.71</v>
      </c>
      <c r="P97" s="3204">
        <v>107.12</v>
      </c>
      <c r="Q97" s="3204" t="s">
        <v>3097</v>
      </c>
      <c r="R97" s="3208">
        <f t="shared" si="1"/>
        <v>4677.7266113669439</v>
      </c>
    </row>
    <row r="98" spans="2:18">
      <c r="B98" s="3204" t="s">
        <v>3500</v>
      </c>
      <c r="C98" s="3204" t="s">
        <v>3049</v>
      </c>
      <c r="D98" s="3204" t="s">
        <v>3314</v>
      </c>
      <c r="E98" s="3204" t="s">
        <v>3051</v>
      </c>
      <c r="F98" s="3204" t="s">
        <v>3052</v>
      </c>
      <c r="G98" s="3204" t="s">
        <v>3355</v>
      </c>
      <c r="H98" s="3204">
        <v>2201</v>
      </c>
      <c r="I98" s="3204" t="s">
        <v>3449</v>
      </c>
      <c r="J98" s="3204" t="s">
        <v>2773</v>
      </c>
      <c r="K98" s="3204" t="s">
        <v>3499</v>
      </c>
      <c r="L98" s="3204" t="s">
        <v>3361</v>
      </c>
      <c r="M98" s="3204">
        <v>550</v>
      </c>
      <c r="N98" s="3204">
        <v>166.59</v>
      </c>
      <c r="O98" s="3204">
        <v>1249.43</v>
      </c>
      <c r="P98" s="3204">
        <v>22.22</v>
      </c>
      <c r="Q98" s="3204" t="s">
        <v>3097</v>
      </c>
      <c r="R98" s="3208">
        <f t="shared" si="1"/>
        <v>2498.8375058124711</v>
      </c>
    </row>
    <row r="99" spans="2:18">
      <c r="B99" s="3204" t="s">
        <v>3501</v>
      </c>
      <c r="C99" s="3204" t="s">
        <v>3049</v>
      </c>
      <c r="D99" s="3204" t="s">
        <v>3349</v>
      </c>
      <c r="E99" s="3204" t="s">
        <v>3051</v>
      </c>
      <c r="F99" s="3204" t="s">
        <v>3052</v>
      </c>
      <c r="G99" s="3204" t="s">
        <v>3502</v>
      </c>
      <c r="H99" s="3204">
        <v>29347</v>
      </c>
      <c r="I99" s="3204" t="s">
        <v>3449</v>
      </c>
      <c r="J99" s="3204" t="s">
        <v>2773</v>
      </c>
      <c r="K99" s="3204" t="s">
        <v>3499</v>
      </c>
      <c r="L99" s="3204" t="s">
        <v>3503</v>
      </c>
      <c r="M99" s="3204">
        <v>8060</v>
      </c>
      <c r="N99" s="3204">
        <v>183.1</v>
      </c>
      <c r="O99" s="3204">
        <v>1373.22</v>
      </c>
      <c r="P99" s="3204">
        <v>24</v>
      </c>
      <c r="Q99" s="3204" t="s">
        <v>3097</v>
      </c>
      <c r="R99" s="3208">
        <f t="shared" si="1"/>
        <v>2746.4862675686622</v>
      </c>
    </row>
    <row r="100" spans="2:18">
      <c r="B100" s="3204" t="s">
        <v>3504</v>
      </c>
      <c r="C100" s="3204" t="s">
        <v>3049</v>
      </c>
      <c r="D100" s="3204" t="s">
        <v>3314</v>
      </c>
      <c r="E100" s="3204" t="s">
        <v>3051</v>
      </c>
      <c r="F100" s="3204" t="s">
        <v>3052</v>
      </c>
      <c r="G100" s="3204" t="s">
        <v>3355</v>
      </c>
      <c r="H100" s="3204">
        <v>9728.7199999999993</v>
      </c>
      <c r="I100" s="3204" t="s">
        <v>3319</v>
      </c>
      <c r="J100" s="3204" t="s">
        <v>2773</v>
      </c>
      <c r="K100" s="3204" t="s">
        <v>3505</v>
      </c>
      <c r="L100" s="3204" t="s">
        <v>3506</v>
      </c>
      <c r="M100" s="3204">
        <v>1351.09</v>
      </c>
      <c r="N100" s="3204">
        <v>92.58</v>
      </c>
      <c r="O100" s="3204">
        <v>694.38</v>
      </c>
      <c r="P100" s="3204">
        <v>0</v>
      </c>
      <c r="Q100" s="3204" t="s">
        <v>3057</v>
      </c>
      <c r="R100" s="3208">
        <f t="shared" si="1"/>
        <v>1388.6930565347175</v>
      </c>
    </row>
    <row r="101" spans="2:18">
      <c r="B101" s="3204" t="s">
        <v>3507</v>
      </c>
      <c r="C101" s="3204" t="s">
        <v>3049</v>
      </c>
      <c r="D101" s="3204" t="s">
        <v>3314</v>
      </c>
      <c r="E101" s="3204" t="s">
        <v>3051</v>
      </c>
      <c r="F101" s="3204" t="s">
        <v>3052</v>
      </c>
      <c r="G101" s="3204" t="s">
        <v>3355</v>
      </c>
      <c r="H101" s="3204">
        <v>4482</v>
      </c>
      <c r="I101" s="3204" t="s">
        <v>3319</v>
      </c>
      <c r="J101" s="3204" t="s">
        <v>2773</v>
      </c>
      <c r="K101" s="3204" t="s">
        <v>3505</v>
      </c>
      <c r="L101" s="3204" t="s">
        <v>3374</v>
      </c>
      <c r="M101" s="3204">
        <v>764.39</v>
      </c>
      <c r="N101" s="3204">
        <v>113.7</v>
      </c>
      <c r="O101" s="3204">
        <v>852.74</v>
      </c>
      <c r="P101" s="3204">
        <v>0</v>
      </c>
      <c r="Q101" s="3204" t="s">
        <v>3057</v>
      </c>
      <c r="R101" s="3208">
        <f t="shared" si="1"/>
        <v>1705.4914725426374</v>
      </c>
    </row>
    <row r="102" spans="2:18">
      <c r="B102" s="3204" t="s">
        <v>3508</v>
      </c>
      <c r="C102" s="3204" t="s">
        <v>3049</v>
      </c>
      <c r="D102" s="3204" t="s">
        <v>3314</v>
      </c>
      <c r="E102" s="3204" t="s">
        <v>3051</v>
      </c>
      <c r="F102" s="3204" t="s">
        <v>3052</v>
      </c>
      <c r="G102" s="3204" t="s">
        <v>3355</v>
      </c>
      <c r="H102" s="3204">
        <v>69426.7</v>
      </c>
      <c r="I102" s="3204" t="s">
        <v>3509</v>
      </c>
      <c r="J102" s="3204" t="s">
        <v>2773</v>
      </c>
      <c r="K102" s="3204" t="s">
        <v>3510</v>
      </c>
      <c r="L102" s="3204" t="s">
        <v>3511</v>
      </c>
      <c r="M102" s="3204">
        <v>10425</v>
      </c>
      <c r="N102" s="3204">
        <v>100.11</v>
      </c>
      <c r="O102" s="3204">
        <v>883.27</v>
      </c>
      <c r="P102" s="3204">
        <v>0.11</v>
      </c>
      <c r="Q102" s="3204" t="s">
        <v>3057</v>
      </c>
      <c r="R102" s="3208">
        <f t="shared" si="1"/>
        <v>1501.6424917875413</v>
      </c>
    </row>
  </sheetData>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
    </sheetView>
  </sheetViews>
  <sheetFormatPr defaultRowHeight="13.5"/>
  <sheetData/>
  <phoneticPr fontId="22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12" sqref="O12"/>
    </sheetView>
  </sheetViews>
  <sheetFormatPr defaultRowHeight="13.5"/>
  <sheetData/>
  <phoneticPr fontId="22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N31"/>
  <sheetViews>
    <sheetView topLeftCell="A19" workbookViewId="0">
      <selection activeCell="N37" sqref="N37"/>
    </sheetView>
  </sheetViews>
  <sheetFormatPr defaultRowHeight="13.5"/>
  <cols>
    <col min="13" max="13" width="10.5" customWidth="1"/>
    <col min="14" max="14" width="17.25" customWidth="1"/>
  </cols>
  <sheetData>
    <row r="5" spans="14:14">
      <c r="N5">
        <v>0.56000000000000005</v>
      </c>
    </row>
    <row r="13" spans="14:14">
      <c r="N13">
        <v>0.41</v>
      </c>
    </row>
    <row r="19" spans="13:14">
      <c r="N19">
        <v>0.44</v>
      </c>
    </row>
    <row r="24" spans="13:14">
      <c r="M24" s="1778" t="s">
        <v>3521</v>
      </c>
      <c r="N24" s="1778"/>
    </row>
    <row r="25" spans="13:14">
      <c r="M25" s="3211" t="s">
        <v>3522</v>
      </c>
      <c r="N25" s="1778">
        <v>12000</v>
      </c>
    </row>
    <row r="26" spans="13:14">
      <c r="M26" s="3211" t="s">
        <v>3523</v>
      </c>
      <c r="N26" s="1778">
        <v>9000</v>
      </c>
    </row>
    <row r="27" spans="13:14">
      <c r="M27" s="3211" t="s">
        <v>3524</v>
      </c>
      <c r="N27" s="3211" t="s">
        <v>3525</v>
      </c>
    </row>
    <row r="28" spans="13:14">
      <c r="M28" s="3211" t="s">
        <v>3526</v>
      </c>
      <c r="N28" s="3210" t="s">
        <v>3527</v>
      </c>
    </row>
    <row r="29" spans="13:14">
      <c r="M29" s="3211" t="s">
        <v>3528</v>
      </c>
      <c r="N29" s="3210" t="s">
        <v>3529</v>
      </c>
    </row>
    <row r="31" spans="13:14">
      <c r="M31" s="3211" t="s">
        <v>3530</v>
      </c>
      <c r="N31" s="3210" t="s">
        <v>3531</v>
      </c>
    </row>
  </sheetData>
  <phoneticPr fontId="227"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2" sqref="H12"/>
    </sheetView>
  </sheetViews>
  <sheetFormatPr defaultRowHeight="13.5"/>
  <sheetData/>
  <phoneticPr fontId="227"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2"/>
  <sheetViews>
    <sheetView tabSelected="1" workbookViewId="0">
      <selection activeCell="I26" sqref="I26"/>
    </sheetView>
  </sheetViews>
  <sheetFormatPr defaultRowHeight="13.5"/>
  <cols>
    <col min="1" max="11" width="13.5" style="3211" customWidth="1"/>
    <col min="12" max="16384" width="9" style="3211"/>
  </cols>
  <sheetData>
    <row r="3" spans="1:11" ht="33">
      <c r="B3" s="3218" t="s">
        <v>2827</v>
      </c>
      <c r="C3" s="3219" t="s">
        <v>2799</v>
      </c>
      <c r="D3" s="3219" t="s">
        <v>2800</v>
      </c>
      <c r="E3" s="3219" t="s">
        <v>3553</v>
      </c>
      <c r="F3" s="3220" t="s">
        <v>2826</v>
      </c>
      <c r="G3" s="3220" t="s">
        <v>2805</v>
      </c>
      <c r="H3" s="3219" t="s">
        <v>2813</v>
      </c>
      <c r="I3" s="3219" t="s">
        <v>3550</v>
      </c>
      <c r="J3" s="3219" t="s">
        <v>2815</v>
      </c>
      <c r="K3" s="3211" t="s">
        <v>3552</v>
      </c>
    </row>
    <row r="4" spans="1:11">
      <c r="A4" s="3211">
        <v>1</v>
      </c>
      <c r="B4" s="3211">
        <v>71</v>
      </c>
      <c r="C4" s="3211">
        <f>'数据-汇总表'!E3</f>
        <v>55458.58</v>
      </c>
      <c r="D4" s="3211">
        <f>'数据-汇总表'!D3</f>
        <v>27729.29</v>
      </c>
      <c r="E4" s="3211">
        <f>'数据-汇总表'!I3</f>
        <v>2</v>
      </c>
      <c r="F4" s="3211">
        <f ca="1">结果表!C33</f>
        <v>427</v>
      </c>
      <c r="G4" s="3211">
        <f ca="1">结果表!C34</f>
        <v>854</v>
      </c>
      <c r="H4" s="3211">
        <f ca="1">结果表!C32</f>
        <v>2369</v>
      </c>
      <c r="J4" s="3211">
        <f ca="1">结果表!O79</f>
        <v>2242</v>
      </c>
      <c r="K4" s="3211">
        <f>结果表!D27</f>
        <v>832</v>
      </c>
    </row>
    <row r="5" spans="1:11">
      <c r="A5" s="3211">
        <v>2</v>
      </c>
      <c r="B5" s="3211">
        <v>73</v>
      </c>
      <c r="C5" s="3211">
        <f>'[1]数据-汇总表'!$E$3</f>
        <v>100467.09</v>
      </c>
      <c r="D5" s="3211">
        <f>'[1]数据-汇总表'!$D$3</f>
        <v>66978.06</v>
      </c>
      <c r="E5" s="3211">
        <f>'[1]数据-汇总表'!$I$3</f>
        <v>1.5</v>
      </c>
      <c r="F5" s="3211">
        <f>[1]结果表!$C$33</f>
        <v>645</v>
      </c>
      <c r="G5" s="3211">
        <f>[1]结果表!$C$34</f>
        <v>967</v>
      </c>
      <c r="H5" s="3211">
        <f>[1]结果表!$C$32</f>
        <v>6476</v>
      </c>
      <c r="J5" s="3211">
        <f>[1]结果表!$O$79</f>
        <v>6128</v>
      </c>
      <c r="K5" s="3211">
        <f>[1]结果表!$D$27</f>
        <v>2009</v>
      </c>
    </row>
    <row r="6" spans="1:11">
      <c r="A6" s="3211">
        <v>3</v>
      </c>
      <c r="B6" s="3211">
        <v>74</v>
      </c>
      <c r="C6" s="3211">
        <f>'[2]数据-汇总表'!$E$3</f>
        <v>73745.78</v>
      </c>
      <c r="D6" s="3211">
        <f>'[2]数据-汇总表'!$D$3</f>
        <v>36872.89</v>
      </c>
      <c r="E6" s="3211">
        <f>'[2]数据-汇总表'!$I$3</f>
        <v>2</v>
      </c>
      <c r="F6" s="3211">
        <f>[2]结果表!$C$33</f>
        <v>426</v>
      </c>
      <c r="G6" s="3211">
        <f>[2]结果表!$C$34</f>
        <v>853</v>
      </c>
      <c r="H6" s="3211">
        <f>[2]结果表!$C$32</f>
        <v>3145</v>
      </c>
      <c r="J6" s="3211">
        <f>[2]结果表!$O$79</f>
        <v>2975</v>
      </c>
      <c r="K6" s="3211">
        <f>[2]结果表!$D$27</f>
        <v>1106</v>
      </c>
    </row>
    <row r="7" spans="1:11">
      <c r="A7" s="3211">
        <v>4</v>
      </c>
      <c r="B7" s="3211">
        <v>75</v>
      </c>
      <c r="C7" s="3211">
        <f>'[3]数据-汇总表'!$E$3</f>
        <v>67844.61</v>
      </c>
      <c r="D7" s="3211">
        <f>'[3]数据-汇总表'!$D$3</f>
        <v>45229.74</v>
      </c>
      <c r="E7" s="3211">
        <f>'[3]数据-汇总表'!$I$3</f>
        <v>1.5</v>
      </c>
      <c r="F7" s="3211">
        <f>[3]结果表!$C$33</f>
        <v>638</v>
      </c>
      <c r="G7" s="3211">
        <f>[3]结果表!$C$34</f>
        <v>957</v>
      </c>
      <c r="H7" s="3211">
        <f>[3]结果表!$C$32</f>
        <v>4329</v>
      </c>
      <c r="J7" s="3211">
        <f>[3]结果表!$O$79</f>
        <v>4096</v>
      </c>
      <c r="K7" s="3211">
        <f>结果表!D27</f>
        <v>832</v>
      </c>
    </row>
    <row r="8" spans="1:11">
      <c r="A8" s="3211">
        <v>5</v>
      </c>
      <c r="B8" s="3211">
        <v>76</v>
      </c>
      <c r="C8" s="3211">
        <f>'[4]数据-汇总表'!$E$3</f>
        <v>16341.295</v>
      </c>
      <c r="D8" s="3211">
        <f>'[4]数据-汇总表'!$D$3</f>
        <v>32682.59</v>
      </c>
      <c r="E8" s="3211">
        <f>'[4]数据-汇总表'!$I$3</f>
        <v>0.5</v>
      </c>
      <c r="F8" s="3211">
        <f>[4]结果表!$C$33</f>
        <v>1461</v>
      </c>
      <c r="G8" s="3211">
        <f>[4]结果表!$C$34</f>
        <v>730</v>
      </c>
      <c r="H8" s="3211">
        <f>[4]结果表!$C$32</f>
        <v>2387</v>
      </c>
      <c r="J8" s="3211">
        <f>[4]结果表!$O$79</f>
        <v>2259</v>
      </c>
      <c r="K8" s="3211">
        <f>[4]结果表!$D$27</f>
        <v>980</v>
      </c>
    </row>
    <row r="9" spans="1:11">
      <c r="A9" s="3211">
        <v>6</v>
      </c>
      <c r="B9" s="3211">
        <v>77</v>
      </c>
      <c r="C9" s="3211">
        <f>'[5]数据-汇总表'!$E$3</f>
        <v>27411.896000000004</v>
      </c>
      <c r="D9" s="3211">
        <f>'[5]数据-汇总表'!$D$3</f>
        <v>34264.870000000003</v>
      </c>
      <c r="E9" s="3211">
        <f>'[5]数据-汇总表'!$I$3</f>
        <v>0.8</v>
      </c>
      <c r="F9" s="3211">
        <f>[5]结果表!$C$33</f>
        <v>1222</v>
      </c>
      <c r="G9" s="3211">
        <f>[5]结果表!$C$34</f>
        <v>978</v>
      </c>
      <c r="H9" s="3211">
        <f>[5]结果表!$C$32</f>
        <v>3351</v>
      </c>
      <c r="J9" s="3211">
        <f>[5]结果表!$O$79</f>
        <v>3170</v>
      </c>
      <c r="K9" s="3211">
        <f>[5]结果表!$D$27</f>
        <v>1028</v>
      </c>
    </row>
    <row r="10" spans="1:11">
      <c r="A10" s="3211">
        <v>7</v>
      </c>
      <c r="B10" s="3211">
        <v>78</v>
      </c>
      <c r="C10" s="3211">
        <f>'[6]数据-汇总表'!$E$3</f>
        <v>44148.544000000002</v>
      </c>
      <c r="D10" s="3211">
        <f>'[6]数据-汇总表'!$D$3</f>
        <v>55185.68</v>
      </c>
      <c r="E10" s="3211">
        <f>'[6]数据-汇总表'!$I$3</f>
        <v>0.8</v>
      </c>
      <c r="F10" s="3211">
        <f>[6]结果表!$C$33</f>
        <v>1232</v>
      </c>
      <c r="G10" s="3211">
        <f>[6]结果表!$C$34</f>
        <v>986</v>
      </c>
      <c r="H10" s="3211">
        <f>[6]结果表!$C$32</f>
        <v>5441</v>
      </c>
      <c r="J10" s="3211">
        <f>[6]结果表!$O$79</f>
        <v>5148</v>
      </c>
      <c r="K10" s="3211">
        <f>[6]结果表!$D$27</f>
        <v>1656</v>
      </c>
    </row>
    <row r="11" spans="1:11">
      <c r="A11" s="3211">
        <v>8</v>
      </c>
      <c r="B11" s="3211">
        <v>79</v>
      </c>
      <c r="C11" s="3211">
        <f>'[7]数据-汇总表'!$E$3</f>
        <v>34587.275999999998</v>
      </c>
      <c r="D11" s="3211">
        <f>'[7]数据-汇总表'!$D$3</f>
        <v>28822.73</v>
      </c>
      <c r="E11" s="3211">
        <f>'[7]数据-汇总表'!$I$3</f>
        <v>1.2</v>
      </c>
      <c r="F11" s="3211">
        <f>[7]结果表!$C$33</f>
        <v>683</v>
      </c>
      <c r="G11" s="3211">
        <f>[7]结果表!$C$34</f>
        <v>820</v>
      </c>
      <c r="H11" s="3211">
        <f>[7]结果表!$C$32</f>
        <v>2363</v>
      </c>
      <c r="J11" s="3211">
        <f>[7]结果表!$O$79</f>
        <v>2236</v>
      </c>
      <c r="K11" s="3211">
        <f>[7]结果表!$D$27</f>
        <v>865</v>
      </c>
    </row>
    <row r="12" spans="1:11">
      <c r="A12" s="3211">
        <v>9</v>
      </c>
      <c r="B12" s="3211">
        <v>80</v>
      </c>
      <c r="C12" s="3211">
        <f>'[8]数据-汇总表'!$E$3</f>
        <v>44742.396000000001</v>
      </c>
      <c r="D12" s="3211">
        <f>'[8]数据-汇总表'!$D$3</f>
        <v>37285.33</v>
      </c>
      <c r="E12" s="3211">
        <f>'[8]数据-汇总表'!$I$3</f>
        <v>1.2</v>
      </c>
      <c r="F12" s="3211">
        <f>[8]结果表!$C$33</f>
        <v>685</v>
      </c>
      <c r="G12" s="3211">
        <f>[8]结果表!$C$34</f>
        <v>822</v>
      </c>
      <c r="H12" s="3211">
        <f>[8]结果表!$C$32</f>
        <v>3063</v>
      </c>
      <c r="J12" s="3211">
        <f>[8]结果表!$O$79</f>
        <v>2898</v>
      </c>
      <c r="K12" s="3211">
        <f>[8]结果表!$D$27</f>
        <v>1119</v>
      </c>
    </row>
    <row r="13" spans="1:11">
      <c r="A13" s="3211">
        <v>10</v>
      </c>
      <c r="B13" s="3211">
        <v>87</v>
      </c>
      <c r="C13" s="3211">
        <f>'[9]数据-汇总表'!$E$3</f>
        <v>13814.045</v>
      </c>
      <c r="D13" s="3211">
        <f>'[9]数据-汇总表'!$D$3</f>
        <v>27628.09</v>
      </c>
      <c r="E13" s="3211">
        <f>'[9]数据-汇总表'!$I$3</f>
        <v>0.5</v>
      </c>
      <c r="F13" s="3211">
        <f>[9]结果表!$C$33</f>
        <v>1483</v>
      </c>
      <c r="G13" s="3211">
        <f>[9]结果表!$C$34</f>
        <v>741</v>
      </c>
      <c r="H13" s="3211">
        <f>[9]结果表!$C$32</f>
        <v>2048</v>
      </c>
      <c r="J13" s="3211">
        <f>[9]结果表!$O$79</f>
        <v>1938</v>
      </c>
      <c r="K13" s="3211">
        <f>[9]结果表!$D$27</f>
        <v>829</v>
      </c>
    </row>
    <row r="14" spans="1:11">
      <c r="A14" s="3211">
        <v>11</v>
      </c>
      <c r="B14" s="3211">
        <v>88</v>
      </c>
      <c r="C14" s="3211">
        <f>'[10]数据-汇总表'!$E$3</f>
        <v>14287.73</v>
      </c>
      <c r="D14" s="3211">
        <f>'[10]数据-汇总表'!$D$3</f>
        <v>28575.46</v>
      </c>
      <c r="E14" s="3211">
        <f>'[10]数据-汇总表'!$I$3</f>
        <v>0.5</v>
      </c>
      <c r="F14" s="3211">
        <f>[10]结果表!$C$33</f>
        <v>1480</v>
      </c>
      <c r="G14" s="3211">
        <f>[10]结果表!$C$34</f>
        <v>740</v>
      </c>
      <c r="H14" s="3211">
        <f>[10]结果表!$C$32</f>
        <v>2115</v>
      </c>
      <c r="J14" s="3211">
        <f>[10]结果表!$O$79</f>
        <v>2001</v>
      </c>
      <c r="K14" s="3211">
        <f>[10]结果表!$D$27</f>
        <v>857</v>
      </c>
    </row>
    <row r="15" spans="1:11">
      <c r="A15" s="3211">
        <v>12</v>
      </c>
      <c r="B15" s="3211">
        <v>89</v>
      </c>
      <c r="C15" s="3211">
        <f>'[11]数据-汇总表'!$E$3</f>
        <v>21351.960000000003</v>
      </c>
      <c r="D15" s="3211">
        <f>'[11]数据-汇总表'!$D$3</f>
        <v>26689.95</v>
      </c>
      <c r="E15" s="3211">
        <f>'[11]数据-汇总表'!$I$3</f>
        <v>0.8</v>
      </c>
      <c r="F15" s="3211">
        <f>[11]结果表!$C$33</f>
        <v>1241</v>
      </c>
      <c r="G15" s="3211">
        <f>[11]结果表!$C$34</f>
        <v>993</v>
      </c>
      <c r="H15" s="3211">
        <f>[11]结果表!$C$32</f>
        <v>2650</v>
      </c>
      <c r="J15" s="3211">
        <f>[11]结果表!$O$79</f>
        <v>2508</v>
      </c>
      <c r="K15" s="3211">
        <f>[11]结果表!$D$27</f>
        <v>801</v>
      </c>
    </row>
    <row r="16" spans="1:11">
      <c r="A16" s="3211">
        <v>13</v>
      </c>
      <c r="B16" s="3211">
        <v>95</v>
      </c>
      <c r="C16" s="3211">
        <f>'[12]数据-汇总表'!$E$3</f>
        <v>101163.33</v>
      </c>
      <c r="D16" s="3211">
        <f>'[12]数据-汇总表'!$D$3</f>
        <v>63227.08</v>
      </c>
      <c r="E16" s="3211">
        <f>'[12]数据-汇总表'!$I$3</f>
        <v>1.6</v>
      </c>
      <c r="F16" s="3211">
        <f>[12]结果表!$C$33</f>
        <v>786</v>
      </c>
      <c r="G16" s="3211">
        <f>[12]结果表!$C$34</f>
        <v>1258</v>
      </c>
      <c r="H16" s="3211">
        <f>[12]结果表!$C$32</f>
        <v>7952</v>
      </c>
      <c r="J16" s="3211">
        <f>[12]结果表!$O$79</f>
        <v>6821</v>
      </c>
      <c r="K16" s="3211">
        <f>[12]结果表!$D$27</f>
        <v>1897</v>
      </c>
    </row>
    <row r="17" spans="2:11" s="3221" customFormat="1">
      <c r="B17" s="3221" t="s">
        <v>3551</v>
      </c>
      <c r="C17" s="3221">
        <f>SUM(C4:C16)</f>
        <v>615364.53200000001</v>
      </c>
      <c r="D17" s="3221">
        <f>SUM(D4:D16)</f>
        <v>511171.76000000007</v>
      </c>
      <c r="E17" s="3221" t="s">
        <v>3556</v>
      </c>
      <c r="F17" s="3221" t="s">
        <v>3556</v>
      </c>
      <c r="G17" s="3221" t="s">
        <v>3557</v>
      </c>
      <c r="H17" s="3221">
        <f ca="1">SUM(H4:H16)</f>
        <v>47689</v>
      </c>
      <c r="J17" s="3221">
        <f ca="1">SUM(J4:J16)</f>
        <v>44420</v>
      </c>
      <c r="K17" s="3221">
        <f>SUM(K4:K16)</f>
        <v>14811</v>
      </c>
    </row>
    <row r="19" spans="2:11">
      <c r="H19" s="3211">
        <v>47533</v>
      </c>
      <c r="J19" s="3211">
        <v>44287</v>
      </c>
    </row>
    <row r="21" spans="2:11">
      <c r="C21" s="3211">
        <v>95</v>
      </c>
      <c r="D21" s="3211" t="s">
        <v>3554</v>
      </c>
      <c r="E21" s="3211" t="s">
        <v>3555</v>
      </c>
    </row>
    <row r="22" spans="2:11">
      <c r="D22" s="3222">
        <f>'[12]数据-汇总表'!$F$19</f>
        <v>85988.83</v>
      </c>
      <c r="E22" s="3222">
        <f>'[12]数据-汇总表'!$F$20</f>
        <v>15174.5</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1995</v>
      </c>
      <c r="B1" s="3228"/>
      <c r="C1" s="3228"/>
      <c r="D1" s="3228"/>
      <c r="E1" s="3228"/>
      <c r="F1" s="3228"/>
      <c r="G1" s="3228"/>
      <c r="H1" s="3228"/>
      <c r="I1" s="3228"/>
      <c r="J1" s="3228"/>
      <c r="K1" s="3228"/>
      <c r="L1" s="3228"/>
      <c r="M1" s="3228"/>
      <c r="N1" s="3228"/>
      <c r="O1" s="3228"/>
      <c r="P1" s="3228"/>
      <c r="Q1" s="3228"/>
      <c r="R1" s="3228"/>
    </row>
    <row r="2" spans="1:18">
      <c r="A2" s="1792" t="s">
        <v>1997</v>
      </c>
      <c r="B2" s="1792"/>
      <c r="C2" s="1792"/>
      <c r="D2" s="1792"/>
      <c r="E2" s="1792"/>
      <c r="F2" s="1792"/>
      <c r="G2" s="1792"/>
      <c r="H2" s="1792"/>
      <c r="I2" s="1793"/>
      <c r="J2" s="1793"/>
      <c r="K2" s="1794" t="str">
        <f>"估价期日："&amp;TEXT(项目基本情况!D3,"yyyy年m月d日;;")</f>
        <v>估价期日：2019年9月16日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9" t="s">
        <v>1986</v>
      </c>
      <c r="B3" s="3229" t="s">
        <v>2686</v>
      </c>
      <c r="C3" s="3230" t="s">
        <v>1987</v>
      </c>
      <c r="D3" s="3229" t="s">
        <v>2690</v>
      </c>
      <c r="E3" s="3224" t="s">
        <v>1988</v>
      </c>
      <c r="F3" s="3224"/>
      <c r="G3" s="3224"/>
      <c r="H3" s="3224" t="s">
        <v>1989</v>
      </c>
      <c r="I3" s="3224"/>
      <c r="J3" s="3224"/>
      <c r="K3" s="3230" t="s">
        <v>1990</v>
      </c>
      <c r="L3" s="3230" t="s">
        <v>1991</v>
      </c>
      <c r="M3" s="3229" t="s">
        <v>2687</v>
      </c>
      <c r="N3" s="3231" t="str">
        <f>"（分摊）"&amp;项目基本情况!B16&amp;"国有建设用地使用权面积/㎡"</f>
        <v>（分摊）出让国有建设用地使用权面积/㎡</v>
      </c>
      <c r="O3" s="3229" t="s">
        <v>2020</v>
      </c>
      <c r="P3" s="3230" t="s">
        <v>2000</v>
      </c>
      <c r="Q3" s="3230" t="s">
        <v>2021</v>
      </c>
      <c r="R3" s="3230" t="s">
        <v>1992</v>
      </c>
    </row>
    <row r="4" spans="1:18" ht="36.75" customHeight="1">
      <c r="A4" s="3229"/>
      <c r="B4" s="3229"/>
      <c r="C4" s="3230"/>
      <c r="D4" s="3229"/>
      <c r="E4" s="2613" t="s">
        <v>1999</v>
      </c>
      <c r="F4" s="2613" t="s">
        <v>2699</v>
      </c>
      <c r="G4" s="2613" t="s">
        <v>1993</v>
      </c>
      <c r="H4" s="2613" t="s">
        <v>1994</v>
      </c>
      <c r="I4" s="2613" t="s">
        <v>2700</v>
      </c>
      <c r="J4" s="2613" t="s">
        <v>1993</v>
      </c>
      <c r="K4" s="3230"/>
      <c r="L4" s="3230"/>
      <c r="M4" s="3229"/>
      <c r="N4" s="3231"/>
      <c r="O4" s="3229"/>
      <c r="P4" s="3230"/>
      <c r="Q4" s="3230"/>
      <c r="R4" s="3230"/>
    </row>
    <row r="5" spans="1:18" ht="135" customHeight="1">
      <c r="A5" s="1928" t="s">
        <v>2610</v>
      </c>
      <c r="B5" s="2822" t="s">
        <v>2608</v>
      </c>
      <c r="C5" s="2612">
        <v>22</v>
      </c>
      <c r="D5" s="2611" t="s">
        <v>2609</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27729.29</v>
      </c>
      <c r="O5" s="1795">
        <f>项目基本情况!C21</f>
        <v>55458.58</v>
      </c>
      <c r="P5" s="1795">
        <f ca="1">结果表!E42</f>
        <v>854</v>
      </c>
      <c r="Q5" s="1795">
        <f ca="1">结果表!D42</f>
        <v>427</v>
      </c>
      <c r="R5" s="1796">
        <f ca="1">结果表!C42</f>
        <v>2369</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797">
        <f ca="1">结果表!O39</f>
        <v>2369</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797" t="str">
        <f>结果表!O40</f>
        <v>——</v>
      </c>
    </row>
    <row r="8" spans="1:18">
      <c r="A8" s="3225" t="str">
        <f>IF(项目基本情况!B9="市场价格","——",项目基本情况!E9)</f>
        <v>抵押净值</v>
      </c>
      <c r="B8" s="3226"/>
      <c r="C8" s="3226"/>
      <c r="D8" s="3226"/>
      <c r="E8" s="3226"/>
      <c r="F8" s="3226"/>
      <c r="G8" s="3226"/>
      <c r="H8" s="3226"/>
      <c r="I8" s="3226"/>
      <c r="J8" s="3226"/>
      <c r="K8" s="3226"/>
      <c r="L8" s="3226"/>
      <c r="M8" s="3226"/>
      <c r="N8" s="3226"/>
      <c r="O8" s="3226"/>
      <c r="P8" s="3226"/>
      <c r="Q8" s="3227"/>
      <c r="R8" s="1797">
        <f ca="1">结果表!O41</f>
        <v>2242</v>
      </c>
    </row>
    <row r="9" spans="1:18">
      <c r="A9" s="1798" t="s">
        <v>1998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3" t="s">
        <v>2022</v>
      </c>
      <c r="B1" s="3233"/>
      <c r="C1" s="3233"/>
      <c r="D1" s="3233"/>
    </row>
    <row r="2" spans="1:4" ht="47.25" customHeight="1">
      <c r="A2" s="3234" t="str">
        <f>"1.权利限制："&amp;项目基本情况!L24&amp;"未设定租赁等其他他项权利。"</f>
        <v>1.权利限制：根据估价对象《不动产权证书》复印件、《国有土地使用权》复印件，截至估价期日，估价对象抵押权未见登记。未设定租赁等其他他项权利。</v>
      </c>
      <c r="B2" s="3234"/>
      <c r="C2" s="3234"/>
      <c r="D2" s="3234"/>
    </row>
    <row r="3" spans="1:4" ht="48" customHeight="1">
      <c r="A3" s="32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3"/>
      <c r="C3" s="3233"/>
      <c r="D3" s="3233"/>
    </row>
    <row r="4" spans="1:4" ht="36.75" customHeight="1">
      <c r="A4" s="3233" t="str">
        <f>"3.估价规划限制条件：详见"&amp;项目基本情况!E21&amp;"。"</f>
        <v>3.估价规划限制条件：详见《出让合同》。</v>
      </c>
      <c r="B4" s="3233"/>
      <c r="C4" s="3233"/>
      <c r="D4" s="3233"/>
    </row>
    <row r="5" spans="1:4">
      <c r="A5" s="3232" t="s">
        <v>2023</v>
      </c>
      <c r="B5" s="3232"/>
      <c r="C5" s="3232"/>
      <c r="D5" s="3232"/>
    </row>
    <row r="6" spans="1:4">
      <c r="A6" s="3233" t="s">
        <v>2001</v>
      </c>
      <c r="B6" s="3233"/>
      <c r="C6" s="3233"/>
      <c r="D6" s="3233"/>
    </row>
    <row r="7" spans="1:4" ht="33" customHeight="1">
      <c r="A7" s="3233" t="s">
        <v>2530</v>
      </c>
      <c r="B7" s="3233"/>
      <c r="C7" s="3233"/>
      <c r="D7" s="3233"/>
    </row>
    <row r="8" spans="1:4" ht="32.25" customHeight="1">
      <c r="A8" s="32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3"/>
      <c r="C8" s="3233"/>
      <c r="D8" s="3233"/>
    </row>
    <row r="9" spans="1:4" ht="33.75" customHeight="1">
      <c r="A9" s="32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3"/>
      <c r="C9" s="3233"/>
      <c r="D9" s="3233"/>
    </row>
    <row r="10" spans="1:4">
      <c r="A10" s="3233" t="str">
        <f>IF(项目基本情况!B8="抵押","4.估价师所知悉的法定优先受偿款情况为：","——")</f>
        <v>4.估价师所知悉的法定优先受偿款情况为：</v>
      </c>
      <c r="B10" s="3233"/>
      <c r="C10" s="3233"/>
      <c r="D10" s="3233"/>
    </row>
    <row r="11" spans="1:4" ht="37.5" customHeight="1">
      <c r="A11" s="3235" t="str">
        <f>IF(项目基本情况!B8="抵押","（1）"&amp;CONCATENATE(项目基本情况!L24,项目基本情况!L25,项目基本情况!L26),"——")</f>
        <v>（1）根据估价对象《不动产权证书》复印件、《国有土地使用权》复印件，截至估价期日，估价对象抵押权未见登记。</v>
      </c>
      <c r="B11" s="3235"/>
      <c r="C11" s="3235"/>
      <c r="D11" s="3235"/>
    </row>
    <row r="12" spans="1:4" ht="168" customHeight="1">
      <c r="A12" s="3232" t="s">
        <v>2025</v>
      </c>
      <c r="B12" s="3232"/>
      <c r="C12" s="3232"/>
      <c r="D12" s="3232"/>
    </row>
    <row r="13" spans="1:4">
      <c r="A13" s="3236" t="s">
        <v>2701</v>
      </c>
      <c r="B13" s="3236"/>
      <c r="C13" s="3236"/>
      <c r="D13" s="3236"/>
    </row>
    <row r="14" spans="1:4">
      <c r="A14" s="3235" t="str">
        <f>IF(项目基本情况!B8="抵押","综上，"&amp;结果表!K47,"——")</f>
        <v>综上，本次评估不存在估价师知悉的法定优先受偿款</v>
      </c>
      <c r="B14" s="3235"/>
      <c r="C14" s="3235"/>
      <c r="D14" s="3235"/>
    </row>
    <row r="15" spans="1:4" ht="58.5" customHeight="1">
      <c r="A15" s="32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3"/>
      <c r="C15" s="3233"/>
      <c r="D15" s="3233"/>
    </row>
    <row r="16" spans="1:4" ht="70.5" customHeight="1">
      <c r="A16" s="32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3"/>
      <c r="C16" s="3233"/>
      <c r="D16" s="3233"/>
    </row>
    <row r="17" spans="1:4">
      <c r="A17" s="3233" t="s">
        <v>2657</v>
      </c>
      <c r="B17" s="3233"/>
      <c r="C17" s="3233"/>
      <c r="D17" s="3233"/>
    </row>
    <row r="18" spans="1:4">
      <c r="A18" s="3233" t="s">
        <v>2649</v>
      </c>
      <c r="B18" s="3233"/>
      <c r="C18" s="3233"/>
      <c r="D18" s="3233"/>
    </row>
    <row r="19" spans="1:4">
      <c r="A19" s="2823" t="s">
        <v>2650</v>
      </c>
      <c r="B19" s="2823" t="s">
        <v>2651</v>
      </c>
      <c r="C19" s="2823" t="s">
        <v>2652</v>
      </c>
      <c r="D19" s="2823" t="s">
        <v>2653</v>
      </c>
    </row>
    <row r="20" spans="1:4">
      <c r="A20" s="2823" t="str">
        <f>项目基本情况!B4</f>
        <v>崔锴</v>
      </c>
      <c r="B20" s="2823">
        <f ca="1">项目基本情况!C4</f>
        <v>2010110070</v>
      </c>
      <c r="C20" s="2825"/>
      <c r="D20" s="1785" t="s">
        <v>2658</v>
      </c>
    </row>
    <row r="21" spans="1:4">
      <c r="A21" s="2823" t="str">
        <f>项目基本情况!D4</f>
        <v>赵雯</v>
      </c>
      <c r="B21" s="2823">
        <f ca="1">项目基本情况!E4</f>
        <v>2011110090</v>
      </c>
      <c r="C21" s="2825"/>
      <c r="D21" s="1785" t="s">
        <v>2659</v>
      </c>
    </row>
    <row r="23" spans="1:4">
      <c r="A23" s="3233" t="s">
        <v>2654</v>
      </c>
      <c r="B23" s="3233"/>
      <c r="C23" s="3233"/>
      <c r="D23" s="3233"/>
    </row>
    <row r="24" spans="1:4">
      <c r="A24" s="2823" t="s">
        <v>2650</v>
      </c>
      <c r="B24" s="2823" t="s">
        <v>2655</v>
      </c>
      <c r="C24" s="2823" t="s">
        <v>2652</v>
      </c>
      <c r="D24" s="2823" t="s">
        <v>2653</v>
      </c>
    </row>
    <row r="25" spans="1:4">
      <c r="A25" s="2826" t="s">
        <v>2656</v>
      </c>
      <c r="B25" s="2823" t="s">
        <v>915</v>
      </c>
      <c r="C25" s="2825"/>
      <c r="D25" s="1785" t="s">
        <v>2659</v>
      </c>
    </row>
    <row r="29" spans="1:4">
      <c r="D29" s="2824" t="s">
        <v>1996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835</v>
      </c>
    </row>
    <row r="13" spans="1:7">
      <c r="A13" s="1166" t="s">
        <v>51</v>
      </c>
    </row>
    <row r="15" spans="1:7" ht="14.25">
      <c r="A15" s="3244" t="s">
        <v>52</v>
      </c>
      <c r="B15" s="3245" t="s">
        <v>809</v>
      </c>
      <c r="C15" s="3241"/>
    </row>
    <row r="16" spans="1:7" ht="14.25">
      <c r="A16" s="3244"/>
      <c r="B16" s="3242" t="s">
        <v>53</v>
      </c>
      <c r="C16" s="1167" t="s">
        <v>52</v>
      </c>
    </row>
    <row r="17" spans="1:3" ht="14.25">
      <c r="A17" s="3244"/>
      <c r="B17" s="3242"/>
      <c r="C17" s="1167" t="s">
        <v>54</v>
      </c>
    </row>
    <row r="18" spans="1:3" ht="14.25">
      <c r="A18" s="3244"/>
      <c r="B18" s="3242"/>
      <c r="C18" s="1167" t="s">
        <v>55</v>
      </c>
    </row>
    <row r="19" spans="1:3" ht="14.25">
      <c r="A19" s="3244"/>
      <c r="B19" s="3240" t="s">
        <v>56</v>
      </c>
      <c r="C19" s="3241"/>
    </row>
    <row r="20" spans="1:3" ht="14.25">
      <c r="A20" s="1168" t="s">
        <v>57</v>
      </c>
      <c r="B20" s="1169"/>
      <c r="C20" s="1170"/>
    </row>
    <row r="21" spans="1:3" ht="14.25">
      <c r="A21" s="3243" t="s">
        <v>58</v>
      </c>
      <c r="B21" s="3240" t="s">
        <v>59</v>
      </c>
      <c r="C21" s="3241"/>
    </row>
    <row r="22" spans="1:3" ht="14.25">
      <c r="A22" s="3243"/>
      <c r="B22" s="3240" t="s">
        <v>60</v>
      </c>
      <c r="C22" s="3241"/>
    </row>
    <row r="23" spans="1:3" ht="14.25">
      <c r="A23" s="3243"/>
      <c r="B23" s="3240" t="s">
        <v>61</v>
      </c>
      <c r="C23" s="3241"/>
    </row>
    <row r="24" spans="1:3" ht="14.25">
      <c r="A24" s="3243"/>
      <c r="B24" s="3246" t="s">
        <v>62</v>
      </c>
      <c r="C24" s="1171" t="s">
        <v>800</v>
      </c>
    </row>
    <row r="25" spans="1:3" ht="14.25">
      <c r="A25" s="3243"/>
      <c r="B25" s="3247"/>
      <c r="C25" s="1171" t="s">
        <v>801</v>
      </c>
    </row>
    <row r="26" spans="1:3" ht="14.25">
      <c r="A26" s="3243"/>
      <c r="B26" s="3247"/>
      <c r="C26" s="1171" t="s">
        <v>802</v>
      </c>
    </row>
    <row r="27" spans="1:3" ht="14.25">
      <c r="A27" s="3243"/>
      <c r="B27" s="3247"/>
      <c r="C27" s="1171" t="s">
        <v>803</v>
      </c>
    </row>
    <row r="28" spans="1:3" ht="14.25">
      <c r="A28" s="3243"/>
      <c r="B28" s="3247"/>
      <c r="C28" s="1171" t="s">
        <v>804</v>
      </c>
    </row>
    <row r="29" spans="1:3" ht="14.25">
      <c r="A29" s="3243"/>
      <c r="B29" s="3247"/>
      <c r="C29" s="1171" t="s">
        <v>805</v>
      </c>
    </row>
    <row r="30" spans="1:3" ht="14.25">
      <c r="A30" s="3243"/>
      <c r="B30" s="3247"/>
      <c r="C30" s="1171" t="s">
        <v>806</v>
      </c>
    </row>
    <row r="31" spans="1:3" ht="14.25">
      <c r="A31" s="3243"/>
      <c r="B31" s="3247"/>
      <c r="C31" s="1171" t="s">
        <v>807</v>
      </c>
    </row>
    <row r="32" spans="1:3" ht="14.25">
      <c r="A32" s="3243"/>
      <c r="B32" s="3247"/>
      <c r="C32" s="1171" t="s">
        <v>1608</v>
      </c>
    </row>
    <row r="33" spans="1:3" ht="14.25">
      <c r="A33" s="3243"/>
      <c r="B33" s="3237" t="s">
        <v>1614</v>
      </c>
      <c r="C33" s="1171" t="s">
        <v>1609</v>
      </c>
    </row>
    <row r="34" spans="1:3" ht="14.25">
      <c r="A34" s="3243"/>
      <c r="B34" s="3238"/>
      <c r="C34" s="1176" t="s">
        <v>1610</v>
      </c>
    </row>
    <row r="35" spans="1:3" ht="14.25">
      <c r="A35" s="3243"/>
      <c r="B35" s="3238"/>
      <c r="C35" s="1177" t="s">
        <v>1611</v>
      </c>
    </row>
    <row r="36" spans="1:3" ht="14.25">
      <c r="A36" s="3243"/>
      <c r="B36" s="3238"/>
      <c r="C36" s="1177" t="s">
        <v>1612</v>
      </c>
    </row>
    <row r="37" spans="1:3" ht="14.25">
      <c r="A37" s="3243"/>
      <c r="B37" s="3239"/>
      <c r="C37" s="1178" t="s">
        <v>1613</v>
      </c>
    </row>
    <row r="38" spans="1:3">
      <c r="A38" s="1172" t="s">
        <v>808</v>
      </c>
    </row>
    <row r="41" spans="1:3">
      <c r="A41" s="1172" t="s">
        <v>67</v>
      </c>
    </row>
    <row r="42" spans="1:3" ht="14.25">
      <c r="A42" s="1173" t="s">
        <v>816</v>
      </c>
    </row>
    <row r="43" spans="1:3" ht="14.25">
      <c r="A43" s="1174" t="s">
        <v>68</v>
      </c>
    </row>
    <row r="44" spans="1:3" ht="14.25">
      <c r="A44" s="1173" t="s">
        <v>815</v>
      </c>
    </row>
    <row r="45" spans="1:3" ht="14.25">
      <c r="A45" s="1175" t="s">
        <v>817</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1866</v>
      </c>
      <c r="B2" s="3126">
        <f ca="1">TODAY()</f>
        <v>43726</v>
      </c>
      <c r="C2" s="3127" t="s">
        <v>1867</v>
      </c>
      <c r="D2" s="3127"/>
    </row>
    <row r="3" spans="1:6" ht="20.25" customHeight="1">
      <c r="A3" s="3129" t="s">
        <v>1868</v>
      </c>
      <c r="B3" s="3130" t="s">
        <v>1869</v>
      </c>
      <c r="C3" s="3130" t="s">
        <v>1870</v>
      </c>
      <c r="D3" s="3131" t="s">
        <v>1871</v>
      </c>
      <c r="E3" s="3130" t="s">
        <v>1872</v>
      </c>
      <c r="F3" s="3130" t="s">
        <v>1870</v>
      </c>
    </row>
    <row r="4" spans="1:6" ht="20.25" customHeight="1">
      <c r="A4" s="3130" t="s">
        <v>1873</v>
      </c>
      <c r="B4" s="3130">
        <f ca="1">IF(C4&lt;B2,"已过期",1119970066)</f>
        <v>1119970066</v>
      </c>
      <c r="C4" s="3132">
        <v>43849</v>
      </c>
      <c r="D4" s="3130" t="s">
        <v>1873</v>
      </c>
      <c r="E4" s="3130">
        <f ca="1">IF(F4&lt;B2,"已过期",96010014)</f>
        <v>96010014</v>
      </c>
      <c r="F4" s="3133">
        <v>47118</v>
      </c>
    </row>
    <row r="5" spans="1:6" ht="20.25" customHeight="1">
      <c r="A5" s="3130" t="s">
        <v>1874</v>
      </c>
      <c r="B5" s="3130">
        <f ca="1">IF(C5&lt;B2,"已过期",1119970074)</f>
        <v>1119970074</v>
      </c>
      <c r="C5" s="3132">
        <v>43849</v>
      </c>
      <c r="D5" s="3130" t="s">
        <v>1874</v>
      </c>
      <c r="E5" s="3130">
        <f ca="1">IF(F5&lt;B2,"已过期",2002110027)</f>
        <v>2002110027</v>
      </c>
      <c r="F5" s="3133">
        <v>46752</v>
      </c>
    </row>
    <row r="6" spans="1:6" ht="20.25" customHeight="1">
      <c r="A6" s="3130" t="s">
        <v>1875</v>
      </c>
      <c r="B6" s="3130">
        <f ca="1">IF(C6&lt;B2,"已过期",1119970111)</f>
        <v>1119970111</v>
      </c>
      <c r="C6" s="3132">
        <v>43849</v>
      </c>
      <c r="D6" s="3130" t="s">
        <v>1875</v>
      </c>
      <c r="E6" s="3130">
        <f ca="1">IF(F6&lt;B2,"已过期",94010078)</f>
        <v>94010078</v>
      </c>
      <c r="F6" s="3133">
        <v>46387</v>
      </c>
    </row>
    <row r="7" spans="1:6" ht="20.25" customHeight="1">
      <c r="A7" s="3130" t="s">
        <v>1876</v>
      </c>
      <c r="B7" s="3130">
        <f ca="1">IF(C7&lt;B2,"已过期",1120050019)</f>
        <v>1120050019</v>
      </c>
      <c r="C7" s="3132">
        <v>44395</v>
      </c>
      <c r="D7" s="3130" t="s">
        <v>1876</v>
      </c>
      <c r="E7" s="3130">
        <f ca="1">IF(F7&lt;B2,"已过期",2002110030)</f>
        <v>2002110030</v>
      </c>
      <c r="F7" s="3133">
        <v>46387</v>
      </c>
    </row>
    <row r="8" spans="1:6" ht="20.25" customHeight="1">
      <c r="A8" s="3130" t="s">
        <v>1877</v>
      </c>
      <c r="B8" s="3130">
        <f ca="1">IF(C8&lt;B2,"已过期",1120000080)</f>
        <v>1120000080</v>
      </c>
      <c r="C8" s="3132">
        <v>43849</v>
      </c>
      <c r="D8" s="3130" t="s">
        <v>1877</v>
      </c>
      <c r="E8" s="3130">
        <f ca="1">IF(F8&lt;B2,"已过期",2000110082)</f>
        <v>2000110082</v>
      </c>
      <c r="F8" s="3133">
        <v>46387</v>
      </c>
    </row>
    <row r="9" spans="1:6" ht="20.25" customHeight="1">
      <c r="A9" s="3130" t="s">
        <v>1878</v>
      </c>
      <c r="B9" s="3130">
        <f ca="1">IF(C9&lt;B2,"已过期",1419970001)</f>
        <v>1419970001</v>
      </c>
      <c r="C9" s="3132">
        <v>43867</v>
      </c>
      <c r="D9" s="3130" t="s">
        <v>1878</v>
      </c>
      <c r="E9" s="3130">
        <f ca="1">IF(F9&lt;B2,"已过期",2002110125)</f>
        <v>2002110125</v>
      </c>
      <c r="F9" s="3133">
        <v>47118</v>
      </c>
    </row>
    <row r="10" spans="1:6" ht="20.25" customHeight="1">
      <c r="A10" s="3130" t="s">
        <v>1879</v>
      </c>
      <c r="B10" s="3130">
        <f ca="1">IF(C10&lt;B2,"已过期",1120060040)</f>
        <v>1120060040</v>
      </c>
      <c r="C10" s="3132">
        <v>44554</v>
      </c>
      <c r="D10" s="3130" t="s">
        <v>1879</v>
      </c>
      <c r="E10" s="3130">
        <f ca="1">IF(F10&lt;B2,"已过期",2004110096)</f>
        <v>2004110096</v>
      </c>
      <c r="F10" s="3133">
        <v>47118</v>
      </c>
    </row>
    <row r="11" spans="1:6" ht="20.25" customHeight="1">
      <c r="A11" s="3130" t="s">
        <v>1880</v>
      </c>
      <c r="B11" s="3130">
        <f ca="1">IF(C11&lt;B2,"已过期",1120100036)</f>
        <v>1120100036</v>
      </c>
      <c r="C11" s="3132">
        <v>44675</v>
      </c>
      <c r="D11" s="3130" t="s">
        <v>1880</v>
      </c>
      <c r="E11" s="3130">
        <f ca="1">IF(F11&lt;B2,"已过期",2010110070)</f>
        <v>2010110070</v>
      </c>
      <c r="F11" s="3133">
        <v>47907</v>
      </c>
    </row>
    <row r="12" spans="1:6" ht="20.25" customHeight="1">
      <c r="A12" s="3130"/>
      <c r="B12" s="3130"/>
      <c r="C12" s="3132"/>
      <c r="D12" s="3130"/>
      <c r="E12" s="3130"/>
      <c r="F12" s="3133"/>
    </row>
    <row r="13" spans="1:6" ht="20.25" customHeight="1">
      <c r="A13" s="3130" t="s">
        <v>1881</v>
      </c>
      <c r="B13" s="3130">
        <f ca="1">IF(C13&lt;B2,"已过期",1120070131)</f>
        <v>1120070131</v>
      </c>
      <c r="C13" s="3132">
        <v>43814</v>
      </c>
      <c r="D13" s="3130" t="s">
        <v>1881</v>
      </c>
      <c r="E13" s="3130">
        <f ca="1">IF(F13&lt;B2,"已过期",2014110011)</f>
        <v>2014110011</v>
      </c>
      <c r="F13" s="3133">
        <v>49302</v>
      </c>
    </row>
    <row r="14" spans="1:6" ht="20.25" customHeight="1">
      <c r="A14" s="3130" t="s">
        <v>2921</v>
      </c>
      <c r="B14" s="3130">
        <f ca="1">IF(C14&lt;B2,"已过期",1120040230)</f>
        <v>1120040230</v>
      </c>
      <c r="C14" s="3134">
        <v>43835</v>
      </c>
      <c r="D14" s="3135" t="s">
        <v>2922</v>
      </c>
      <c r="E14" s="3130">
        <f ca="1">IF(F14&lt;B2,"已过期",98030020)</f>
        <v>98030020</v>
      </c>
      <c r="F14" s="3133">
        <v>47118</v>
      </c>
    </row>
    <row r="15" spans="1:6" ht="20.25" customHeight="1">
      <c r="A15" s="3130" t="s">
        <v>2529</v>
      </c>
      <c r="B15" s="3130">
        <f ca="1">IF(C15&lt;B2,"已过期",1120070085)</f>
        <v>1120070085</v>
      </c>
      <c r="C15" s="3134">
        <v>43814</v>
      </c>
      <c r="D15" s="3130" t="s">
        <v>2923</v>
      </c>
      <c r="E15" s="3130">
        <f ca="1">IF(F15&lt;B2,"已过期",2004110128)</f>
        <v>2004110128</v>
      </c>
      <c r="F15" s="3136">
        <v>47118</v>
      </c>
    </row>
    <row r="16" spans="1:6" ht="20.25" customHeight="1">
      <c r="A16" s="3130" t="s">
        <v>1882</v>
      </c>
      <c r="B16" s="3130">
        <f ca="1">IF(C16&lt;B2,"已过期",1120140022)</f>
        <v>1120140022</v>
      </c>
      <c r="C16" s="3132">
        <v>44029</v>
      </c>
      <c r="D16" s="3130" t="s">
        <v>2924</v>
      </c>
      <c r="E16" s="3130">
        <f ca="1">IF(F16&lt;B2,"已过期",2008110059)</f>
        <v>2008110059</v>
      </c>
      <c r="F16" s="3133">
        <v>47177</v>
      </c>
    </row>
    <row r="17" spans="1:7" ht="20.25" customHeight="1">
      <c r="A17" s="3130"/>
      <c r="B17" s="3130"/>
      <c r="C17" s="3132"/>
      <c r="D17" s="3135" t="s">
        <v>2925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1883</v>
      </c>
      <c r="E21" s="3130">
        <f ca="1">IF(F21&lt;B2,"已过期",2011110090)</f>
        <v>2011110090</v>
      </c>
      <c r="F21" s="3133">
        <v>48302</v>
      </c>
    </row>
    <row r="22" spans="1:7" ht="20.25" customHeight="1">
      <c r="A22" s="3130" t="s">
        <v>1884</v>
      </c>
      <c r="B22" s="3130">
        <f ca="1">IF(C22&lt;B2,"已过期",1120020033)</f>
        <v>1120020033</v>
      </c>
      <c r="C22" s="3132">
        <v>44339</v>
      </c>
      <c r="D22" s="3130" t="s">
        <v>1884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2010</v>
      </c>
      <c r="B24" s="3129" t="s">
        <v>2010</v>
      </c>
      <c r="C24" s="3132"/>
      <c r="D24" s="3137" t="s">
        <v>2010</v>
      </c>
      <c r="E24" s="3129" t="s">
        <v>2010</v>
      </c>
      <c r="F24" s="3136"/>
    </row>
    <row r="25" spans="1:7" ht="20.25" customHeight="1">
      <c r="A25" s="3248" t="s">
        <v>1885</v>
      </c>
      <c r="B25" s="3248"/>
      <c r="C25" s="3248"/>
      <c r="D25" s="3248"/>
      <c r="E25" s="3248"/>
      <c r="F25" s="3248"/>
      <c r="G25" s="3248"/>
    </row>
    <row r="26" spans="1:7" ht="20.25" customHeight="1">
      <c r="A26" s="3249" t="s">
        <v>1886</v>
      </c>
      <c r="B26" s="3249"/>
      <c r="C26" s="3249"/>
      <c r="D26" s="3249" t="s">
        <v>1887</v>
      </c>
      <c r="E26" s="3249"/>
      <c r="F26" s="3249"/>
    </row>
    <row r="27" spans="1:7" s="3125" customFormat="1" ht="20.25" customHeight="1">
      <c r="A27" s="3139" t="s">
        <v>1888</v>
      </c>
      <c r="B27" s="3140" t="s">
        <v>1889</v>
      </c>
      <c r="C27" s="3140" t="s">
        <v>1890</v>
      </c>
      <c r="D27" s="3130" t="s">
        <v>1888</v>
      </c>
      <c r="E27" s="3140" t="s">
        <v>1889</v>
      </c>
      <c r="F27" s="3140" t="s">
        <v>1890</v>
      </c>
    </row>
    <row r="28" spans="1:7" s="3125" customFormat="1" ht="20.25" customHeight="1">
      <c r="A28" s="3141" t="s">
        <v>1891</v>
      </c>
      <c r="B28" s="3141" t="s">
        <v>1892</v>
      </c>
      <c r="C28" s="3133">
        <v>43725</v>
      </c>
      <c r="D28" s="3141" t="s">
        <v>1893</v>
      </c>
      <c r="E28" s="3141" t="s">
        <v>1894</v>
      </c>
      <c r="F28" s="3142">
        <v>44377</v>
      </c>
    </row>
    <row r="29" spans="1:7" s="3125" customFormat="1" ht="20.25" customHeight="1">
      <c r="A29" s="3141"/>
      <c r="B29" s="3141"/>
      <c r="C29" s="3143"/>
      <c r="D29" s="3141" t="s">
        <v>1895</v>
      </c>
      <c r="E29" s="3141" t="s">
        <v>2934</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7" sqref="Z7"/>
    </sheetView>
  </sheetViews>
  <sheetFormatPr defaultColWidth="9" defaultRowHeight="14.25"/>
  <cols>
    <col min="1" max="1" width="16.875" style="1180" customWidth="1"/>
    <col min="2" max="2" width="19.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6" t="s">
        <v>819</v>
      </c>
      <c r="B1" s="5" t="s">
        <v>105</v>
      </c>
      <c r="C1" s="1536" t="s">
        <v>1667</v>
      </c>
      <c r="D1" s="6" t="s">
        <v>106</v>
      </c>
      <c r="E1" s="6" t="s">
        <v>107</v>
      </c>
      <c r="F1" s="6" t="s">
        <v>108</v>
      </c>
      <c r="G1" s="6" t="s">
        <v>109</v>
      </c>
      <c r="H1" s="6" t="s">
        <v>110</v>
      </c>
      <c r="I1" s="6" t="s">
        <v>111</v>
      </c>
      <c r="J1" s="6" t="s">
        <v>112</v>
      </c>
      <c r="K1" s="6" t="s">
        <v>113</v>
      </c>
      <c r="L1" s="6" t="s">
        <v>114</v>
      </c>
      <c r="M1" s="6" t="s">
        <v>115</v>
      </c>
      <c r="N1" s="6" t="s">
        <v>116</v>
      </c>
      <c r="O1" s="6" t="s">
        <v>117</v>
      </c>
      <c r="P1" s="6" t="s">
        <v>118</v>
      </c>
      <c r="Q1" s="2547" t="s">
        <v>2500</v>
      </c>
      <c r="R1" s="2546" t="s">
        <v>2494</v>
      </c>
      <c r="S1" s="6" t="s">
        <v>119</v>
      </c>
      <c r="T1" s="7" t="s">
        <v>120</v>
      </c>
      <c r="U1" s="6" t="s">
        <v>121</v>
      </c>
      <c r="V1" s="6" t="s">
        <v>122</v>
      </c>
      <c r="W1" s="1003" t="s">
        <v>837</v>
      </c>
    </row>
    <row r="2" spans="1:23">
      <c r="A2" s="1144"/>
      <c r="B2" s="8" t="s">
        <v>123</v>
      </c>
      <c r="C2" s="1537" t="s">
        <v>1668</v>
      </c>
      <c r="D2" s="9" t="s">
        <v>72</v>
      </c>
      <c r="E2" s="9" t="s">
        <v>100</v>
      </c>
      <c r="F2" s="9" t="s">
        <v>101</v>
      </c>
      <c r="G2" s="9">
        <v>40</v>
      </c>
      <c r="H2" s="9" t="s">
        <v>102</v>
      </c>
      <c r="I2" s="9" t="s">
        <v>103</v>
      </c>
      <c r="J2" s="9" t="s">
        <v>104</v>
      </c>
      <c r="K2" s="9" t="s">
        <v>73</v>
      </c>
      <c r="L2" s="9" t="s">
        <v>73</v>
      </c>
      <c r="M2" s="9" t="s">
        <v>73</v>
      </c>
      <c r="N2" s="9" t="s">
        <v>73</v>
      </c>
      <c r="O2" s="9" t="s">
        <v>73</v>
      </c>
      <c r="P2" s="1005" t="s">
        <v>843</v>
      </c>
      <c r="Q2" s="9" t="s">
        <v>73</v>
      </c>
      <c r="R2" s="1005" t="s">
        <v>2495</v>
      </c>
      <c r="S2" s="9" t="s">
        <v>73</v>
      </c>
      <c r="T2" s="9" t="s">
        <v>74</v>
      </c>
      <c r="U2" s="9" t="s">
        <v>73</v>
      </c>
      <c r="V2" s="9" t="s">
        <v>75</v>
      </c>
      <c r="W2" s="9" t="s">
        <v>838</v>
      </c>
    </row>
    <row r="3" spans="1:23">
      <c r="A3" s="3062" t="s">
        <v>3024</v>
      </c>
      <c r="B3" s="8" t="s">
        <v>124</v>
      </c>
      <c r="C3" s="1538" t="s">
        <v>1669</v>
      </c>
      <c r="D3" s="9" t="s">
        <v>76</v>
      </c>
      <c r="E3" s="9" t="s">
        <v>6</v>
      </c>
      <c r="F3" s="9" t="s">
        <v>77</v>
      </c>
      <c r="G3" s="9">
        <v>50</v>
      </c>
      <c r="H3" s="9" t="s">
        <v>78</v>
      </c>
      <c r="I3" s="9" t="s">
        <v>79</v>
      </c>
      <c r="J3" s="9" t="s">
        <v>80</v>
      </c>
      <c r="K3" s="9" t="s">
        <v>81</v>
      </c>
      <c r="L3" s="9" t="s">
        <v>81</v>
      </c>
      <c r="M3" s="9" t="s">
        <v>81</v>
      </c>
      <c r="N3" s="9" t="s">
        <v>81</v>
      </c>
      <c r="O3" s="9" t="s">
        <v>81</v>
      </c>
      <c r="P3" s="1005" t="s">
        <v>564</v>
      </c>
      <c r="Q3" s="9" t="s">
        <v>81</v>
      </c>
      <c r="R3" s="1005" t="s">
        <v>2496</v>
      </c>
      <c r="S3" s="9" t="s">
        <v>81</v>
      </c>
      <c r="T3" s="9" t="s">
        <v>82</v>
      </c>
      <c r="U3" s="9" t="s">
        <v>81</v>
      </c>
      <c r="V3" s="9" t="s">
        <v>83</v>
      </c>
      <c r="W3" s="9" t="s">
        <v>839</v>
      </c>
    </row>
    <row r="4" spans="1:23">
      <c r="A4" s="3062"/>
      <c r="B4" s="1144" t="s">
        <v>3513</v>
      </c>
      <c r="C4" s="1537" t="s">
        <v>1670</v>
      </c>
      <c r="D4" s="9" t="s">
        <v>1952</v>
      </c>
      <c r="E4" s="9" t="s">
        <v>84</v>
      </c>
      <c r="F4" s="9" t="s">
        <v>85</v>
      </c>
      <c r="G4" s="9">
        <v>70</v>
      </c>
      <c r="H4" s="9" t="s">
        <v>86</v>
      </c>
      <c r="I4" s="9" t="s">
        <v>87</v>
      </c>
      <c r="K4" s="9" t="s">
        <v>88</v>
      </c>
      <c r="L4" s="9" t="s">
        <v>88</v>
      </c>
      <c r="M4" s="9" t="s">
        <v>88</v>
      </c>
      <c r="N4" s="9" t="s">
        <v>88</v>
      </c>
      <c r="O4" s="9" t="s">
        <v>88</v>
      </c>
      <c r="P4" s="1005" t="s">
        <v>723</v>
      </c>
      <c r="Q4" s="9" t="s">
        <v>88</v>
      </c>
      <c r="R4" s="1005" t="s">
        <v>2497</v>
      </c>
      <c r="S4" s="9" t="s">
        <v>88</v>
      </c>
      <c r="T4" s="9" t="s">
        <v>89</v>
      </c>
      <c r="U4" s="9" t="s">
        <v>88</v>
      </c>
      <c r="W4" s="9" t="s">
        <v>840</v>
      </c>
    </row>
    <row r="5" spans="1:23">
      <c r="A5" s="8"/>
      <c r="B5" s="8" t="s">
        <v>3025</v>
      </c>
      <c r="C5" s="1537" t="s">
        <v>1671</v>
      </c>
      <c r="F5" s="9" t="s">
        <v>90</v>
      </c>
      <c r="H5" s="9" t="s">
        <v>69</v>
      </c>
      <c r="I5" s="9" t="s">
        <v>91</v>
      </c>
      <c r="K5" s="9" t="s">
        <v>92</v>
      </c>
      <c r="L5" s="9" t="s">
        <v>92</v>
      </c>
      <c r="M5" s="9" t="s">
        <v>92</v>
      </c>
      <c r="N5" s="9" t="s">
        <v>92</v>
      </c>
      <c r="O5" s="9" t="s">
        <v>92</v>
      </c>
      <c r="P5" s="1005" t="s">
        <v>510</v>
      </c>
      <c r="Q5" s="9" t="s">
        <v>92</v>
      </c>
      <c r="R5" s="1005" t="s">
        <v>2498</v>
      </c>
      <c r="S5" s="9" t="s">
        <v>92</v>
      </c>
      <c r="T5" s="9" t="s">
        <v>93</v>
      </c>
      <c r="U5" s="9" t="s">
        <v>92</v>
      </c>
      <c r="W5" s="9" t="s">
        <v>841</v>
      </c>
    </row>
    <row r="6" spans="1:23">
      <c r="A6" s="8"/>
      <c r="B6" s="8"/>
      <c r="C6" s="1539" t="s">
        <v>1672</v>
      </c>
      <c r="F6" s="9" t="s">
        <v>70</v>
      </c>
      <c r="H6" s="9" t="s">
        <v>71</v>
      </c>
      <c r="I6" s="9" t="s">
        <v>94</v>
      </c>
      <c r="K6" s="9" t="s">
        <v>95</v>
      </c>
      <c r="L6" s="9" t="s">
        <v>95</v>
      </c>
      <c r="M6" s="9" t="s">
        <v>95</v>
      </c>
      <c r="N6" s="9" t="s">
        <v>95</v>
      </c>
      <c r="O6" s="9" t="s">
        <v>95</v>
      </c>
      <c r="P6" s="1005" t="s">
        <v>844</v>
      </c>
      <c r="Q6" s="9" t="s">
        <v>95</v>
      </c>
      <c r="R6" s="1005" t="s">
        <v>2499</v>
      </c>
      <c r="S6" s="9" t="s">
        <v>95</v>
      </c>
      <c r="T6" s="9"/>
      <c r="U6" s="9" t="s">
        <v>95</v>
      </c>
      <c r="W6" s="9" t="s">
        <v>842</v>
      </c>
    </row>
    <row r="7" spans="1:23">
      <c r="A7" s="8"/>
      <c r="B7" s="8"/>
      <c r="C7" s="1537" t="s">
        <v>1673</v>
      </c>
      <c r="F7" s="9" t="s">
        <v>125</v>
      </c>
      <c r="H7" s="9" t="s">
        <v>96</v>
      </c>
      <c r="I7" s="9" t="s">
        <v>97</v>
      </c>
    </row>
    <row r="8" spans="1:23">
      <c r="A8" s="8"/>
      <c r="B8" s="8"/>
      <c r="C8" s="1537" t="s">
        <v>1674</v>
      </c>
      <c r="F8" s="9" t="s">
        <v>126</v>
      </c>
      <c r="H8" s="9"/>
      <c r="I8" s="9" t="s">
        <v>98</v>
      </c>
    </row>
    <row r="9" spans="1:23">
      <c r="A9" s="8"/>
      <c r="B9" s="8"/>
      <c r="C9" s="1537" t="s">
        <v>1675</v>
      </c>
      <c r="F9" s="9" t="s">
        <v>99</v>
      </c>
      <c r="H9" s="9"/>
    </row>
    <row r="10" spans="1:23">
      <c r="A10" s="8"/>
      <c r="B10" s="8"/>
      <c r="C10" s="1537" t="s">
        <v>1676</v>
      </c>
      <c r="F10" s="9" t="s">
        <v>6</v>
      </c>
    </row>
    <row r="11" spans="1:23">
      <c r="A11" s="8"/>
      <c r="B11" s="8"/>
      <c r="C11" s="1537" t="s">
        <v>1677</v>
      </c>
    </row>
    <row r="12" spans="1:23">
      <c r="A12" s="8"/>
      <c r="B12" s="8"/>
      <c r="C12" s="1537" t="s">
        <v>1678</v>
      </c>
    </row>
    <row r="13" spans="1:23">
      <c r="A13" s="8"/>
      <c r="B13" s="8"/>
      <c r="C13" s="1537" t="s">
        <v>1679</v>
      </c>
    </row>
    <row r="14" spans="1:23">
      <c r="A14" s="8"/>
      <c r="B14" s="8"/>
      <c r="C14" s="1540" t="s">
        <v>1855</v>
      </c>
    </row>
    <row r="15" spans="1:23">
      <c r="A15" s="8"/>
      <c r="B15" s="8"/>
      <c r="C15" s="1540"/>
    </row>
    <row r="16" spans="1:23">
      <c r="A16" s="8"/>
      <c r="B16" s="8"/>
      <c r="C16" s="1540"/>
    </row>
    <row r="17" spans="1:3">
      <c r="A17" s="8"/>
      <c r="B17" s="8"/>
      <c r="C17" s="1540"/>
    </row>
    <row r="18" spans="1:3">
      <c r="A18" s="8"/>
      <c r="B18" s="3062"/>
      <c r="C18" s="1540"/>
    </row>
    <row r="19" spans="1:3">
      <c r="A19" s="8"/>
      <c r="B19" s="3062"/>
      <c r="C19" s="1540"/>
    </row>
    <row r="20" spans="1:3">
      <c r="A20" s="8"/>
      <c r="B20" s="8" t="s">
        <v>1603</v>
      </c>
      <c r="C20" s="1540"/>
    </row>
    <row r="21" spans="1:3">
      <c r="A21" s="8"/>
      <c r="B21" s="8" t="s">
        <v>1603</v>
      </c>
      <c r="C21" s="1540"/>
    </row>
    <row r="22" spans="1:3">
      <c r="A22" s="8"/>
      <c r="B22" s="8" t="s">
        <v>1603</v>
      </c>
      <c r="C22" s="1540"/>
    </row>
    <row r="23" spans="1:3">
      <c r="A23" s="8"/>
      <c r="B23" s="8" t="s">
        <v>1603</v>
      </c>
      <c r="C23" s="1540"/>
    </row>
    <row r="24" spans="1:3">
      <c r="A24" s="8"/>
      <c r="B24" s="8" t="s">
        <v>1603</v>
      </c>
      <c r="C24" s="1540"/>
    </row>
    <row r="25" spans="1:3">
      <c r="A25" s="8"/>
      <c r="B25" s="8" t="s">
        <v>1603</v>
      </c>
      <c r="C25" s="1540"/>
    </row>
    <row r="26" spans="1:3">
      <c r="A26" s="8"/>
      <c r="B26" s="8" t="s">
        <v>1603</v>
      </c>
      <c r="C26" s="1540"/>
    </row>
    <row r="27" spans="1:3">
      <c r="A27" s="8"/>
      <c r="B27" s="8" t="s">
        <v>1603</v>
      </c>
      <c r="C27" s="1540"/>
    </row>
    <row r="28" spans="1:3">
      <c r="A28" s="8" t="s">
        <v>1603</v>
      </c>
      <c r="B28" s="8" t="s">
        <v>1603</v>
      </c>
      <c r="C28" s="1540"/>
    </row>
    <row r="29" spans="1:3">
      <c r="A29" s="8" t="s">
        <v>1603</v>
      </c>
      <c r="B29" s="8" t="s">
        <v>1603</v>
      </c>
      <c r="C29" s="1540"/>
    </row>
    <row r="30" spans="1:3">
      <c r="A30" s="8" t="s">
        <v>1603</v>
      </c>
      <c r="B30" s="8" t="s">
        <v>1603</v>
      </c>
      <c r="C30" s="1540"/>
    </row>
    <row r="31" spans="1:3">
      <c r="A31" s="8" t="s">
        <v>1603</v>
      </c>
      <c r="B31" s="8" t="s">
        <v>1603</v>
      </c>
      <c r="C31" s="1540"/>
    </row>
    <row r="32" spans="1:3">
      <c r="A32" s="8" t="s">
        <v>1603</v>
      </c>
      <c r="B32" s="8" t="s">
        <v>1603</v>
      </c>
      <c r="C32" s="1540"/>
    </row>
    <row r="33" spans="1:3">
      <c r="A33" s="8" t="s">
        <v>1603</v>
      </c>
      <c r="B33" s="8" t="s">
        <v>1603</v>
      </c>
      <c r="C33" s="1540"/>
    </row>
    <row r="34" spans="1:3">
      <c r="A34" s="8" t="s">
        <v>1603</v>
      </c>
      <c r="B34" s="8" t="s">
        <v>1603</v>
      </c>
      <c r="C34" s="1540"/>
    </row>
    <row r="35" spans="1:3">
      <c r="A35" s="8" t="s">
        <v>1603</v>
      </c>
      <c r="B35" s="8" t="s">
        <v>1603</v>
      </c>
      <c r="C35" s="1540"/>
    </row>
    <row r="36" spans="1:3">
      <c r="A36" s="8" t="s">
        <v>1603</v>
      </c>
      <c r="B36" s="8" t="s">
        <v>1603</v>
      </c>
      <c r="C36" s="1540"/>
    </row>
    <row r="37" spans="1:3">
      <c r="A37" s="8" t="s">
        <v>1603</v>
      </c>
      <c r="B37" s="8" t="s">
        <v>1603</v>
      </c>
      <c r="C37" s="1540"/>
    </row>
    <row r="38" spans="1:3">
      <c r="A38" s="8" t="s">
        <v>1603</v>
      </c>
      <c r="B38" s="8" t="s">
        <v>1603</v>
      </c>
      <c r="C38" s="1540"/>
    </row>
    <row r="39" spans="1:3">
      <c r="A39" s="8" t="s">
        <v>1603</v>
      </c>
      <c r="B39" s="8" t="s">
        <v>1603</v>
      </c>
      <c r="C39" s="1540"/>
    </row>
    <row r="40" spans="1:3">
      <c r="A40" s="8" t="s">
        <v>1603</v>
      </c>
      <c r="B40" s="8" t="s">
        <v>1603</v>
      </c>
      <c r="C40" s="1540"/>
    </row>
    <row r="41" spans="1:3">
      <c r="A41" s="8" t="s">
        <v>1603</v>
      </c>
      <c r="B41" s="8" t="s">
        <v>1603</v>
      </c>
      <c r="C41" s="1540"/>
    </row>
    <row r="42" spans="1:3">
      <c r="A42" s="8" t="s">
        <v>1603</v>
      </c>
      <c r="B42" s="8" t="s">
        <v>1603</v>
      </c>
      <c r="C42" s="1540"/>
    </row>
    <row r="43" spans="1:3">
      <c r="A43" s="8" t="s">
        <v>1603</v>
      </c>
      <c r="B43" s="8" t="s">
        <v>1603</v>
      </c>
      <c r="C43" s="1540"/>
    </row>
    <row r="44" spans="1:3">
      <c r="A44" s="8" t="s">
        <v>1603</v>
      </c>
      <c r="B44" s="8" t="s">
        <v>1603</v>
      </c>
      <c r="C44" s="1540"/>
    </row>
    <row r="45" spans="1:3">
      <c r="A45" s="8" t="s">
        <v>1603</v>
      </c>
      <c r="B45" s="8" t="s">
        <v>1603</v>
      </c>
      <c r="C45" s="1540"/>
    </row>
    <row r="46" spans="1:3">
      <c r="A46" s="8" t="s">
        <v>1603</v>
      </c>
      <c r="B46" s="8" t="s">
        <v>1603</v>
      </c>
      <c r="C46" s="1540"/>
    </row>
    <row r="47" spans="1:3">
      <c r="A47" s="8" t="s">
        <v>1603</v>
      </c>
      <c r="B47" s="8" t="s">
        <v>1603</v>
      </c>
      <c r="C47" s="1540"/>
    </row>
    <row r="48" spans="1:3">
      <c r="A48" s="8" t="s">
        <v>1603</v>
      </c>
      <c r="B48" s="8" t="s">
        <v>1603</v>
      </c>
      <c r="C48" s="1540"/>
    </row>
    <row r="49" spans="1:5">
      <c r="A49" s="8" t="s">
        <v>1603</v>
      </c>
      <c r="B49" s="8" t="s">
        <v>1603</v>
      </c>
      <c r="C49" s="1540"/>
    </row>
    <row r="50" spans="1:5">
      <c r="A50" s="8" t="s">
        <v>1603</v>
      </c>
      <c r="B50" s="8" t="s">
        <v>1603</v>
      </c>
      <c r="C50" s="1540"/>
    </row>
    <row r="51" spans="1:5">
      <c r="A51" s="1750" t="s">
        <v>1901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沧州市黄骅市南大港产业园区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1944</v>
      </c>
      <c r="B52" s="1753" t="s">
        <v>1945</v>
      </c>
      <c r="C52" s="1751" t="s">
        <v>1946</v>
      </c>
      <c r="D52" s="1751" t="s">
        <v>1947</v>
      </c>
      <c r="E52" s="1752"/>
    </row>
    <row r="53" spans="1:5">
      <c r="A53" s="3250" t="s">
        <v>1948</v>
      </c>
      <c r="B53" s="1751" t="s">
        <v>1954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c r="D53" s="1752"/>
      <c r="E53" s="1752"/>
    </row>
    <row r="54" spans="1:5">
      <c r="A54" s="3250"/>
      <c r="B54" s="1751" t="s">
        <v>1955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0"/>
      <c r="B55" s="1751" t="s">
        <v>1949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0"/>
      <c r="B56" s="1751" t="s">
        <v>1950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0"/>
      <c r="B57" s="1751" t="s">
        <v>1951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2006</v>
      </c>
      <c r="B58" s="1751" t="s">
        <v>2007</v>
      </c>
      <c r="C58" s="10" t="s">
        <v>2008</v>
      </c>
      <c r="D58" s="1314" t="s">
        <v>2009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不动产比较法-公寓</vt:lpstr>
      <vt:lpstr>收益法-公寓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商业土地案例</vt:lpstr>
      <vt:lpstr>住宅土地案例</vt:lpstr>
      <vt:lpstr>公寓案例</vt:lpstr>
      <vt:lpstr>政策</vt:lpstr>
      <vt:lpstr>商业现房案例</vt:lpstr>
      <vt:lpstr>住宅现房案例</vt:lpstr>
      <vt:lpstr>酒店案例</vt:lpstr>
      <vt:lpstr>最终结果</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2019-06-25T01:36:07Z</cp:lastPrinted>
  <dcterms:created xsi:type="dcterms:W3CDTF">2015-07-13T07:17:23Z</dcterms:created>
  <dcterms:modified xsi:type="dcterms:W3CDTF">2019-09-18T05:30:03Z</dcterms:modified>
</cp:coreProperties>
</file>