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8" activeTab="1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Sheet1" sheetId="77"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土地比较法-住宅、综合" sheetId="39" r:id="rId21"/>
    <sheet name="假设开发法" sheetId="12" r:id="rId22"/>
    <sheet name="比较法-住宅 (联排)" sheetId="79" r:id="rId23"/>
    <sheet name="比较法-住宅 (叠拼)" sheetId="78" r:id="rId24"/>
    <sheet name="比较法-住宅" sheetId="21" r:id="rId25"/>
    <sheet name="成本法 (元)" sheetId="69" state="hidden" r:id="rId26"/>
    <sheet name="收益法 (车位)" sheetId="80" r:id="rId27"/>
    <sheet name="收益法" sheetId="15" r:id="rId28"/>
    <sheet name="收益法 (元)" sheetId="67" state="hidden" r:id="rId29"/>
    <sheet name="收益法（汇总）" sheetId="70" state="hidden" r:id="rId30"/>
    <sheet name="酒店收入计算" sheetId="66"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24" hidden="1">'比较法-住宅'!$A$1:$L$49</definedName>
    <definedName name="_xlnm._FilterDatabase" localSheetId="23" hidden="1">'比较法-住宅 (叠拼)'!$A$1:$L$49</definedName>
    <definedName name="_xlnm._FilterDatabase" localSheetId="22" hidden="1">'比较法-住宅 (联排)'!$A$1:$L$49</definedName>
    <definedName name="_xlnm._FilterDatabase" localSheetId="12" hidden="1">'数据-基础表'!$A$12:$AT$587</definedName>
    <definedName name="_xlnm._FilterDatabase" localSheetId="36" hidden="1">'土地比较法-工业'!$A$1:$L$43</definedName>
    <definedName name="_xlnm._FilterDatabase" localSheetId="20" hidden="1">'土地比较法-住宅、综合'!$A$1:$L$48</definedName>
    <definedName name="_xlnm._FilterDatabase" localSheetId="11" hidden="1">项目基本情况!$A$42:$N$42</definedName>
    <definedName name="_xlnm.Print_Area" localSheetId="8">估价师及机构信息!$A$1:$F$29</definedName>
    <definedName name="_xlnm.Print_Area" localSheetId="27">收益法!$A$1:$AK$69</definedName>
    <definedName name="_xlnm.Print_Area" localSheetId="26">'收益法 (车位)'!$A$1:$AK$69</definedName>
    <definedName name="_xlnm.Print_Area" localSheetId="28">'收益法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3">'比较法-住宅 (叠拼)'!$B$88:$M$88</definedName>
    <definedName name="住宅朝向" localSheetId="22">'比较法-住宅 (联排)'!$B$88:$M$88</definedName>
    <definedName name="住宅朝向">'比较法-住宅'!$B$88:$M$88</definedName>
    <definedName name="住宅房型" localSheetId="23">'比较法-住宅 (叠拼)'!$B$118:$M$118</definedName>
    <definedName name="住宅房型" localSheetId="22">'比较法-住宅 (联排)'!$B$118:$M$118</definedName>
    <definedName name="住宅房型">'比较法-住宅'!$B$118:$M$118</definedName>
    <definedName name="住宅公共部分装修" localSheetId="23">'比较法-住宅 (叠拼)'!$B$109:$M$109</definedName>
    <definedName name="住宅公共部分装修" localSheetId="22">'比较法-住宅 (联排)'!$B$109:$M$109</definedName>
    <definedName name="住宅公共部分装修">'比较法-住宅'!$B$109:$M$109</definedName>
    <definedName name="住宅基础设施水平" localSheetId="23">'比较法-住宅 (叠拼)'!$B$116:$M$116</definedName>
    <definedName name="住宅基础设施水平" localSheetId="22">'比较法-住宅 (联排)'!$B$116:$M$116</definedName>
    <definedName name="住宅基础设施水平">'比较法-住宅'!$B$116:$M$116</definedName>
    <definedName name="住宅建筑结构" localSheetId="23">'比较法-住宅 (叠拼)'!$B$105:$M$105</definedName>
    <definedName name="住宅建筑结构" localSheetId="22">'比较法-住宅 (联排)'!$B$105:$M$105</definedName>
    <definedName name="住宅建筑结构">'比较法-住宅'!$B$105:$M$105</definedName>
    <definedName name="住宅建筑类型" localSheetId="23">'比较法-住宅 (叠拼)'!$B$100:$M$100</definedName>
    <definedName name="住宅建筑类型" localSheetId="22">'比较法-住宅 (联排)'!$B$100:$M$100</definedName>
    <definedName name="住宅建筑类型">'比较法-住宅'!$B$100:$M$100</definedName>
    <definedName name="住宅建筑品质" localSheetId="23">'比较法-住宅 (叠拼)'!$B$107:$M$107</definedName>
    <definedName name="住宅建筑品质" localSheetId="22">'比较法-住宅 (联排)'!$B$107:$M$107</definedName>
    <definedName name="住宅建筑品质">'比较法-住宅'!$B$107:$M$107</definedName>
    <definedName name="住宅交易情况" localSheetId="23">'比较法-住宅 (叠拼)'!$A$61:$M$61</definedName>
    <definedName name="住宅交易情况" localSheetId="22">'比较法-住宅 (联排)'!$A$61:$M$61</definedName>
    <definedName name="住宅交易情况">'比较法-住宅'!$A$61:$M$61</definedName>
    <definedName name="住宅楼层" localSheetId="23">'比较法-住宅 (叠拼)'!$B$86:$M$86</definedName>
    <definedName name="住宅楼层" localSheetId="22">'比较法-住宅 (联排)'!$B$86:$M$86</definedName>
    <definedName name="住宅楼层">'比较法-住宅'!$B$86:$M$86</definedName>
    <definedName name="住宅内部装修" localSheetId="23">'比较法-住宅 (叠拼)'!$B$122:$M$122</definedName>
    <definedName name="住宅内部装修" localSheetId="22">'比较法-住宅 (联排)'!$B$122:$M$122</definedName>
    <definedName name="住宅内部装修">'比较法-住宅'!$B$122:$M$122</definedName>
    <definedName name="住宅物业管理" localSheetId="23">'比较法-住宅 (叠拼)'!$B$114:$M$114</definedName>
    <definedName name="住宅物业管理" localSheetId="22">'比较法-住宅 (联排)'!$B$114:$M$114</definedName>
    <definedName name="住宅物业管理">'比较法-住宅'!$B$114:$M$114</definedName>
    <definedName name="住宅用途" localSheetId="23">'比较法-住宅 (叠拼)'!$B$63:$M$63</definedName>
    <definedName name="住宅用途" localSheetId="22">'比较法-住宅 (联排)'!$B$63:$M$63</definedName>
    <definedName name="住宅用途">'比较法-住宅'!$B$63:$M$63</definedName>
    <definedName name="住宅主力户型面积" localSheetId="23">'比较法-住宅 (叠拼)'!$B$120:$M$120</definedName>
    <definedName name="住宅主力户型面积" localSheetId="22">'比较法-住宅 (联排)'!$B$120:$M$120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2" i="3" l="1"/>
  <c r="I13" i="3"/>
  <c r="G1" i="80"/>
  <c r="F6" i="80"/>
  <c r="F8" i="80"/>
  <c r="F7" i="80"/>
  <c r="F9" i="80"/>
  <c r="C6" i="80"/>
  <c r="F4" i="73"/>
  <c r="I1" i="73"/>
  <c r="B39" i="1"/>
  <c r="F11" i="80"/>
  <c r="C10" i="80"/>
  <c r="C5" i="80"/>
  <c r="C32" i="80"/>
  <c r="K10" i="1"/>
  <c r="M10" i="1"/>
  <c r="F19" i="6"/>
  <c r="E19" i="6"/>
  <c r="BB13" i="3"/>
  <c r="BA13" i="3"/>
  <c r="BB22" i="3"/>
  <c r="BC22" i="3"/>
  <c r="BD22" i="3"/>
  <c r="BE22" i="3"/>
  <c r="BF22" i="3"/>
  <c r="BG22" i="3"/>
  <c r="BH22" i="3"/>
  <c r="BI22" i="3"/>
  <c r="BJ22" i="3"/>
  <c r="BK22" i="3"/>
  <c r="BA22" i="3"/>
  <c r="BA5" i="3"/>
  <c r="E24" i="6"/>
  <c r="F27" i="6"/>
  <c r="E27" i="6"/>
  <c r="BQ22" i="3"/>
  <c r="BQ5" i="3"/>
  <c r="BS22" i="3"/>
  <c r="BS5" i="3"/>
  <c r="F28" i="6"/>
  <c r="BR22" i="3"/>
  <c r="BR5" i="3"/>
  <c r="BT22" i="3"/>
  <c r="BT5" i="3"/>
  <c r="G28" i="6"/>
  <c r="E28" i="6"/>
  <c r="K23" i="6"/>
  <c r="S10" i="1"/>
  <c r="T10" i="1"/>
  <c r="C14" i="80"/>
  <c r="C15" i="80"/>
  <c r="F16" i="80"/>
  <c r="C16" i="80"/>
  <c r="F43" i="80"/>
  <c r="C17" i="80"/>
  <c r="C18" i="80"/>
  <c r="C19" i="80"/>
  <c r="C20" i="80"/>
  <c r="D5" i="73"/>
  <c r="G1" i="73"/>
  <c r="B40" i="1"/>
  <c r="F24" i="80"/>
  <c r="C23" i="80"/>
  <c r="F26" i="80"/>
  <c r="C26" i="80"/>
  <c r="C24" i="80"/>
  <c r="C27" i="80"/>
  <c r="C29" i="80"/>
  <c r="C33" i="80"/>
  <c r="AZ13" i="3"/>
  <c r="BM22" i="3"/>
  <c r="BN22" i="3"/>
  <c r="BO22" i="3"/>
  <c r="BP22" i="3"/>
  <c r="BL22" i="3"/>
  <c r="AZ22" i="3"/>
  <c r="AZ5" i="3"/>
  <c r="H13" i="3"/>
  <c r="G13" i="3"/>
  <c r="H22" i="3"/>
  <c r="G22" i="3"/>
  <c r="G5" i="3"/>
  <c r="B3" i="3"/>
  <c r="AY6" i="3"/>
  <c r="D3" i="6"/>
  <c r="E3" i="6"/>
  <c r="D23" i="6"/>
  <c r="L23" i="6"/>
  <c r="M23" i="6"/>
  <c r="I23" i="6"/>
  <c r="H23" i="6"/>
  <c r="R23" i="6"/>
  <c r="R10" i="1"/>
  <c r="F35" i="80"/>
  <c r="C34" i="80"/>
  <c r="C31" i="80"/>
  <c r="F36" i="80"/>
  <c r="C36" i="80"/>
  <c r="F13" i="80"/>
  <c r="C13" i="80"/>
  <c r="F37" i="80"/>
  <c r="C37" i="80"/>
  <c r="F38" i="80"/>
  <c r="C38" i="80"/>
  <c r="C30" i="80"/>
  <c r="C39" i="80"/>
  <c r="F42" i="80"/>
  <c r="F40" i="80"/>
  <c r="L48" i="80"/>
  <c r="J53" i="80"/>
  <c r="F1" i="80"/>
  <c r="AE10" i="1"/>
  <c r="F41" i="80"/>
  <c r="C40" i="80"/>
  <c r="M6" i="80"/>
  <c r="M8" i="80"/>
  <c r="M7" i="80"/>
  <c r="M9" i="80"/>
  <c r="J6" i="80"/>
  <c r="M11" i="80"/>
  <c r="J10" i="80"/>
  <c r="J5" i="80"/>
  <c r="J26" i="80"/>
  <c r="J29" i="80"/>
  <c r="J60" i="80"/>
  <c r="L46" i="80"/>
  <c r="B2" i="80"/>
  <c r="G8" i="12"/>
  <c r="B3" i="80"/>
  <c r="G6" i="12"/>
  <c r="O17" i="3"/>
  <c r="G23" i="6"/>
  <c r="E23" i="6"/>
  <c r="BE17" i="3"/>
  <c r="BA17" i="3"/>
  <c r="F15" i="80"/>
  <c r="F17" i="80"/>
  <c r="F18" i="80"/>
  <c r="F20" i="80"/>
  <c r="F23" i="80"/>
  <c r="F21" i="80"/>
  <c r="F28" i="80"/>
  <c r="C28" i="80"/>
  <c r="F32" i="80"/>
  <c r="F33" i="80"/>
  <c r="F34" i="80"/>
  <c r="G21" i="3"/>
  <c r="H17" i="3"/>
  <c r="G17" i="3"/>
  <c r="AT5" i="3"/>
  <c r="AZ17" i="3"/>
  <c r="D22" i="6"/>
  <c r="K22" i="6"/>
  <c r="L22" i="6"/>
  <c r="M22" i="6"/>
  <c r="I22" i="6"/>
  <c r="H22" i="6"/>
  <c r="R22" i="6"/>
  <c r="R9" i="1"/>
  <c r="G1" i="15"/>
  <c r="L48" i="15"/>
  <c r="J53" i="15"/>
  <c r="F1" i="15"/>
  <c r="AE9" i="1"/>
  <c r="C83" i="80"/>
  <c r="C82" i="80"/>
  <c r="C76" i="80"/>
  <c r="C75" i="80"/>
  <c r="C80" i="80"/>
  <c r="C79" i="80"/>
  <c r="Q65" i="80"/>
  <c r="M47" i="80"/>
  <c r="J50" i="80"/>
  <c r="J51" i="80"/>
  <c r="L60" i="80"/>
  <c r="Q66" i="80"/>
  <c r="Q75" i="80"/>
  <c r="L47" i="80"/>
  <c r="M59" i="80"/>
  <c r="L59" i="80"/>
  <c r="Q74" i="80"/>
  <c r="K59" i="80"/>
  <c r="P74" i="80"/>
  <c r="L58" i="80"/>
  <c r="Q73" i="80"/>
  <c r="Q72" i="80"/>
  <c r="Q71" i="80"/>
  <c r="F71" i="80"/>
  <c r="F51" i="80"/>
  <c r="F50" i="80"/>
  <c r="C49" i="80"/>
  <c r="C53" i="80"/>
  <c r="C48" i="80"/>
  <c r="F60" i="80"/>
  <c r="C60" i="80"/>
  <c r="C57" i="80"/>
  <c r="F61" i="80"/>
  <c r="C61" i="80"/>
  <c r="F62" i="80"/>
  <c r="F63" i="80"/>
  <c r="C62" i="80"/>
  <c r="C59" i="80"/>
  <c r="F64" i="80"/>
  <c r="C64" i="80"/>
  <c r="C56" i="80"/>
  <c r="F65" i="80"/>
  <c r="C65" i="80"/>
  <c r="F66" i="80"/>
  <c r="C66" i="80"/>
  <c r="C58" i="80"/>
  <c r="C67" i="80"/>
  <c r="F68" i="80"/>
  <c r="F69" i="80"/>
  <c r="C68" i="80"/>
  <c r="C71" i="80"/>
  <c r="Q70" i="80"/>
  <c r="Q69" i="80"/>
  <c r="Q68" i="80"/>
  <c r="L51" i="80"/>
  <c r="Q67" i="80"/>
  <c r="Q56" i="80"/>
  <c r="Q57" i="80"/>
  <c r="Q62" i="80"/>
  <c r="Q61" i="80"/>
  <c r="P61" i="80"/>
  <c r="Q60" i="80"/>
  <c r="J57" i="80"/>
  <c r="J55" i="80"/>
  <c r="J58" i="80"/>
  <c r="J59" i="80"/>
  <c r="Q59" i="80"/>
  <c r="N59" i="80"/>
  <c r="F59" i="80"/>
  <c r="Q58" i="80"/>
  <c r="L57" i="80"/>
  <c r="L56" i="80"/>
  <c r="I54" i="80"/>
  <c r="Q47" i="80"/>
  <c r="Q48" i="80"/>
  <c r="Q53" i="80"/>
  <c r="Q52" i="80"/>
  <c r="Q51" i="80"/>
  <c r="Q50" i="80"/>
  <c r="Q49" i="80"/>
  <c r="D46" i="80"/>
  <c r="C46" i="80"/>
  <c r="C43" i="80"/>
  <c r="F31" i="80"/>
  <c r="M29" i="80"/>
  <c r="M28" i="80"/>
  <c r="M27" i="80"/>
  <c r="M26" i="80"/>
  <c r="M18" i="80"/>
  <c r="J18" i="80"/>
  <c r="M19" i="80"/>
  <c r="J19" i="80"/>
  <c r="M20" i="80"/>
  <c r="M21" i="80"/>
  <c r="J20" i="80"/>
  <c r="J17" i="80"/>
  <c r="J14" i="80"/>
  <c r="M22" i="80"/>
  <c r="J22" i="80"/>
  <c r="J15" i="80"/>
  <c r="J13" i="80"/>
  <c r="M23" i="80"/>
  <c r="J23" i="80"/>
  <c r="M24" i="80"/>
  <c r="J24" i="80"/>
  <c r="J16" i="80"/>
  <c r="J25" i="80"/>
  <c r="D24" i="80"/>
  <c r="D23" i="80"/>
  <c r="D22" i="80"/>
  <c r="M17" i="80"/>
  <c r="F6" i="15"/>
  <c r="F8" i="15"/>
  <c r="K9" i="1"/>
  <c r="F7" i="15"/>
  <c r="F9" i="15"/>
  <c r="C6" i="15"/>
  <c r="F11" i="15"/>
  <c r="C10" i="15"/>
  <c r="C5" i="15"/>
  <c r="C32" i="15"/>
  <c r="M9" i="1"/>
  <c r="S9" i="1"/>
  <c r="T9" i="1"/>
  <c r="C14" i="15"/>
  <c r="C15" i="15"/>
  <c r="F16" i="15"/>
  <c r="C16" i="15"/>
  <c r="F43" i="15"/>
  <c r="C17" i="15"/>
  <c r="C18" i="15"/>
  <c r="C19" i="15"/>
  <c r="C20" i="15"/>
  <c r="F24" i="15"/>
  <c r="C23" i="15"/>
  <c r="F26" i="15"/>
  <c r="C26" i="15"/>
  <c r="C24" i="15"/>
  <c r="C27" i="15"/>
  <c r="C29" i="15"/>
  <c r="C33" i="15"/>
  <c r="F35" i="15"/>
  <c r="C34" i="15"/>
  <c r="C31"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L46" i="15"/>
  <c r="B2" i="15"/>
  <c r="F8" i="12"/>
  <c r="B3" i="15"/>
  <c r="F6" i="12"/>
  <c r="V47" i="79"/>
  <c r="V48" i="79"/>
  <c r="R49" i="79"/>
  <c r="C49" i="79"/>
  <c r="D3" i="79"/>
  <c r="B2" i="79"/>
  <c r="E8" i="12"/>
  <c r="B3" i="79"/>
  <c r="E6" i="12"/>
  <c r="J140" i="79"/>
  <c r="C145" i="79"/>
  <c r="K139" i="79"/>
  <c r="K145" i="79"/>
  <c r="K144" i="79"/>
  <c r="K143" i="79"/>
  <c r="J142" i="79"/>
  <c r="K141" i="79"/>
  <c r="B130" i="79"/>
  <c r="B128" i="79"/>
  <c r="B126" i="79"/>
  <c r="D125" i="79"/>
  <c r="E125" i="79"/>
  <c r="F125" i="79"/>
  <c r="G125" i="79"/>
  <c r="D123" i="79"/>
  <c r="E123" i="79"/>
  <c r="F123" i="79"/>
  <c r="G123" i="79"/>
  <c r="H123" i="79"/>
  <c r="I123" i="79"/>
  <c r="J123" i="79"/>
  <c r="K123" i="79"/>
  <c r="L123" i="79"/>
  <c r="M123" i="79"/>
  <c r="D119" i="79"/>
  <c r="E119" i="79"/>
  <c r="F119" i="79"/>
  <c r="G119" i="79"/>
  <c r="H119" i="79"/>
  <c r="I119" i="79"/>
  <c r="J119" i="79"/>
  <c r="K119" i="79"/>
  <c r="L119" i="79"/>
  <c r="M119" i="79"/>
  <c r="D117" i="79"/>
  <c r="E117" i="79"/>
  <c r="F117" i="79"/>
  <c r="G117" i="79"/>
  <c r="D115" i="79"/>
  <c r="E115" i="79"/>
  <c r="F115" i="79"/>
  <c r="G115" i="79"/>
  <c r="H115" i="79"/>
  <c r="I115" i="79"/>
  <c r="J115" i="79"/>
  <c r="K115" i="79"/>
  <c r="L115" i="79"/>
  <c r="M115" i="79"/>
  <c r="D113" i="79"/>
  <c r="E113" i="79"/>
  <c r="F113" i="79"/>
  <c r="G113" i="79"/>
  <c r="H113" i="79"/>
  <c r="H111" i="79"/>
  <c r="G111" i="79"/>
  <c r="F111" i="79"/>
  <c r="E111" i="79"/>
  <c r="D111" i="79"/>
  <c r="C111" i="79"/>
  <c r="D110" i="79"/>
  <c r="E110" i="79"/>
  <c r="F110" i="79"/>
  <c r="G110" i="79"/>
  <c r="H110" i="79"/>
  <c r="I110" i="79"/>
  <c r="J110" i="79"/>
  <c r="K110" i="79"/>
  <c r="L110" i="79"/>
  <c r="M110"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B90" i="79"/>
  <c r="D89" i="79"/>
  <c r="E89" i="79"/>
  <c r="F89" i="79"/>
  <c r="G89" i="79"/>
  <c r="H89" i="79"/>
  <c r="I89" i="79"/>
  <c r="J89" i="79"/>
  <c r="K89" i="79"/>
  <c r="L89" i="79"/>
  <c r="M89" i="79"/>
  <c r="M87" i="79"/>
  <c r="L87" i="79"/>
  <c r="K87" i="79"/>
  <c r="J87" i="79"/>
  <c r="I87" i="79"/>
  <c r="H87" i="79"/>
  <c r="G87" i="79"/>
  <c r="F87" i="79"/>
  <c r="E87" i="79"/>
  <c r="D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D66" i="79"/>
  <c r="E66" i="79"/>
  <c r="F66" i="79"/>
  <c r="G66" i="79"/>
  <c r="H66" i="79"/>
  <c r="I66" i="79"/>
  <c r="C63" i="79"/>
  <c r="C7" i="79"/>
  <c r="C58" i="79"/>
  <c r="D58" i="79"/>
  <c r="E58" i="79"/>
  <c r="F58" i="79"/>
  <c r="G58" i="79"/>
  <c r="H58" i="79"/>
  <c r="I58" i="79"/>
  <c r="J58" i="79"/>
  <c r="K58" i="79"/>
  <c r="L58" i="79"/>
  <c r="M58" i="79"/>
  <c r="N58" i="79"/>
  <c r="O58" i="79"/>
  <c r="I54" i="79"/>
  <c r="J54" i="79"/>
  <c r="G54" i="79"/>
  <c r="H54" i="79"/>
  <c r="E54" i="79"/>
  <c r="F54" i="79"/>
  <c r="I7" i="79"/>
  <c r="J7" i="79"/>
  <c r="AC7" i="79"/>
  <c r="J8" i="79"/>
  <c r="AC8" i="79"/>
  <c r="J9" i="79"/>
  <c r="AC9" i="79"/>
  <c r="J10" i="79"/>
  <c r="AC10" i="79"/>
  <c r="J11" i="79"/>
  <c r="AC11" i="79"/>
  <c r="J12" i="79"/>
  <c r="AC12" i="79"/>
  <c r="J13" i="79"/>
  <c r="AC13" i="79"/>
  <c r="J14" i="79"/>
  <c r="AC14" i="79"/>
  <c r="J15" i="79"/>
  <c r="AC15" i="79"/>
  <c r="J17" i="79"/>
  <c r="AC17" i="79"/>
  <c r="J19" i="79"/>
  <c r="AC19" i="79"/>
  <c r="J21" i="79"/>
  <c r="AC21" i="79"/>
  <c r="J23" i="79"/>
  <c r="AC23" i="79"/>
  <c r="J25" i="79"/>
  <c r="AC25" i="79"/>
  <c r="J26" i="79"/>
  <c r="AC26" i="79"/>
  <c r="J27" i="79"/>
  <c r="AC27" i="79"/>
  <c r="J28" i="79"/>
  <c r="AC28" i="79"/>
  <c r="J29" i="79"/>
  <c r="AC29" i="79"/>
  <c r="J30" i="79"/>
  <c r="AC30" i="79"/>
  <c r="J31" i="79"/>
  <c r="AC31" i="79"/>
  <c r="J32" i="79"/>
  <c r="AC32" i="79"/>
  <c r="J33" i="79"/>
  <c r="AC33" i="79"/>
  <c r="J34" i="79"/>
  <c r="AC34" i="79"/>
  <c r="J35" i="79"/>
  <c r="AC35" i="79"/>
  <c r="J36" i="79"/>
  <c r="AC36" i="79"/>
  <c r="J37" i="79"/>
  <c r="AC37" i="79"/>
  <c r="J38" i="79"/>
  <c r="AC38" i="79"/>
  <c r="J39" i="79"/>
  <c r="AC39" i="79"/>
  <c r="J40" i="79"/>
  <c r="AC40" i="79"/>
  <c r="J41" i="79"/>
  <c r="AC41" i="79"/>
  <c r="J42" i="79"/>
  <c r="AC42" i="79"/>
  <c r="J43" i="79"/>
  <c r="AC43" i="79"/>
  <c r="J44" i="79"/>
  <c r="AC44" i="79"/>
  <c r="J45" i="79"/>
  <c r="AC45" i="79"/>
  <c r="J46" i="79"/>
  <c r="AC46" i="79"/>
  <c r="I48" i="79"/>
  <c r="R47" i="79"/>
  <c r="E7" i="79"/>
  <c r="F7" i="79"/>
  <c r="AA7" i="79"/>
  <c r="F8" i="79"/>
  <c r="AA8" i="79"/>
  <c r="F9" i="79"/>
  <c r="AA9" i="79"/>
  <c r="F10" i="79"/>
  <c r="AA10" i="79"/>
  <c r="F11" i="79"/>
  <c r="AA11" i="79"/>
  <c r="F12" i="79"/>
  <c r="AA12" i="79"/>
  <c r="F13" i="79"/>
  <c r="AA13" i="79"/>
  <c r="F14" i="79"/>
  <c r="AA14" i="79"/>
  <c r="F15" i="79"/>
  <c r="AA15" i="79"/>
  <c r="F17" i="79"/>
  <c r="AA17" i="79"/>
  <c r="F19" i="79"/>
  <c r="AA19" i="79"/>
  <c r="F21" i="79"/>
  <c r="AA21" i="79"/>
  <c r="F23" i="79"/>
  <c r="AA23" i="79"/>
  <c r="F25" i="79"/>
  <c r="AA25" i="79"/>
  <c r="F26" i="79"/>
  <c r="AA26" i="79"/>
  <c r="F27" i="79"/>
  <c r="AA27" i="79"/>
  <c r="F28" i="79"/>
  <c r="AA28" i="79"/>
  <c r="F29" i="79"/>
  <c r="AA29" i="79"/>
  <c r="F30" i="79"/>
  <c r="AA30" i="79"/>
  <c r="F31" i="79"/>
  <c r="AA31" i="79"/>
  <c r="F32" i="79"/>
  <c r="AA32" i="79"/>
  <c r="F33" i="79"/>
  <c r="AA33" i="79"/>
  <c r="F34" i="79"/>
  <c r="AA34" i="79"/>
  <c r="F35" i="79"/>
  <c r="AA35" i="79"/>
  <c r="F36" i="79"/>
  <c r="AA36" i="79"/>
  <c r="F37" i="79"/>
  <c r="AA37" i="79"/>
  <c r="F38" i="79"/>
  <c r="AA38" i="79"/>
  <c r="F39" i="79"/>
  <c r="AA39" i="79"/>
  <c r="F40" i="79"/>
  <c r="AA40" i="79"/>
  <c r="F41" i="79"/>
  <c r="AA41" i="79"/>
  <c r="F42" i="79"/>
  <c r="AA42" i="79"/>
  <c r="F43" i="79"/>
  <c r="AA43" i="79"/>
  <c r="F44" i="79"/>
  <c r="AA44" i="79"/>
  <c r="F45" i="79"/>
  <c r="AA45" i="79"/>
  <c r="F46" i="79"/>
  <c r="AA46" i="79"/>
  <c r="R48" i="79"/>
  <c r="E48" i="79"/>
  <c r="I53" i="79"/>
  <c r="J53" i="79"/>
  <c r="T47" i="79"/>
  <c r="G7" i="79"/>
  <c r="H7" i="79"/>
  <c r="AB7" i="79"/>
  <c r="H8" i="79"/>
  <c r="AB8" i="79"/>
  <c r="H9" i="79"/>
  <c r="AB9" i="79"/>
  <c r="H10" i="79"/>
  <c r="AB10" i="79"/>
  <c r="H11" i="79"/>
  <c r="AB11" i="79"/>
  <c r="H12" i="79"/>
  <c r="AB12" i="79"/>
  <c r="H13" i="79"/>
  <c r="AB13" i="79"/>
  <c r="H14" i="79"/>
  <c r="AB14" i="79"/>
  <c r="H15" i="79"/>
  <c r="AB15" i="79"/>
  <c r="H17" i="79"/>
  <c r="AB17" i="79"/>
  <c r="H19" i="79"/>
  <c r="AB19" i="79"/>
  <c r="H21" i="79"/>
  <c r="AB21" i="79"/>
  <c r="H23" i="79"/>
  <c r="AB23" i="79"/>
  <c r="H25" i="79"/>
  <c r="AB25" i="79"/>
  <c r="H26" i="79"/>
  <c r="AB26" i="79"/>
  <c r="H27" i="79"/>
  <c r="AB27" i="79"/>
  <c r="H28" i="79"/>
  <c r="AB28" i="79"/>
  <c r="H29" i="79"/>
  <c r="AB29" i="79"/>
  <c r="H30" i="79"/>
  <c r="AB30" i="79"/>
  <c r="H31" i="79"/>
  <c r="AB31" i="79"/>
  <c r="H32" i="79"/>
  <c r="AB32" i="79"/>
  <c r="H33" i="79"/>
  <c r="AB33" i="79"/>
  <c r="H34" i="79"/>
  <c r="AB34" i="79"/>
  <c r="H35" i="79"/>
  <c r="AB35" i="79"/>
  <c r="H36" i="79"/>
  <c r="AB36" i="79"/>
  <c r="H37" i="79"/>
  <c r="AB37" i="79"/>
  <c r="H38" i="79"/>
  <c r="AB38" i="79"/>
  <c r="H39" i="79"/>
  <c r="AB39" i="79"/>
  <c r="H40" i="79"/>
  <c r="AB40" i="79"/>
  <c r="H41" i="79"/>
  <c r="AB41" i="79"/>
  <c r="H42" i="79"/>
  <c r="AB42" i="79"/>
  <c r="H43" i="79"/>
  <c r="AB43" i="79"/>
  <c r="H44" i="79"/>
  <c r="AB44" i="79"/>
  <c r="H45" i="79"/>
  <c r="AB45" i="79"/>
  <c r="H46" i="79"/>
  <c r="AB46" i="79"/>
  <c r="T48" i="79"/>
  <c r="G48" i="79"/>
  <c r="G53" i="79"/>
  <c r="H53" i="79"/>
  <c r="E53" i="79"/>
  <c r="F53" i="79"/>
  <c r="I52" i="79"/>
  <c r="J52" i="79"/>
  <c r="G52" i="79"/>
  <c r="H52" i="79"/>
  <c r="E52" i="79"/>
  <c r="F52" i="79"/>
  <c r="P49" i="79"/>
  <c r="P48" i="79"/>
  <c r="C48" i="79"/>
  <c r="P47" i="79"/>
  <c r="Q46" i="79"/>
  <c r="Z46" i="79"/>
  <c r="W46" i="79"/>
  <c r="U46" i="79"/>
  <c r="S46" i="79"/>
  <c r="Q45" i="79"/>
  <c r="Z45" i="79"/>
  <c r="W45" i="79"/>
  <c r="U45" i="79"/>
  <c r="S45" i="79"/>
  <c r="Q44" i="79"/>
  <c r="Z44" i="79"/>
  <c r="W44" i="79"/>
  <c r="U44" i="79"/>
  <c r="S44" i="79"/>
  <c r="Q43" i="79"/>
  <c r="Z43" i="79"/>
  <c r="W43" i="79"/>
  <c r="U43" i="79"/>
  <c r="S43" i="79"/>
  <c r="Q42" i="79"/>
  <c r="Z42" i="79"/>
  <c r="W42" i="79"/>
  <c r="U42" i="79"/>
  <c r="S42" i="79"/>
  <c r="Q41" i="79"/>
  <c r="Z41" i="79"/>
  <c r="W41" i="79"/>
  <c r="U41" i="79"/>
  <c r="S41" i="79"/>
  <c r="Q40" i="79"/>
  <c r="Z40" i="79"/>
  <c r="W40" i="79"/>
  <c r="U40" i="79"/>
  <c r="S40" i="79"/>
  <c r="Q39" i="79"/>
  <c r="Z39" i="79"/>
  <c r="W39" i="79"/>
  <c r="U39" i="79"/>
  <c r="S39" i="79"/>
  <c r="Q38" i="79"/>
  <c r="Z38" i="79"/>
  <c r="W38" i="79"/>
  <c r="U38" i="79"/>
  <c r="S38" i="79"/>
  <c r="Q37" i="79"/>
  <c r="Z37" i="79"/>
  <c r="W37" i="79"/>
  <c r="U37" i="79"/>
  <c r="S37" i="79"/>
  <c r="Q36" i="79"/>
  <c r="Z36" i="79"/>
  <c r="W36" i="79"/>
  <c r="U36" i="79"/>
  <c r="S36" i="79"/>
  <c r="Q35" i="79"/>
  <c r="Z35" i="79"/>
  <c r="W35" i="79"/>
  <c r="U35" i="79"/>
  <c r="S35" i="79"/>
  <c r="Q34" i="79"/>
  <c r="Z34" i="79"/>
  <c r="W34" i="79"/>
  <c r="U34" i="79"/>
  <c r="S34" i="79"/>
  <c r="Q33" i="79"/>
  <c r="Z33" i="79"/>
  <c r="W33" i="79"/>
  <c r="U33" i="79"/>
  <c r="S33" i="79"/>
  <c r="Q32" i="79"/>
  <c r="Z32" i="79"/>
  <c r="W32" i="79"/>
  <c r="U32" i="79"/>
  <c r="S32" i="79"/>
  <c r="Q31" i="79"/>
  <c r="Z31" i="79"/>
  <c r="W31" i="79"/>
  <c r="U31" i="79"/>
  <c r="S31" i="79"/>
  <c r="Q30" i="79"/>
  <c r="Z30" i="79"/>
  <c r="W30" i="79"/>
  <c r="U30" i="79"/>
  <c r="S30" i="79"/>
  <c r="Q29" i="79"/>
  <c r="Z29" i="79"/>
  <c r="W29" i="79"/>
  <c r="U29" i="79"/>
  <c r="S29" i="79"/>
  <c r="Q28" i="79"/>
  <c r="Z28" i="79"/>
  <c r="W28" i="79"/>
  <c r="U28" i="79"/>
  <c r="S28" i="79"/>
  <c r="Q27" i="79"/>
  <c r="Z27" i="79"/>
  <c r="W27" i="79"/>
  <c r="U27" i="79"/>
  <c r="S27" i="79"/>
  <c r="Q26" i="79"/>
  <c r="Z26" i="79"/>
  <c r="W26" i="79"/>
  <c r="U26" i="79"/>
  <c r="S26" i="79"/>
  <c r="Q25" i="79"/>
  <c r="Z25" i="79"/>
  <c r="W25" i="79"/>
  <c r="U25" i="79"/>
  <c r="S25" i="79"/>
  <c r="Q23" i="79"/>
  <c r="Z23" i="79"/>
  <c r="W23" i="79"/>
  <c r="U23" i="79"/>
  <c r="S23" i="79"/>
  <c r="C23" i="79"/>
  <c r="Q21" i="79"/>
  <c r="Z21" i="79"/>
  <c r="W21" i="79"/>
  <c r="U21" i="79"/>
  <c r="S21" i="79"/>
  <c r="C21" i="79"/>
  <c r="Q19" i="79"/>
  <c r="Z19" i="79"/>
  <c r="W19" i="79"/>
  <c r="U19" i="79"/>
  <c r="S19" i="79"/>
  <c r="C19" i="79"/>
  <c r="Q17" i="79"/>
  <c r="Z17" i="79"/>
  <c r="W17" i="79"/>
  <c r="U17" i="79"/>
  <c r="S17" i="79"/>
  <c r="C17" i="79"/>
  <c r="Q15" i="79"/>
  <c r="Z15" i="79"/>
  <c r="W15" i="79"/>
  <c r="U15" i="79"/>
  <c r="S15" i="79"/>
  <c r="C15" i="79"/>
  <c r="Q14" i="79"/>
  <c r="Z14" i="79"/>
  <c r="W14" i="79"/>
  <c r="U14" i="79"/>
  <c r="S14" i="79"/>
  <c r="Q13" i="79"/>
  <c r="Z13" i="79"/>
  <c r="W13" i="79"/>
  <c r="U13" i="79"/>
  <c r="S13" i="79"/>
  <c r="Q12" i="79"/>
  <c r="Z12" i="79"/>
  <c r="W12" i="79"/>
  <c r="U12" i="79"/>
  <c r="S12" i="79"/>
  <c r="Q11" i="79"/>
  <c r="Z11" i="79"/>
  <c r="W11" i="79"/>
  <c r="U11" i="79"/>
  <c r="S11" i="79"/>
  <c r="Q10" i="79"/>
  <c r="Z10" i="79"/>
  <c r="W10" i="79"/>
  <c r="U10" i="79"/>
  <c r="S10" i="79"/>
  <c r="Q9" i="79"/>
  <c r="Z9" i="79"/>
  <c r="W9" i="79"/>
  <c r="U9" i="79"/>
  <c r="S9" i="79"/>
  <c r="W8" i="79"/>
  <c r="U8" i="79"/>
  <c r="S8" i="79"/>
  <c r="W7" i="79"/>
  <c r="U7" i="79"/>
  <c r="S7" i="79"/>
  <c r="D2" i="79"/>
  <c r="D3" i="78"/>
  <c r="B2" i="78"/>
  <c r="D8" i="12"/>
  <c r="B3" i="78"/>
  <c r="D6" i="12"/>
  <c r="J140" i="78"/>
  <c r="C145" i="78"/>
  <c r="K139" i="78"/>
  <c r="K145" i="78"/>
  <c r="K144" i="78"/>
  <c r="K143" i="78"/>
  <c r="J142" i="78"/>
  <c r="K141" i="78"/>
  <c r="B130" i="78"/>
  <c r="B128" i="78"/>
  <c r="B126" i="78"/>
  <c r="D125" i="78"/>
  <c r="E125" i="78"/>
  <c r="F125" i="78"/>
  <c r="G125" i="78"/>
  <c r="D123" i="78"/>
  <c r="E123" i="78"/>
  <c r="F123" i="78"/>
  <c r="G123" i="78"/>
  <c r="H123" i="78"/>
  <c r="I123" i="78"/>
  <c r="J123" i="78"/>
  <c r="K123" i="78"/>
  <c r="L123" i="78"/>
  <c r="M123" i="78"/>
  <c r="D119" i="78"/>
  <c r="E119" i="78"/>
  <c r="F119" i="78"/>
  <c r="G119" i="78"/>
  <c r="H119" i="78"/>
  <c r="I119" i="78"/>
  <c r="J119" i="78"/>
  <c r="K119" i="78"/>
  <c r="L119" i="78"/>
  <c r="M119" i="78"/>
  <c r="D117" i="78"/>
  <c r="E117" i="78"/>
  <c r="F117" i="78"/>
  <c r="G117" i="78"/>
  <c r="D115" i="78"/>
  <c r="E115" i="78"/>
  <c r="F115" i="78"/>
  <c r="G115" i="78"/>
  <c r="H115" i="78"/>
  <c r="I115" i="78"/>
  <c r="J115" i="78"/>
  <c r="K115" i="78"/>
  <c r="L115" i="78"/>
  <c r="M115" i="78"/>
  <c r="D113" i="78"/>
  <c r="E113" i="78"/>
  <c r="F113" i="78"/>
  <c r="G113" i="78"/>
  <c r="H113" i="78"/>
  <c r="H111" i="78"/>
  <c r="G111" i="78"/>
  <c r="F111" i="78"/>
  <c r="E111" i="78"/>
  <c r="D111" i="78"/>
  <c r="C111" i="78"/>
  <c r="D110" i="78"/>
  <c r="E110" i="78"/>
  <c r="F110" i="78"/>
  <c r="G110" i="78"/>
  <c r="H110" i="78"/>
  <c r="I110" i="78"/>
  <c r="J110" i="78"/>
  <c r="K110" i="78"/>
  <c r="L110" i="78"/>
  <c r="M110" i="78"/>
  <c r="D108" i="78"/>
  <c r="E108" i="78"/>
  <c r="F108" i="78"/>
  <c r="G108" i="78"/>
  <c r="H108" i="78"/>
  <c r="I108" i="78"/>
  <c r="J108" i="78"/>
  <c r="K108" i="78"/>
  <c r="L108" i="78"/>
  <c r="M108" i="78"/>
  <c r="D106" i="78"/>
  <c r="E106" i="78"/>
  <c r="F106" i="78"/>
  <c r="G106" i="78"/>
  <c r="H106" i="78"/>
  <c r="I106" i="78"/>
  <c r="J106" i="78"/>
  <c r="K106" i="78"/>
  <c r="L106" i="78"/>
  <c r="M106" i="78"/>
  <c r="M102" i="78"/>
  <c r="L102" i="78"/>
  <c r="K102" i="78"/>
  <c r="J102" i="78"/>
  <c r="I102" i="78"/>
  <c r="H102" i="78"/>
  <c r="G102" i="78"/>
  <c r="F102" i="78"/>
  <c r="E102" i="78"/>
  <c r="D102" i="78"/>
  <c r="C102" i="78"/>
  <c r="D101" i="78"/>
  <c r="E101" i="78"/>
  <c r="F101" i="78"/>
  <c r="G101" i="78"/>
  <c r="H101" i="78"/>
  <c r="I101" i="78"/>
  <c r="J101" i="78"/>
  <c r="K101" i="78"/>
  <c r="L101" i="78"/>
  <c r="M101" i="78"/>
  <c r="B98" i="78"/>
  <c r="B96" i="78"/>
  <c r="B94" i="78"/>
  <c r="B92" i="78"/>
  <c r="B90" i="78"/>
  <c r="D89" i="78"/>
  <c r="E89" i="78"/>
  <c r="F89" i="78"/>
  <c r="G89" i="78"/>
  <c r="H89" i="78"/>
  <c r="I89" i="78"/>
  <c r="J89" i="78"/>
  <c r="K89" i="78"/>
  <c r="L89" i="78"/>
  <c r="M89" i="78"/>
  <c r="M87" i="78"/>
  <c r="L87" i="78"/>
  <c r="K87" i="78"/>
  <c r="J87" i="78"/>
  <c r="I87" i="78"/>
  <c r="H87" i="78"/>
  <c r="G87" i="78"/>
  <c r="F87" i="78"/>
  <c r="E87" i="78"/>
  <c r="D87" i="78"/>
  <c r="D85" i="78"/>
  <c r="E85" i="78"/>
  <c r="F85" i="78"/>
  <c r="G85" i="78"/>
  <c r="D83" i="78"/>
  <c r="E83" i="78"/>
  <c r="F83" i="78"/>
  <c r="G83" i="78"/>
  <c r="D81" i="78"/>
  <c r="E81" i="78"/>
  <c r="F81" i="78"/>
  <c r="G81" i="78"/>
  <c r="D79" i="78"/>
  <c r="E79" i="78"/>
  <c r="F79" i="78"/>
  <c r="G79" i="78"/>
  <c r="D77" i="78"/>
  <c r="E77" i="78"/>
  <c r="F77" i="78"/>
  <c r="G77" i="78"/>
  <c r="B74" i="78"/>
  <c r="B72" i="78"/>
  <c r="B70" i="78"/>
  <c r="D69" i="78"/>
  <c r="E69" i="78"/>
  <c r="F69" i="78"/>
  <c r="G69" i="78"/>
  <c r="H69" i="78"/>
  <c r="I69" i="78"/>
  <c r="J69" i="78"/>
  <c r="K69" i="78"/>
  <c r="L69" i="78"/>
  <c r="M69" i="78"/>
  <c r="M67" i="78"/>
  <c r="L67" i="78"/>
  <c r="K67" i="78"/>
  <c r="J67" i="78"/>
  <c r="I67" i="78"/>
  <c r="H67" i="78"/>
  <c r="G67" i="78"/>
  <c r="F67" i="78"/>
  <c r="E67" i="78"/>
  <c r="D67" i="78"/>
  <c r="C67" i="78"/>
  <c r="D66" i="78"/>
  <c r="E66" i="78"/>
  <c r="F66" i="78"/>
  <c r="G66" i="78"/>
  <c r="H66" i="78"/>
  <c r="I66" i="78"/>
  <c r="C63" i="78"/>
  <c r="C7" i="78"/>
  <c r="C58" i="78"/>
  <c r="D58" i="78"/>
  <c r="E58" i="78"/>
  <c r="F58" i="78"/>
  <c r="G58" i="78"/>
  <c r="H58" i="78"/>
  <c r="I58" i="78"/>
  <c r="J58" i="78"/>
  <c r="K58" i="78"/>
  <c r="L58" i="78"/>
  <c r="M58" i="78"/>
  <c r="N58" i="78"/>
  <c r="O58" i="78"/>
  <c r="I54" i="78"/>
  <c r="J54" i="78"/>
  <c r="G54" i="78"/>
  <c r="H54" i="78"/>
  <c r="E54" i="78"/>
  <c r="F54" i="78"/>
  <c r="V47" i="78"/>
  <c r="I7" i="78"/>
  <c r="J7" i="78"/>
  <c r="AC7" i="78"/>
  <c r="J8" i="78"/>
  <c r="AC8" i="78"/>
  <c r="J9" i="78"/>
  <c r="AC9" i="78"/>
  <c r="J10" i="78"/>
  <c r="AC10" i="78"/>
  <c r="J11" i="78"/>
  <c r="AC11" i="78"/>
  <c r="J12" i="78"/>
  <c r="AC12" i="78"/>
  <c r="J13" i="78"/>
  <c r="AC13" i="78"/>
  <c r="J14" i="78"/>
  <c r="AC14" i="78"/>
  <c r="J15" i="78"/>
  <c r="AC15" i="78"/>
  <c r="J17" i="78"/>
  <c r="AC17" i="78"/>
  <c r="J19" i="78"/>
  <c r="AC19" i="78"/>
  <c r="J21" i="78"/>
  <c r="AC21" i="78"/>
  <c r="J23" i="78"/>
  <c r="AC23" i="78"/>
  <c r="J25" i="78"/>
  <c r="AC25" i="78"/>
  <c r="J26" i="78"/>
  <c r="AC26" i="78"/>
  <c r="J27" i="78"/>
  <c r="AC27" i="78"/>
  <c r="J28" i="78"/>
  <c r="AC28" i="78"/>
  <c r="J29" i="78"/>
  <c r="AC29" i="78"/>
  <c r="J30" i="78"/>
  <c r="AC30" i="78"/>
  <c r="J31" i="78"/>
  <c r="AC31" i="78"/>
  <c r="J32" i="78"/>
  <c r="AC32" i="78"/>
  <c r="J33" i="78"/>
  <c r="AC33" i="78"/>
  <c r="J34" i="78"/>
  <c r="AC34" i="78"/>
  <c r="J35" i="78"/>
  <c r="AC35" i="78"/>
  <c r="J36" i="78"/>
  <c r="AC36" i="78"/>
  <c r="J37" i="78"/>
  <c r="AC37" i="78"/>
  <c r="J38" i="78"/>
  <c r="AC38" i="78"/>
  <c r="J39" i="78"/>
  <c r="AC39" i="78"/>
  <c r="J40" i="78"/>
  <c r="AC40" i="78"/>
  <c r="J41" i="78"/>
  <c r="AC41" i="78"/>
  <c r="J42" i="78"/>
  <c r="AC42" i="78"/>
  <c r="J43" i="78"/>
  <c r="AC43" i="78"/>
  <c r="J44" i="78"/>
  <c r="AC44" i="78"/>
  <c r="J45" i="78"/>
  <c r="AC45" i="78"/>
  <c r="J46" i="78"/>
  <c r="AC46" i="78"/>
  <c r="V48" i="78"/>
  <c r="I48" i="78"/>
  <c r="R47" i="78"/>
  <c r="E7" i="78"/>
  <c r="F7" i="78"/>
  <c r="AA7" i="78"/>
  <c r="F8" i="78"/>
  <c r="AA8" i="78"/>
  <c r="F9" i="78"/>
  <c r="AA9" i="78"/>
  <c r="F10" i="78"/>
  <c r="AA10" i="78"/>
  <c r="F11" i="78"/>
  <c r="AA11" i="78"/>
  <c r="F12" i="78"/>
  <c r="AA12" i="78"/>
  <c r="F13" i="78"/>
  <c r="AA13" i="78"/>
  <c r="F14" i="78"/>
  <c r="AA14" i="78"/>
  <c r="F15" i="78"/>
  <c r="AA15" i="78"/>
  <c r="F17" i="78"/>
  <c r="AA17" i="78"/>
  <c r="F19" i="78"/>
  <c r="AA19" i="78"/>
  <c r="F21" i="78"/>
  <c r="AA21" i="78"/>
  <c r="F23" i="78"/>
  <c r="AA23" i="78"/>
  <c r="F25" i="78"/>
  <c r="AA25" i="78"/>
  <c r="F26" i="78"/>
  <c r="AA26" i="78"/>
  <c r="F27" i="78"/>
  <c r="AA27" i="78"/>
  <c r="F28" i="78"/>
  <c r="AA28" i="78"/>
  <c r="F29" i="78"/>
  <c r="AA29" i="78"/>
  <c r="F30" i="78"/>
  <c r="AA30" i="78"/>
  <c r="F31" i="78"/>
  <c r="AA31" i="78"/>
  <c r="F32" i="78"/>
  <c r="AA32" i="78"/>
  <c r="F33" i="78"/>
  <c r="AA33" i="78"/>
  <c r="F34" i="78"/>
  <c r="AA34" i="78"/>
  <c r="F35" i="78"/>
  <c r="AA35" i="78"/>
  <c r="F36" i="78"/>
  <c r="AA36" i="78"/>
  <c r="F37" i="78"/>
  <c r="AA37" i="78"/>
  <c r="F38" i="78"/>
  <c r="AA38" i="78"/>
  <c r="F39" i="78"/>
  <c r="AA39" i="78"/>
  <c r="F40" i="78"/>
  <c r="AA40" i="78"/>
  <c r="F41" i="78"/>
  <c r="AA41" i="78"/>
  <c r="F42" i="78"/>
  <c r="AA42" i="78"/>
  <c r="F43" i="78"/>
  <c r="AA43" i="78"/>
  <c r="F44" i="78"/>
  <c r="AA44" i="78"/>
  <c r="F45" i="78"/>
  <c r="AA45" i="78"/>
  <c r="F46" i="78"/>
  <c r="AA46" i="78"/>
  <c r="R48" i="78"/>
  <c r="E48" i="78"/>
  <c r="I53" i="78"/>
  <c r="J53" i="78"/>
  <c r="T47" i="78"/>
  <c r="G7" i="78"/>
  <c r="H7" i="78"/>
  <c r="AB7" i="78"/>
  <c r="H8" i="78"/>
  <c r="AB8" i="78"/>
  <c r="H9" i="78"/>
  <c r="AB9" i="78"/>
  <c r="H10" i="78"/>
  <c r="AB10" i="78"/>
  <c r="H11" i="78"/>
  <c r="AB11" i="78"/>
  <c r="H12" i="78"/>
  <c r="AB12" i="78"/>
  <c r="H13" i="78"/>
  <c r="AB13" i="78"/>
  <c r="H14" i="78"/>
  <c r="AB14" i="78"/>
  <c r="H15" i="78"/>
  <c r="AB15" i="78"/>
  <c r="H17" i="78"/>
  <c r="AB17" i="78"/>
  <c r="H19" i="78"/>
  <c r="AB19" i="78"/>
  <c r="H21" i="78"/>
  <c r="AB21" i="78"/>
  <c r="H23" i="78"/>
  <c r="AB23" i="78"/>
  <c r="H25" i="78"/>
  <c r="AB25" i="78"/>
  <c r="H26" i="78"/>
  <c r="AB26" i="78"/>
  <c r="H27" i="78"/>
  <c r="AB27" i="78"/>
  <c r="H28" i="78"/>
  <c r="AB28" i="78"/>
  <c r="H29" i="78"/>
  <c r="AB29" i="78"/>
  <c r="H30" i="78"/>
  <c r="AB30" i="78"/>
  <c r="H31" i="78"/>
  <c r="AB31" i="78"/>
  <c r="H32" i="78"/>
  <c r="AB32" i="78"/>
  <c r="H33" i="78"/>
  <c r="AB33" i="78"/>
  <c r="H34" i="78"/>
  <c r="AB34" i="78"/>
  <c r="H35" i="78"/>
  <c r="AB35" i="78"/>
  <c r="H36" i="78"/>
  <c r="AB36" i="78"/>
  <c r="H37" i="78"/>
  <c r="AB37" i="78"/>
  <c r="H38" i="78"/>
  <c r="AB38" i="78"/>
  <c r="H39" i="78"/>
  <c r="AB39" i="78"/>
  <c r="H40" i="78"/>
  <c r="AB40" i="78"/>
  <c r="H41" i="78"/>
  <c r="AB41" i="78"/>
  <c r="H42" i="78"/>
  <c r="AB42" i="78"/>
  <c r="H43" i="78"/>
  <c r="AB43" i="78"/>
  <c r="H44" i="78"/>
  <c r="AB44" i="78"/>
  <c r="H45" i="78"/>
  <c r="AB45" i="78"/>
  <c r="H46" i="78"/>
  <c r="AB46" i="78"/>
  <c r="T48" i="78"/>
  <c r="G48" i="78"/>
  <c r="G53" i="78"/>
  <c r="H53" i="78"/>
  <c r="E53" i="78"/>
  <c r="F53" i="78"/>
  <c r="I52" i="78"/>
  <c r="J52" i="78"/>
  <c r="G52" i="78"/>
  <c r="H52" i="78"/>
  <c r="E52" i="78"/>
  <c r="F52" i="78"/>
  <c r="R49" i="78"/>
  <c r="P49" i="78"/>
  <c r="C49" i="78"/>
  <c r="P48" i="78"/>
  <c r="C48" i="78"/>
  <c r="P47" i="78"/>
  <c r="Q46" i="78"/>
  <c r="Z46" i="78"/>
  <c r="W46" i="78"/>
  <c r="U46" i="78"/>
  <c r="S46" i="78"/>
  <c r="Q45" i="78"/>
  <c r="Z45" i="78"/>
  <c r="W45" i="78"/>
  <c r="U45" i="78"/>
  <c r="S45" i="78"/>
  <c r="Q44" i="78"/>
  <c r="Z44" i="78"/>
  <c r="W44" i="78"/>
  <c r="U44" i="78"/>
  <c r="S44" i="78"/>
  <c r="Q43" i="78"/>
  <c r="Z43" i="78"/>
  <c r="W43" i="78"/>
  <c r="U43" i="78"/>
  <c r="S43" i="78"/>
  <c r="Q42" i="78"/>
  <c r="Z42" i="78"/>
  <c r="W42" i="78"/>
  <c r="U42" i="78"/>
  <c r="S42" i="78"/>
  <c r="Q41" i="78"/>
  <c r="Z41" i="78"/>
  <c r="W41" i="78"/>
  <c r="U41" i="78"/>
  <c r="S41" i="78"/>
  <c r="Q40" i="78"/>
  <c r="Z40" i="78"/>
  <c r="W40" i="78"/>
  <c r="U40" i="78"/>
  <c r="S40" i="78"/>
  <c r="Q39" i="78"/>
  <c r="Z39" i="78"/>
  <c r="W39" i="78"/>
  <c r="U39" i="78"/>
  <c r="S39" i="78"/>
  <c r="Q38" i="78"/>
  <c r="Z38" i="78"/>
  <c r="W38" i="78"/>
  <c r="U38" i="78"/>
  <c r="S38" i="78"/>
  <c r="Q37" i="78"/>
  <c r="Z37" i="78"/>
  <c r="W37" i="78"/>
  <c r="U37" i="78"/>
  <c r="S37" i="78"/>
  <c r="Q36" i="78"/>
  <c r="Z36" i="78"/>
  <c r="W36" i="78"/>
  <c r="U36" i="78"/>
  <c r="S36" i="78"/>
  <c r="Q35" i="78"/>
  <c r="Z35" i="78"/>
  <c r="W35" i="78"/>
  <c r="U35" i="78"/>
  <c r="S35" i="78"/>
  <c r="Q34" i="78"/>
  <c r="Z34" i="78"/>
  <c r="W34" i="78"/>
  <c r="U34" i="78"/>
  <c r="S34" i="78"/>
  <c r="Q33" i="78"/>
  <c r="Z33" i="78"/>
  <c r="W33" i="78"/>
  <c r="U33" i="78"/>
  <c r="S33" i="78"/>
  <c r="Q32" i="78"/>
  <c r="Z32" i="78"/>
  <c r="W32" i="78"/>
  <c r="U32" i="78"/>
  <c r="S32" i="78"/>
  <c r="Q31" i="78"/>
  <c r="Z31" i="78"/>
  <c r="W31" i="78"/>
  <c r="U31" i="78"/>
  <c r="S31" i="78"/>
  <c r="Q30" i="78"/>
  <c r="Z30" i="78"/>
  <c r="W30" i="78"/>
  <c r="U30" i="78"/>
  <c r="S30" i="78"/>
  <c r="Q29" i="78"/>
  <c r="Z29" i="78"/>
  <c r="W29" i="78"/>
  <c r="U29" i="78"/>
  <c r="S29" i="78"/>
  <c r="Q28" i="78"/>
  <c r="Z28" i="78"/>
  <c r="W28" i="78"/>
  <c r="U28" i="78"/>
  <c r="S28" i="78"/>
  <c r="Q27" i="78"/>
  <c r="Z27" i="78"/>
  <c r="W27" i="78"/>
  <c r="U27" i="78"/>
  <c r="S27" i="78"/>
  <c r="Q26" i="78"/>
  <c r="Z26" i="78"/>
  <c r="W26" i="78"/>
  <c r="U26" i="78"/>
  <c r="S26" i="78"/>
  <c r="Q25" i="78"/>
  <c r="Z25" i="78"/>
  <c r="W25" i="78"/>
  <c r="U25" i="78"/>
  <c r="S25" i="78"/>
  <c r="Q23" i="78"/>
  <c r="Z23" i="78"/>
  <c r="W23" i="78"/>
  <c r="U23" i="78"/>
  <c r="S23" i="78"/>
  <c r="C23" i="78"/>
  <c r="Q21" i="78"/>
  <c r="Z21" i="78"/>
  <c r="W21" i="78"/>
  <c r="U21" i="78"/>
  <c r="S21" i="78"/>
  <c r="C21" i="78"/>
  <c r="Q19" i="78"/>
  <c r="Z19" i="78"/>
  <c r="W19" i="78"/>
  <c r="U19" i="78"/>
  <c r="S19" i="78"/>
  <c r="C19" i="78"/>
  <c r="Q17" i="78"/>
  <c r="Z17" i="78"/>
  <c r="W17" i="78"/>
  <c r="U17" i="78"/>
  <c r="S17" i="78"/>
  <c r="C17" i="78"/>
  <c r="Q15" i="78"/>
  <c r="Z15" i="78"/>
  <c r="W15" i="78"/>
  <c r="U15" i="78"/>
  <c r="S15" i="78"/>
  <c r="C15" i="78"/>
  <c r="Q14" i="78"/>
  <c r="Z14" i="78"/>
  <c r="W14" i="78"/>
  <c r="U14" i="78"/>
  <c r="S14" i="78"/>
  <c r="Q13" i="78"/>
  <c r="Z13" i="78"/>
  <c r="W13" i="78"/>
  <c r="U13" i="78"/>
  <c r="S13" i="78"/>
  <c r="Q12" i="78"/>
  <c r="Z12" i="78"/>
  <c r="W12" i="78"/>
  <c r="U12" i="78"/>
  <c r="S12" i="78"/>
  <c r="Q11" i="78"/>
  <c r="Z11" i="78"/>
  <c r="W11" i="78"/>
  <c r="U11" i="78"/>
  <c r="S11" i="78"/>
  <c r="Q10" i="78"/>
  <c r="Z10" i="78"/>
  <c r="W10" i="78"/>
  <c r="U10" i="78"/>
  <c r="S10" i="78"/>
  <c r="Q9" i="78"/>
  <c r="Z9" i="78"/>
  <c r="W9" i="78"/>
  <c r="U9" i="78"/>
  <c r="S9" i="78"/>
  <c r="W8" i="78"/>
  <c r="U8" i="78"/>
  <c r="S8" i="78"/>
  <c r="W7" i="78"/>
  <c r="U7" i="78"/>
  <c r="S7" i="78"/>
  <c r="D2" i="78"/>
  <c r="R47" i="21"/>
  <c r="F32" i="21"/>
  <c r="AA32" i="21"/>
  <c r="F41" i="21"/>
  <c r="AA41" i="21"/>
  <c r="R48" i="21"/>
  <c r="T47" i="21"/>
  <c r="H32" i="21"/>
  <c r="AB32" i="21"/>
  <c r="H41" i="21"/>
  <c r="AB41" i="21"/>
  <c r="T48" i="21"/>
  <c r="V47" i="21"/>
  <c r="J32" i="21"/>
  <c r="AC32" i="21"/>
  <c r="J41" i="21"/>
  <c r="AC41" i="21"/>
  <c r="V48" i="21"/>
  <c r="R49" i="21"/>
  <c r="C49" i="21"/>
  <c r="D3" i="21"/>
  <c r="B2" i="21"/>
  <c r="C8" i="12"/>
  <c r="B3" i="21"/>
  <c r="C6" i="12"/>
  <c r="I7" i="21"/>
  <c r="G7" i="21"/>
  <c r="E7" i="21"/>
  <c r="F21" i="6"/>
  <c r="N15" i="3"/>
  <c r="J13" i="3"/>
  <c r="S1" i="77"/>
  <c r="R1" i="77"/>
  <c r="T367" i="77"/>
  <c r="U367" i="77"/>
  <c r="S367" i="77"/>
  <c r="E21" i="6"/>
  <c r="E7" i="12"/>
  <c r="F7" i="12"/>
  <c r="G7" i="12"/>
  <c r="F20" i="6"/>
  <c r="F22" i="6"/>
  <c r="AN18" i="3"/>
  <c r="AL18" i="3"/>
  <c r="AD20" i="3"/>
  <c r="AH19" i="3"/>
  <c r="Q16" i="3"/>
  <c r="M15" i="3"/>
  <c r="K14" i="3"/>
  <c r="B2" i="77"/>
  <c r="F1" i="77"/>
  <c r="G1" i="77"/>
  <c r="H1" i="77"/>
  <c r="I1" i="77"/>
  <c r="J1" i="77"/>
  <c r="K1" i="77"/>
  <c r="L1" i="77"/>
  <c r="M1" i="77"/>
  <c r="N1" i="77"/>
  <c r="E1" i="77"/>
  <c r="E20" i="6"/>
  <c r="E22" i="6"/>
  <c r="D7" i="12"/>
  <c r="A3" i="3"/>
  <c r="V6" i="71"/>
  <c r="U6" i="71"/>
  <c r="T6" i="71"/>
  <c r="S6" i="71"/>
  <c r="AH5" i="71"/>
  <c r="AG5" i="71"/>
  <c r="AF5" i="71"/>
  <c r="AE5" i="71"/>
  <c r="AD5" i="71"/>
  <c r="Q5" i="71"/>
  <c r="P5" i="71"/>
  <c r="O5" i="71"/>
  <c r="N5" i="71"/>
  <c r="L3" i="71"/>
  <c r="K3" i="71"/>
  <c r="I3" i="71"/>
  <c r="J3" i="71"/>
  <c r="AD6" i="71"/>
  <c r="AG6" i="71"/>
  <c r="AH6" i="71"/>
  <c r="AE6" i="71"/>
  <c r="AF6" i="71"/>
  <c r="N6" i="71"/>
  <c r="X5" i="71"/>
  <c r="Q6" i="71"/>
  <c r="AB5" i="71"/>
  <c r="P6" i="71"/>
  <c r="AA5" i="71"/>
  <c r="O6" i="71"/>
  <c r="Y5" i="71"/>
  <c r="Z5" i="71"/>
  <c r="C6" i="71"/>
  <c r="Q7" i="71"/>
  <c r="F7" i="71"/>
  <c r="F6" i="71"/>
  <c r="F5" i="71"/>
  <c r="P7" i="71"/>
  <c r="E7" i="71"/>
  <c r="E6" i="71"/>
  <c r="E5" i="71"/>
  <c r="O7" i="71"/>
  <c r="C7" i="71"/>
  <c r="D7" i="71"/>
  <c r="N7" i="71"/>
  <c r="B7" i="71"/>
  <c r="B6" i="71"/>
  <c r="B5" i="71"/>
  <c r="D6" i="71"/>
  <c r="C5" i="71"/>
  <c r="D5"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8" i="71"/>
  <c r="P8" i="71"/>
  <c r="O8" i="71"/>
  <c r="N8" i="71"/>
  <c r="D5" i="43"/>
  <c r="A15" i="51"/>
  <c r="E9" i="76"/>
  <c r="E8" i="76"/>
  <c r="B9" i="76"/>
  <c r="E12" i="76"/>
  <c r="E10" i="76"/>
  <c r="B12" i="76"/>
  <c r="B7" i="76"/>
  <c r="B13" i="76"/>
  <c r="E7" i="76"/>
  <c r="B11" i="76"/>
  <c r="B10" i="76"/>
  <c r="E13" i="76"/>
  <c r="E11" i="76"/>
  <c r="B8"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F7" i="73"/>
  <c r="J1" i="73"/>
  <c r="B74" i="72"/>
  <c r="D6" i="73"/>
  <c r="F6" i="73"/>
  <c r="D3" i="73"/>
  <c r="F3" i="73"/>
  <c r="F5" i="73"/>
  <c r="D4" i="73"/>
  <c r="D7"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C36" i="71"/>
  <c r="Q35" i="71"/>
  <c r="F36" i="71"/>
  <c r="F37" i="71"/>
  <c r="F38" i="71"/>
  <c r="V38" i="71"/>
  <c r="P35" i="71"/>
  <c r="E36" i="71"/>
  <c r="O35"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F24" i="71"/>
  <c r="F25" i="71"/>
  <c r="F26" i="71"/>
  <c r="V26" i="71"/>
  <c r="Q23" i="71"/>
  <c r="P23" i="71"/>
  <c r="E24" i="71"/>
  <c r="E25" i="71"/>
  <c r="E26" i="71"/>
  <c r="U26" i="71"/>
  <c r="O23" i="71"/>
  <c r="C24" i="71"/>
  <c r="N23" i="71"/>
  <c r="B24" i="71"/>
  <c r="B25" i="71"/>
  <c r="B26" i="71"/>
  <c r="S26" i="71"/>
  <c r="D23" i="71"/>
  <c r="Q22" i="71"/>
  <c r="P22" i="71"/>
  <c r="O22" i="71"/>
  <c r="N22" i="71"/>
  <c r="AB21" i="71"/>
  <c r="Q21" i="71"/>
  <c r="P21" i="71"/>
  <c r="AA21" i="71"/>
  <c r="O21" i="71"/>
  <c r="Y21" i="71"/>
  <c r="Z21" i="71"/>
  <c r="N21" i="71"/>
  <c r="X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Q14" i="71"/>
  <c r="AB14" i="71"/>
  <c r="P14" i="71"/>
  <c r="O14" i="71"/>
  <c r="Y14" i="71"/>
  <c r="Z14" i="71"/>
  <c r="N14" i="71"/>
  <c r="Q13" i="71"/>
  <c r="AB13" i="71"/>
  <c r="P13" i="71"/>
  <c r="O13" i="71"/>
  <c r="Y13" i="71"/>
  <c r="Z13" i="71"/>
  <c r="N13" i="71"/>
  <c r="Q12" i="71"/>
  <c r="AB12" i="71"/>
  <c r="P12" i="71"/>
  <c r="O12" i="71"/>
  <c r="Y12" i="71"/>
  <c r="Z12" i="71"/>
  <c r="N12" i="71"/>
  <c r="F12" i="71"/>
  <c r="F13" i="71"/>
  <c r="F14" i="71"/>
  <c r="V14" i="71"/>
  <c r="Q11" i="71"/>
  <c r="P11" i="71"/>
  <c r="O11" i="71"/>
  <c r="N11" i="71"/>
  <c r="D11" i="71"/>
  <c r="O10" i="71"/>
  <c r="N10" i="71"/>
  <c r="B12" i="71"/>
  <c r="B13" i="71"/>
  <c r="B14" i="71"/>
  <c r="S14" i="71"/>
  <c r="X11" i="71"/>
  <c r="E12" i="71"/>
  <c r="E13" i="71"/>
  <c r="E14" i="71"/>
  <c r="U14" i="71"/>
  <c r="AA11" i="71"/>
  <c r="B16" i="71"/>
  <c r="B17" i="71"/>
  <c r="B18" i="71"/>
  <c r="S18" i="71"/>
  <c r="X15" i="71"/>
  <c r="B20" i="71"/>
  <c r="B21" i="71"/>
  <c r="B22" i="71"/>
  <c r="S22" i="71"/>
  <c r="X19" i="71"/>
  <c r="E20" i="71"/>
  <c r="E21" i="71"/>
  <c r="E22" i="71"/>
  <c r="U22" i="71"/>
  <c r="AA19" i="71"/>
  <c r="N50" i="71"/>
  <c r="E16" i="71"/>
  <c r="E17" i="71"/>
  <c r="E18" i="71"/>
  <c r="U18" i="71"/>
  <c r="AA15" i="71"/>
  <c r="C12" i="71"/>
  <c r="Y11" i="71"/>
  <c r="Z11" i="71"/>
  <c r="AB11" i="71"/>
  <c r="X12" i="71"/>
  <c r="AA12" i="71"/>
  <c r="X13" i="71"/>
  <c r="AA13" i="71"/>
  <c r="X14" i="71"/>
  <c r="AA14" i="71"/>
  <c r="C16" i="71"/>
  <c r="C17" i="71"/>
  <c r="Y15" i="71"/>
  <c r="Z15" i="71"/>
  <c r="AB15" i="71"/>
  <c r="X16" i="71"/>
  <c r="AA16" i="71"/>
  <c r="X17" i="71"/>
  <c r="AA17" i="71"/>
  <c r="X18" i="71"/>
  <c r="AA18" i="71"/>
  <c r="C20" i="71"/>
  <c r="Y19" i="71"/>
  <c r="Z19" i="71"/>
  <c r="AB19" i="71"/>
  <c r="X20" i="71"/>
  <c r="AA20" i="71"/>
  <c r="F33" i="71"/>
  <c r="F34" i="71"/>
  <c r="V34" i="71"/>
  <c r="C10" i="71"/>
  <c r="Y3" i="71"/>
  <c r="Z3" i="71"/>
  <c r="Y7" i="71"/>
  <c r="Z7" i="71"/>
  <c r="Y8" i="71"/>
  <c r="Z8" i="71"/>
  <c r="Y9" i="71"/>
  <c r="Z9" i="71"/>
  <c r="Y10" i="71"/>
  <c r="Z10" i="71"/>
  <c r="B10" i="71"/>
  <c r="B9" i="71"/>
  <c r="B8" i="71"/>
  <c r="X7" i="71"/>
  <c r="X8" i="71"/>
  <c r="X9" i="71"/>
  <c r="X3" i="71"/>
  <c r="X10" i="71"/>
  <c r="C13" i="71"/>
  <c r="D12" i="71"/>
  <c r="D16" i="71"/>
  <c r="C21" i="71"/>
  <c r="D20" i="71"/>
  <c r="C25" i="71"/>
  <c r="D24" i="71"/>
  <c r="C29" i="71"/>
  <c r="D29" i="71"/>
  <c r="D28" i="71"/>
  <c r="C33" i="71"/>
  <c r="D32" i="71"/>
  <c r="P10" i="71"/>
  <c r="E37" i="71"/>
  <c r="E38" i="71"/>
  <c r="U38" i="71"/>
  <c r="E41" i="71"/>
  <c r="E42" i="71"/>
  <c r="U42" i="71"/>
  <c r="E45" i="71"/>
  <c r="E46" i="71"/>
  <c r="U46" i="71"/>
  <c r="Q47" i="71"/>
  <c r="U50" i="71"/>
  <c r="E49" i="71"/>
  <c r="Q10"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C9" i="71"/>
  <c r="S10" i="71"/>
  <c r="F10" i="71"/>
  <c r="F9" i="71"/>
  <c r="F8" i="71"/>
  <c r="AB3" i="71"/>
  <c r="AB7" i="71"/>
  <c r="AB8" i="71"/>
  <c r="AB9" i="71"/>
  <c r="AB10" i="71"/>
  <c r="E10" i="71"/>
  <c r="E9" i="71"/>
  <c r="E8" i="71"/>
  <c r="AA3" i="71"/>
  <c r="AA7" i="71"/>
  <c r="AA8" i="71"/>
  <c r="AA9" i="71"/>
  <c r="AA10" i="71"/>
  <c r="D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C22" i="71"/>
  <c r="D21" i="71"/>
  <c r="C18" i="71"/>
  <c r="D17" i="71"/>
  <c r="C14" i="71"/>
  <c r="D13" i="71"/>
  <c r="C8" i="71"/>
  <c r="D8" i="71"/>
  <c r="D9" i="71"/>
  <c r="V10" i="71"/>
  <c r="P47" i="71"/>
  <c r="P48" i="71"/>
  <c r="O48" i="71"/>
  <c r="D48" i="71"/>
  <c r="O47" i="71"/>
  <c r="T14" i="71"/>
  <c r="D14" i="71"/>
  <c r="T18" i="71"/>
  <c r="D18" i="71"/>
  <c r="T22" i="71"/>
  <c r="D22" i="71"/>
  <c r="T26" i="71"/>
  <c r="D26" i="71"/>
  <c r="T34" i="71"/>
  <c r="D34" i="71"/>
  <c r="T38" i="71"/>
  <c r="D38" i="71"/>
  <c r="T42" i="71"/>
  <c r="D42" i="71"/>
  <c r="T46" i="71"/>
  <c r="D46" i="71"/>
  <c r="O27" i="6"/>
  <c r="N27" i="6"/>
  <c r="P20" i="6"/>
  <c r="P21" i="6"/>
  <c r="P22" i="6"/>
  <c r="P23" i="6"/>
  <c r="P24" i="6"/>
  <c r="P25" i="6"/>
  <c r="P26" i="6"/>
  <c r="P19" i="6"/>
  <c r="K8" i="1"/>
  <c r="AP8" i="1"/>
  <c r="A9" i="1"/>
  <c r="AP9" i="1"/>
  <c r="AP10" i="1"/>
  <c r="AP11" i="1"/>
  <c r="AP12" i="1"/>
  <c r="AP13" i="1"/>
  <c r="E32" i="6"/>
  <c r="BM5" i="3"/>
  <c r="BO5" i="3"/>
  <c r="F29" i="6"/>
  <c r="BN5" i="3"/>
  <c r="BP5" i="3"/>
  <c r="G29" i="6"/>
  <c r="E29" i="6"/>
  <c r="L21"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10" i="1"/>
  <c r="AO9" i="1"/>
  <c r="AO11" i="1"/>
  <c r="AO12" i="1"/>
  <c r="AO13"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9" i="1"/>
  <c r="F10" i="1"/>
  <c r="F11" i="1"/>
  <c r="F12" i="1"/>
  <c r="F13" i="1"/>
  <c r="D6" i="1"/>
  <c r="D9" i="1"/>
  <c r="D10" i="1"/>
  <c r="D11" i="1"/>
  <c r="D12" i="1"/>
  <c r="D13" i="1"/>
  <c r="D7" i="1"/>
  <c r="D8" i="1"/>
  <c r="A7" i="1"/>
  <c r="A8" i="1"/>
  <c r="B8" i="1"/>
  <c r="E8" i="1"/>
  <c r="A10" i="1"/>
  <c r="A11" i="1"/>
  <c r="A12" i="1"/>
  <c r="A13" i="1"/>
  <c r="A6" i="1"/>
  <c r="F3" i="35"/>
  <c r="B11" i="1"/>
  <c r="E11" i="1"/>
  <c r="B7" i="1"/>
  <c r="E7"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AX22" i="3"/>
  <c r="AW22" i="3"/>
  <c r="AV22" i="3"/>
  <c r="AC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F8" i="1"/>
  <c r="G8" i="1"/>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BR13" i="3"/>
  <c r="O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M8" i="1"/>
  <c r="F23" i="15"/>
  <c r="D24" i="15"/>
  <c r="O8" i="1"/>
  <c r="P8" i="1"/>
  <c r="M13" i="1"/>
  <c r="O13" i="1"/>
  <c r="P13" i="1"/>
  <c r="E25" i="6"/>
  <c r="E26" i="6"/>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F17" i="3"/>
  <c r="BG17" i="3"/>
  <c r="BH17" i="3"/>
  <c r="BI17" i="3"/>
  <c r="BJ17" i="3"/>
  <c r="BK17" i="3"/>
  <c r="BC10" i="3"/>
  <c r="BD10" i="3"/>
  <c r="BB10" i="3"/>
  <c r="BL16" i="3"/>
  <c r="AC13" i="3"/>
  <c r="H14" i="3"/>
  <c r="AC14" i="3"/>
  <c r="H15" i="3"/>
  <c r="AC15" i="3"/>
  <c r="H16" i="3"/>
  <c r="AC16" i="3"/>
  <c r="AC17"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P48" i="21"/>
  <c r="P49" i="21"/>
  <c r="F8" i="21"/>
  <c r="AA8" i="21"/>
  <c r="E10" i="11"/>
  <c r="E9" i="11"/>
  <c r="C7" i="12"/>
  <c r="BB12" i="3"/>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S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7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AB34" i="39"/>
  <c r="U40" i="39"/>
  <c r="S42" i="39"/>
  <c r="W14" i="39"/>
  <c r="AA41" i="39"/>
  <c r="W9" i="39"/>
  <c r="W8" i="39"/>
  <c r="J19" i="40"/>
  <c r="AC19" i="40"/>
  <c r="J50" i="40"/>
  <c r="B54" i="72"/>
  <c r="H103" i="9"/>
  <c r="D8" i="53"/>
  <c r="B16" i="53"/>
  <c r="B33" i="72"/>
  <c r="C7" i="37"/>
  <c r="C7" i="34"/>
  <c r="C7" i="36"/>
  <c r="W35" i="40"/>
  <c r="A118" i="9"/>
  <c r="A4" i="52"/>
  <c r="B41" i="72"/>
  <c r="A12" i="52"/>
  <c r="B56" i="72"/>
  <c r="G4" i="4"/>
  <c r="I4" i="4"/>
  <c r="K5" i="4"/>
  <c r="B47" i="48"/>
  <c r="A2" i="9"/>
  <c r="N2" i="43"/>
  <c r="F59"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AZ350" i="3"/>
  <c r="AZ352" i="3"/>
  <c r="AZ356" i="3"/>
  <c r="AZ360" i="3"/>
  <c r="AZ364" i="3"/>
  <c r="AZ368" i="3"/>
  <c r="BA15" i="3"/>
  <c r="BB5" i="3"/>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C10" i="39"/>
  <c r="U17" i="39"/>
  <c r="S14" i="35"/>
  <c r="U43" i="21"/>
  <c r="U35" i="21"/>
  <c r="AC35" i="21"/>
  <c r="U10" i="2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E8" i="6"/>
  <c r="I4" i="6"/>
  <c r="C11" i="39"/>
  <c r="G14" i="3"/>
  <c r="AZ18" i="3"/>
  <c r="BL20" i="3"/>
  <c r="AZ20" i="3"/>
  <c r="G3" i="43"/>
  <c r="B113" i="43"/>
  <c r="W27" i="39"/>
  <c r="BL15" i="3"/>
  <c r="AZ15" i="3"/>
  <c r="D93" i="9"/>
  <c r="E12" i="6"/>
  <c r="E15" i="6"/>
  <c r="E60" i="40"/>
  <c r="K6" i="1"/>
  <c r="E13" i="6"/>
  <c r="E58" i="40"/>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c r="R12" i="1"/>
  <c r="B12" i="1"/>
  <c r="E12" i="1"/>
  <c r="AQ10" i="1"/>
  <c r="B10" i="1"/>
  <c r="E10" i="1"/>
  <c r="D1" i="66"/>
  <c r="E10" i="66"/>
  <c r="AZ80" i="3"/>
  <c r="AZ84" i="3"/>
  <c r="AZ88" i="3"/>
  <c r="AZ107" i="3"/>
  <c r="AZ111" i="3"/>
  <c r="K12" i="1"/>
  <c r="M12" i="1"/>
  <c r="O12" i="1"/>
  <c r="P12" i="1"/>
  <c r="S13" i="1"/>
  <c r="AR13" i="1"/>
  <c r="R13" i="1"/>
  <c r="K24" i="6"/>
  <c r="S11" i="1"/>
  <c r="AQ11" i="1"/>
  <c r="M24" i="6"/>
  <c r="I24" i="6"/>
  <c r="H24" i="6"/>
  <c r="D24" i="6"/>
  <c r="R24" i="6"/>
  <c r="R11"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G77" i="21"/>
  <c r="F23" i="21"/>
  <c r="S23" i="21"/>
  <c r="E85" i="21"/>
  <c r="AC11" i="21"/>
  <c r="AA14" i="21"/>
  <c r="AB8" i="21"/>
  <c r="S8" i="21"/>
  <c r="M3" i="43"/>
  <c r="N10" i="43"/>
  <c r="M1" i="43"/>
  <c r="M8" i="43"/>
  <c r="N8" i="43"/>
  <c r="N9" i="43"/>
  <c r="D120" i="9"/>
  <c r="C18" i="9"/>
  <c r="D18" i="9"/>
  <c r="F34" i="67"/>
  <c r="F62" i="67"/>
  <c r="M20" i="67"/>
  <c r="F34" i="15"/>
  <c r="F62" i="15"/>
  <c r="E10" i="6"/>
  <c r="E11" i="6"/>
  <c r="E61" i="39"/>
  <c r="BL17" i="3"/>
  <c r="BL13" i="3"/>
  <c r="G30" i="6"/>
  <c r="G31" i="6"/>
  <c r="J56" i="9"/>
  <c r="J57" i="9"/>
  <c r="A24" i="51"/>
  <c r="B18" i="72"/>
  <c r="U29" i="34"/>
  <c r="E14" i="6"/>
  <c r="E64" i="39"/>
  <c r="E5" i="6"/>
  <c r="D9" i="11"/>
  <c r="C9" i="11"/>
  <c r="P10" i="1"/>
  <c r="H22" i="43"/>
  <c r="L101" i="43"/>
  <c r="L109" i="43"/>
  <c r="H101" i="43"/>
  <c r="D101" i="43"/>
  <c r="D109" i="43"/>
  <c r="M101" i="43"/>
  <c r="M109" i="43"/>
  <c r="I101" i="43"/>
  <c r="I109" i="43"/>
  <c r="E101" i="43"/>
  <c r="G22" i="43"/>
  <c r="G1" i="68"/>
  <c r="K1" i="12"/>
  <c r="F30" i="6"/>
  <c r="F31" i="6"/>
  <c r="E57" i="40"/>
  <c r="AQ12" i="1"/>
  <c r="AR10" i="1"/>
  <c r="E19" i="69"/>
  <c r="E19" i="68"/>
  <c r="E19" i="11"/>
  <c r="E1" i="73"/>
  <c r="K1" i="73"/>
  <c r="G41" i="69"/>
  <c r="G22" i="69"/>
  <c r="G41" i="68"/>
  <c r="G22" i="68"/>
  <c r="G27" i="12"/>
  <c r="G26" i="12"/>
  <c r="G41" i="11"/>
  <c r="G22" i="11"/>
  <c r="G25" i="12"/>
  <c r="C100" i="43"/>
  <c r="E11" i="43"/>
  <c r="E10" i="43"/>
  <c r="E9" i="43"/>
  <c r="E8" i="43"/>
  <c r="C7" i="43"/>
  <c r="E81" i="43"/>
  <c r="B79"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E48" i="43"/>
  <c r="B46" i="43"/>
  <c r="E70" i="43"/>
  <c r="B68" i="43"/>
  <c r="C20"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G19" i="43"/>
  <c r="M20" i="43"/>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B6" i="1"/>
  <c r="E6"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9" i="21"/>
  <c r="J9"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c r="B9" i="49"/>
  <c r="B13" i="49"/>
  <c r="E16" i="49"/>
  <c r="B11" i="49"/>
  <c r="E8" i="49"/>
  <c r="E21" i="49"/>
  <c r="E10" i="49"/>
  <c r="E9" i="49"/>
  <c r="E5" i="49"/>
  <c r="B6" i="49"/>
  <c r="B4" i="49"/>
  <c r="B8" i="49"/>
  <c r="E4" i="49"/>
  <c r="E11" i="49"/>
  <c r="M24" i="15"/>
  <c r="L48" i="67"/>
  <c r="F16" i="67"/>
  <c r="M6" i="67"/>
  <c r="F36" i="67"/>
  <c r="M9" i="67"/>
  <c r="F43" i="67"/>
  <c r="M29" i="15"/>
  <c r="M23" i="67"/>
  <c r="M23" i="15"/>
  <c r="J15" i="15"/>
  <c r="F38" i="67"/>
  <c r="M28" i="67"/>
  <c r="L47" i="67"/>
  <c r="M8" i="67"/>
  <c r="F7" i="67"/>
  <c r="M24" i="67"/>
  <c r="M22" i="15"/>
  <c r="F42" i="67"/>
  <c r="F13" i="67"/>
  <c r="F9" i="67"/>
  <c r="J15" i="67"/>
  <c r="M22" i="67"/>
  <c r="M28" i="15"/>
  <c r="F26" i="67"/>
  <c r="F6" i="67"/>
  <c r="F8" i="67"/>
  <c r="F40" i="67"/>
  <c r="L47" i="15"/>
  <c r="M26" i="15"/>
  <c r="F37" i="67"/>
  <c r="C76" i="67"/>
  <c r="M26" i="67"/>
  <c r="C76" i="15"/>
  <c r="M29" i="67"/>
  <c r="N101" i="43"/>
  <c r="L19" i="6"/>
  <c r="J101" i="43"/>
  <c r="F22" i="43"/>
  <c r="G101" i="43"/>
  <c r="K101" i="43"/>
  <c r="E51" i="40"/>
  <c r="K109" i="43"/>
  <c r="T12" i="1"/>
  <c r="K105" i="43"/>
  <c r="G106" i="43"/>
  <c r="G104" i="43"/>
  <c r="G107" i="43"/>
  <c r="K102" i="43"/>
  <c r="G102" i="43"/>
  <c r="E65" i="39"/>
  <c r="E56" i="40"/>
  <c r="B115" i="43"/>
  <c r="C115" i="43"/>
  <c r="D117" i="43"/>
  <c r="E117" i="43"/>
  <c r="F117" i="43"/>
  <c r="G117" i="43"/>
  <c r="H117" i="43"/>
  <c r="I115" i="43"/>
  <c r="J115" i="43"/>
  <c r="K115" i="43"/>
  <c r="L115" i="43"/>
  <c r="M115" i="43"/>
  <c r="I118" i="43"/>
  <c r="J118" i="43"/>
  <c r="K118" i="43"/>
  <c r="L118" i="43"/>
  <c r="M118" i="43"/>
  <c r="D118" i="43"/>
  <c r="E118" i="43"/>
  <c r="F118" i="43"/>
  <c r="B116" i="43"/>
  <c r="C116" i="43"/>
  <c r="I117" i="43"/>
  <c r="J117" i="43"/>
  <c r="K117" i="43"/>
  <c r="L117" i="43"/>
  <c r="M117" i="43"/>
  <c r="B117" i="43"/>
  <c r="C117" i="43"/>
  <c r="D115" i="43"/>
  <c r="E115" i="43"/>
  <c r="F115" i="43"/>
  <c r="G115" i="43"/>
  <c r="H115" i="43"/>
  <c r="D116" i="43"/>
  <c r="E116" i="43"/>
  <c r="F116" i="43"/>
  <c r="G116" i="43"/>
  <c r="H116" i="43"/>
  <c r="G118" i="43"/>
  <c r="H118" i="43"/>
  <c r="B118" i="43"/>
  <c r="C118" i="43"/>
  <c r="I116" i="43"/>
  <c r="J116" i="43"/>
  <c r="K116" i="43"/>
  <c r="L116" i="43"/>
  <c r="M116" i="43"/>
  <c r="N104" i="46"/>
  <c r="C101" i="43"/>
  <c r="E22" i="43"/>
  <c r="D22" i="43"/>
  <c r="F101" i="43"/>
  <c r="H11" i="39"/>
  <c r="J11" i="39"/>
  <c r="F11" i="39"/>
  <c r="C4" i="4"/>
  <c r="C53" i="15"/>
  <c r="C10" i="67"/>
  <c r="C53" i="67"/>
  <c r="L58" i="67"/>
  <c r="L58" i="15"/>
  <c r="Q73" i="15"/>
  <c r="N59" i="67"/>
  <c r="L59" i="67"/>
  <c r="M59" i="67"/>
  <c r="M59" i="15"/>
  <c r="J53" i="67"/>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E66" i="39"/>
  <c r="T11" i="1"/>
  <c r="D9" i="69"/>
  <c r="C9" i="69"/>
  <c r="D19" i="12"/>
  <c r="C19" i="12"/>
  <c r="AR11" i="1"/>
  <c r="E59" i="40"/>
  <c r="D68" i="39"/>
  <c r="D70" i="39"/>
  <c r="C28" i="15"/>
  <c r="E30" i="6"/>
  <c r="E31"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C30" i="69"/>
  <c r="D9" i="68"/>
  <c r="C9" i="68"/>
  <c r="K20" i="6"/>
  <c r="S7" i="1"/>
  <c r="E7" i="70"/>
  <c r="C24" i="12"/>
  <c r="AA39" i="40"/>
  <c r="S39" i="40"/>
  <c r="S12" i="33"/>
  <c r="AA12" i="33"/>
  <c r="C16" i="4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S24" i="6"/>
  <c r="K14" i="1"/>
  <c r="M14" i="1"/>
  <c r="O14" i="1"/>
  <c r="P14" i="1"/>
  <c r="BL5" i="3"/>
  <c r="C19" i="43"/>
  <c r="J59" i="9"/>
  <c r="J61" i="9"/>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S26"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O19" i="43"/>
  <c r="C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L27"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Q50" i="15"/>
  <c r="F68" i="15"/>
  <c r="F50" i="15"/>
  <c r="F66" i="15"/>
  <c r="AP7" i="1"/>
  <c r="M7" i="1"/>
  <c r="O7" i="1"/>
  <c r="Q16" i="1"/>
  <c r="F27" i="69"/>
  <c r="H16" i="1"/>
  <c r="K16" i="1"/>
  <c r="AB45" i="21"/>
  <c r="AC33" i="21"/>
  <c r="W33" i="21"/>
  <c r="S33" i="21"/>
  <c r="AA33" i="21"/>
  <c r="W32" i="21"/>
  <c r="AB9" i="21"/>
  <c r="U9" i="21"/>
  <c r="S32" i="21"/>
  <c r="W9" i="21"/>
  <c r="AC9" i="21"/>
  <c r="U32" i="21"/>
  <c r="AA10" i="21"/>
  <c r="S10" i="21"/>
  <c r="C36" i="69"/>
  <c r="F59" i="15"/>
  <c r="F31" i="67"/>
  <c r="M17" i="15"/>
  <c r="F31" i="15"/>
  <c r="F59" i="67"/>
  <c r="M17" i="67"/>
  <c r="C16" i="67"/>
  <c r="N102" i="43"/>
  <c r="N105" i="43"/>
  <c r="N107" i="43"/>
  <c r="N109" i="43"/>
  <c r="N103" i="43"/>
  <c r="N106" i="43"/>
  <c r="N104" i="43"/>
  <c r="S22" i="6"/>
  <c r="AQ7" i="1"/>
  <c r="J104" i="43"/>
  <c r="J103" i="43"/>
  <c r="J109" i="43"/>
  <c r="J105" i="43"/>
  <c r="J107" i="43"/>
  <c r="J102" i="43"/>
  <c r="J106" i="43"/>
  <c r="K103" i="43"/>
  <c r="K107" i="43"/>
  <c r="K106" i="43"/>
  <c r="K104" i="43"/>
  <c r="G105" i="43"/>
  <c r="G103" i="43"/>
  <c r="G109" i="43"/>
  <c r="AY87" i="3"/>
  <c r="F104" i="43"/>
  <c r="F107" i="43"/>
  <c r="F106" i="43"/>
  <c r="F105" i="43"/>
  <c r="F109" i="43"/>
  <c r="F102" i="43"/>
  <c r="F103" i="43"/>
  <c r="C104" i="43"/>
  <c r="C106" i="43"/>
  <c r="C105" i="43"/>
  <c r="C102" i="43"/>
  <c r="C107" i="43"/>
  <c r="C103" i="43"/>
  <c r="C109" i="43"/>
  <c r="W11" i="39"/>
  <c r="AC11" i="39"/>
  <c r="AA11" i="39"/>
  <c r="S11" i="39"/>
  <c r="AB11" i="39"/>
  <c r="U11" i="39"/>
  <c r="M21" i="6"/>
  <c r="I21" i="6"/>
  <c r="S21" i="6"/>
  <c r="S8" i="1"/>
  <c r="M19" i="6"/>
  <c r="AR6" i="1"/>
  <c r="T7" i="1"/>
  <c r="AR7" i="1"/>
  <c r="L59" i="15"/>
  <c r="Q74" i="15"/>
  <c r="C30" i="11"/>
  <c r="E6" i="70"/>
  <c r="K27" i="6"/>
  <c r="A18" i="62"/>
  <c r="B64" i="72"/>
  <c r="D3" i="34"/>
  <c r="D3" i="33"/>
  <c r="C33" i="43"/>
  <c r="G33" i="43"/>
  <c r="I33" i="43"/>
  <c r="C36" i="43"/>
  <c r="E36" i="43"/>
  <c r="C34" i="43"/>
  <c r="C35"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c r="H7" i="37"/>
  <c r="U7" i="37"/>
  <c r="H6" i="3"/>
  <c r="AC6" i="3"/>
  <c r="E6" i="6"/>
  <c r="D19" i="11"/>
  <c r="C19" i="11"/>
  <c r="C20" i="11"/>
  <c r="C17" i="4"/>
  <c r="B4" i="52"/>
  <c r="B43" i="72"/>
  <c r="D37" i="11"/>
  <c r="L18" i="9"/>
  <c r="D14" i="12"/>
  <c r="D17" i="12"/>
  <c r="C17" i="12"/>
  <c r="D3" i="37"/>
  <c r="M18" i="9"/>
  <c r="B118" i="9"/>
  <c r="B14" i="74"/>
  <c r="B1" i="74"/>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C38" i="43"/>
  <c r="G38" i="43"/>
  <c r="I38" i="43"/>
  <c r="F22" i="11"/>
  <c r="F25" i="12"/>
  <c r="F22" i="69"/>
  <c r="F24" i="67"/>
  <c r="C24" i="67"/>
  <c r="F22" i="68"/>
  <c r="T11" i="43"/>
  <c r="V11" i="43"/>
  <c r="T16" i="43"/>
  <c r="V16" i="43"/>
  <c r="T14" i="43"/>
  <c r="V14" i="43"/>
  <c r="T12" i="43"/>
  <c r="V12" i="43"/>
  <c r="T9" i="43"/>
  <c r="V9" i="43"/>
  <c r="T8" i="43"/>
  <c r="V8" i="43"/>
  <c r="T15" i="43"/>
  <c r="V15" i="43"/>
  <c r="T13" i="43"/>
  <c r="V13" i="43"/>
  <c r="T10" i="43"/>
  <c r="V10" i="43"/>
  <c r="Q52" i="15"/>
  <c r="C39" i="43"/>
  <c r="E39" i="43"/>
  <c r="C37" i="43"/>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7"/>
  <c r="C32" i="67"/>
  <c r="F10" i="40"/>
  <c r="AA10" i="40"/>
  <c r="S20" i="6"/>
  <c r="I19" i="6"/>
  <c r="M27" i="6"/>
  <c r="H10" i="39"/>
  <c r="J10" i="39"/>
  <c r="C49" i="15"/>
  <c r="Q60" i="15"/>
  <c r="M16" i="1"/>
  <c r="N16" i="1"/>
  <c r="Q60" i="67"/>
  <c r="Q73" i="67"/>
  <c r="F27" i="11"/>
  <c r="Q61" i="67"/>
  <c r="Q74" i="67"/>
  <c r="C49" i="67"/>
  <c r="F1" i="67"/>
  <c r="Q52" i="67"/>
  <c r="AR9" i="1"/>
  <c r="AQ9" i="1"/>
  <c r="AY225" i="3"/>
  <c r="AY236" i="3"/>
  <c r="AY268" i="3"/>
  <c r="AY253" i="3"/>
  <c r="AY297" i="3"/>
  <c r="AY168" i="3"/>
  <c r="AY58" i="3"/>
  <c r="AY111" i="3"/>
  <c r="AY276" i="3"/>
  <c r="AY281" i="3"/>
  <c r="AY131" i="3"/>
  <c r="AY152" i="3"/>
  <c r="AY188" i="3"/>
  <c r="AY42" i="3"/>
  <c r="AY59" i="3"/>
  <c r="AY95" i="3"/>
  <c r="AY115" i="3"/>
  <c r="AY124" i="3"/>
  <c r="AY155" i="3"/>
  <c r="AY144" i="3"/>
  <c r="AY176" i="3"/>
  <c r="AY207" i="3"/>
  <c r="AY23" i="3"/>
  <c r="AY34" i="3"/>
  <c r="AY66" i="3"/>
  <c r="AY51" i="3"/>
  <c r="AY83" i="3"/>
  <c r="S2" i="43"/>
  <c r="T2" i="43"/>
  <c r="V2" i="43"/>
  <c r="S5" i="43"/>
  <c r="T5" i="43"/>
  <c r="V5" i="43"/>
  <c r="S6" i="43"/>
  <c r="T6" i="43"/>
  <c r="V6" i="43"/>
  <c r="S4" i="43"/>
  <c r="T4" i="43"/>
  <c r="V4" i="43"/>
  <c r="S7" i="43"/>
  <c r="T7" i="43"/>
  <c r="V7" i="43"/>
  <c r="C23" i="43"/>
  <c r="C21" i="43"/>
  <c r="C29" i="43"/>
  <c r="S3" i="43"/>
  <c r="T3" i="43"/>
  <c r="V3" i="43"/>
  <c r="AR8" i="1"/>
  <c r="T8" i="1"/>
  <c r="AQ8" i="1"/>
  <c r="Q61" i="15"/>
  <c r="E37" i="43"/>
  <c r="AA7" i="36"/>
  <c r="R36" i="36"/>
  <c r="E36" i="36"/>
  <c r="E40" i="36"/>
  <c r="F40" i="36"/>
  <c r="AC11" i="37"/>
  <c r="W11" i="37"/>
  <c r="AB7" i="37"/>
  <c r="T42" i="37"/>
  <c r="G42" i="37"/>
  <c r="G46" i="37"/>
  <c r="H46" i="37"/>
  <c r="W11" i="34"/>
  <c r="AC11" i="34"/>
  <c r="J5" i="67"/>
  <c r="H20" i="6"/>
  <c r="AB7" i="36"/>
  <c r="T36" i="36"/>
  <c r="E38" i="43"/>
  <c r="E6" i="3"/>
  <c r="C47" i="68"/>
  <c r="D45" i="68"/>
  <c r="AA10" i="39"/>
  <c r="D10" i="68"/>
  <c r="D10" i="11"/>
  <c r="C10" i="11"/>
  <c r="D20" i="12"/>
  <c r="C20" i="12"/>
  <c r="C18" i="12"/>
  <c r="M19" i="9"/>
  <c r="C118" i="9"/>
  <c r="C14" i="74"/>
  <c r="B2" i="74"/>
  <c r="D19" i="6"/>
  <c r="D25" i="6"/>
  <c r="D26" i="6"/>
  <c r="D15" i="6"/>
  <c r="C18" i="4"/>
  <c r="D8" i="6"/>
  <c r="D21" i="6"/>
  <c r="D14" i="6"/>
  <c r="D20" i="6"/>
  <c r="R20" i="6"/>
  <c r="R7" i="1"/>
  <c r="D5" i="6"/>
  <c r="D6" i="6"/>
  <c r="D12" i="6"/>
  <c r="D9" i="6"/>
  <c r="D11" i="6"/>
  <c r="D10" i="6"/>
  <c r="D13" i="6"/>
  <c r="L19" i="9"/>
  <c r="D28" i="6"/>
  <c r="D29" i="6"/>
  <c r="E61" i="40"/>
  <c r="H25" i="6"/>
  <c r="R25" i="6"/>
  <c r="H21" i="6"/>
  <c r="H26"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E33" i="43"/>
  <c r="G35" i="43"/>
  <c r="I35" i="43"/>
  <c r="E35" i="43"/>
  <c r="C30" i="43"/>
  <c r="E30" i="43"/>
  <c r="E29" i="43"/>
  <c r="G36" i="43"/>
  <c r="I36" i="43"/>
  <c r="G34" i="43"/>
  <c r="I34" i="43"/>
  <c r="E34" i="43"/>
  <c r="J7" i="21"/>
  <c r="AC7"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5" i="11"/>
  <c r="C36" i="11"/>
  <c r="J24" i="67"/>
  <c r="J18" i="67"/>
  <c r="J24" i="15"/>
  <c r="J18" i="15"/>
  <c r="G36" i="36"/>
  <c r="R37" i="36"/>
  <c r="AB7" i="34"/>
  <c r="T49" i="34"/>
  <c r="G49" i="34"/>
  <c r="G53" i="34"/>
  <c r="H53" i="34"/>
  <c r="W7" i="21"/>
  <c r="AA7" i="21"/>
  <c r="E48" i="21"/>
  <c r="E52" i="21"/>
  <c r="F52" i="21"/>
  <c r="R26" i="6"/>
  <c r="R21" i="6"/>
  <c r="R8" i="1"/>
  <c r="D30" i="6"/>
  <c r="D16" i="6"/>
  <c r="A7" i="51"/>
  <c r="B7" i="72"/>
  <c r="C4" i="52"/>
  <c r="B45" i="72"/>
  <c r="A10" i="51"/>
  <c r="B9" i="72"/>
  <c r="D27" i="6"/>
  <c r="D19" i="68"/>
  <c r="C10" i="68"/>
  <c r="C12" i="12"/>
  <c r="C15" i="12"/>
  <c r="C34" i="68"/>
  <c r="U7" i="21"/>
  <c r="C22" i="11"/>
  <c r="C31" i="11"/>
  <c r="C26" i="43"/>
  <c r="C27" i="43"/>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14" i="12"/>
  <c r="C23" i="12"/>
  <c r="E6" i="76"/>
  <c r="C38" i="11"/>
  <c r="D31" i="6"/>
  <c r="I6" i="6"/>
  <c r="E2" i="76"/>
  <c r="B2" i="43"/>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M21" i="15"/>
  <c r="M21" i="67"/>
  <c r="F35" i="67"/>
  <c r="B6" i="76"/>
  <c r="I5" i="6"/>
  <c r="B2" i="76"/>
  <c r="B3" i="76"/>
  <c r="B3" i="43"/>
  <c r="F63" i="67"/>
  <c r="C62" i="67"/>
  <c r="C34" i="67"/>
  <c r="J20" i="67"/>
  <c r="C24" i="68"/>
  <c r="J20" i="15"/>
  <c r="F63" i="15"/>
  <c r="C62" i="15"/>
  <c r="R16" i="1"/>
  <c r="C22" i="12"/>
  <c r="C30" i="12"/>
  <c r="C28" i="12"/>
  <c r="C33" i="68"/>
  <c r="I63" i="40"/>
  <c r="H65" i="40"/>
  <c r="C39" i="11"/>
  <c r="C43" i="11"/>
  <c r="C41" i="11"/>
  <c r="I70" i="39"/>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Q48" i="15"/>
  <c r="J19" i="15"/>
  <c r="J17" i="15"/>
  <c r="Q49" i="15"/>
  <c r="C57" i="15"/>
  <c r="C61" i="15"/>
  <c r="J14" i="15"/>
  <c r="J22" i="15"/>
  <c r="Q69" i="15"/>
  <c r="C56" i="15"/>
  <c r="C48" i="15"/>
  <c r="C64" i="15"/>
  <c r="Q70" i="15"/>
  <c r="C75" i="15"/>
  <c r="J13" i="15"/>
  <c r="J23" i="15"/>
  <c r="J16" i="15"/>
  <c r="J25" i="15"/>
  <c r="AE8" i="1"/>
  <c r="AE6" i="1"/>
  <c r="L51" i="15"/>
  <c r="C66" i="15"/>
  <c r="C60" i="15"/>
  <c r="C59" i="15"/>
  <c r="AG6" i="1"/>
  <c r="C80" i="15"/>
  <c r="C79" i="15"/>
  <c r="C65" i="15"/>
  <c r="Q68" i="15"/>
  <c r="L57" i="15"/>
  <c r="L60" i="15"/>
  <c r="Q67" i="15"/>
  <c r="F41" i="67"/>
  <c r="M27" i="15"/>
  <c r="M27" i="67"/>
  <c r="J26" i="67"/>
  <c r="J29" i="67"/>
  <c r="C58" i="15"/>
  <c r="C67" i="15"/>
  <c r="F69" i="15"/>
  <c r="C43"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8" i="1"/>
  <c r="E2" i="69"/>
  <c r="AO6" i="1"/>
  <c r="AO7" i="1"/>
  <c r="B8" i="70"/>
  <c r="B7" i="70"/>
  <c r="B6" i="70"/>
  <c r="C46" i="15"/>
  <c r="B2" i="69"/>
  <c r="B3" i="69"/>
  <c r="B3" i="67"/>
  <c r="D2" i="37"/>
  <c r="D2" i="34"/>
  <c r="D2" i="33"/>
  <c r="D2" i="36"/>
  <c r="D2" i="35"/>
  <c r="D2" i="21"/>
  <c r="F20" i="31"/>
  <c r="E2" i="68"/>
  <c r="B20" i="31"/>
  <c r="B2" i="36"/>
  <c r="B3" i="36"/>
  <c r="B2" i="35"/>
  <c r="B3" i="35"/>
  <c r="B2" i="37"/>
  <c r="B3" i="37"/>
  <c r="B2" i="34"/>
  <c r="B3" i="34"/>
  <c r="B2" i="70"/>
  <c r="B3" i="70"/>
  <c r="D19" i="9"/>
  <c r="D20" i="9"/>
  <c r="D102" i="9"/>
  <c r="D21" i="9"/>
  <c r="D103" i="9"/>
  <c r="D34"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D35" i="9"/>
  <c r="B3" i="39"/>
  <c r="C6" i="68"/>
  <c r="C7" i="68"/>
  <c r="C5" i="68"/>
  <c r="C23" i="68"/>
  <c r="C20" i="68"/>
  <c r="H112" i="9"/>
  <c r="D21" i="53"/>
  <c r="B39" i="72"/>
  <c r="H111" i="9"/>
  <c r="D126" i="9"/>
  <c r="D19" i="53"/>
  <c r="D59" i="9"/>
  <c r="M55" i="9"/>
  <c r="C28" i="68"/>
  <c r="C27" i="68"/>
  <c r="C25" i="68"/>
  <c r="C22" i="68"/>
  <c r="B38" i="72"/>
  <c r="D20" i="53"/>
  <c r="B40" i="72"/>
  <c r="I14" i="74"/>
  <c r="B8" i="74"/>
  <c r="D127" i="9"/>
  <c r="D13" i="52"/>
  <c r="D12" i="52"/>
  <c r="C31" i="68"/>
  <c r="C52" i="68"/>
  <c r="C57" i="68"/>
  <c r="C56" i="68"/>
  <c r="D8" i="74"/>
  <c r="C8" i="74"/>
  <c r="B2" i="68"/>
  <c r="C19" i="9"/>
  <c r="C102" i="9"/>
  <c r="G19" i="9"/>
  <c r="C21" i="9"/>
  <c r="D22" i="9"/>
  <c r="B3" i="68"/>
  <c r="C32" i="9"/>
  <c r="G21" i="9"/>
  <c r="C20" i="9"/>
  <c r="C103" i="9"/>
  <c r="G20" i="9"/>
  <c r="C35" i="9"/>
  <c r="F118" i="9"/>
  <c r="H118" i="9"/>
  <c r="C104" i="9"/>
  <c r="H101" i="9"/>
  <c r="H119" i="9"/>
  <c r="H5" i="52"/>
  <c r="H4" i="52"/>
  <c r="I118" i="9"/>
  <c r="D14" i="74"/>
  <c r="C34" i="9"/>
  <c r="D118" i="9"/>
  <c r="G118" i="9"/>
  <c r="G4" i="52"/>
  <c r="B52" i="72"/>
  <c r="F119" i="9"/>
  <c r="F5" i="52"/>
  <c r="B53" i="72"/>
  <c r="F4" i="52"/>
  <c r="B51" i="72"/>
  <c r="B5" i="74"/>
  <c r="E14" i="74"/>
  <c r="F14" i="74"/>
  <c r="M48" i="9"/>
  <c r="H107" i="9"/>
  <c r="D45" i="9"/>
  <c r="D5" i="53"/>
  <c r="D119" i="9"/>
  <c r="D5" i="52"/>
  <c r="B49" i="72"/>
  <c r="D4" i="52"/>
  <c r="B47" i="72"/>
  <c r="C105" i="9"/>
  <c r="I4" i="52"/>
  <c r="H102" i="9"/>
  <c r="D7" i="53"/>
  <c r="B21" i="72"/>
  <c r="E118" i="9"/>
  <c r="E4" i="52"/>
  <c r="B48" i="72"/>
  <c r="D53" i="9"/>
  <c r="C93" i="9"/>
  <c r="C86" i="9"/>
  <c r="C78" i="9"/>
  <c r="C73" i="9"/>
  <c r="C72" i="9"/>
  <c r="C64" i="9"/>
  <c r="C63" i="9"/>
  <c r="C67" i="9"/>
  <c r="C68" i="9"/>
  <c r="D54" i="9"/>
  <c r="D52" i="9"/>
  <c r="C85" i="9"/>
  <c r="D55" i="9"/>
  <c r="M53" i="9"/>
  <c r="B20" i="72"/>
  <c r="D6" i="53"/>
  <c r="B22" i="72"/>
  <c r="M49" i="9"/>
  <c r="D122" i="9"/>
  <c r="D13" i="53"/>
  <c r="H108" i="9"/>
  <c r="D15" i="53"/>
  <c r="B31" i="72"/>
  <c r="D5" i="74"/>
  <c r="C5" i="74"/>
  <c r="AD3" i="71"/>
  <c r="P21" i="43"/>
  <c r="C95" i="9"/>
  <c r="C96" i="9"/>
  <c r="E96" i="9"/>
  <c r="E97" i="9"/>
  <c r="C79" i="9"/>
  <c r="C80" i="9"/>
  <c r="E80" i="9"/>
  <c r="E81" i="9"/>
  <c r="G14" i="74"/>
  <c r="B6" i="74"/>
  <c r="D8" i="52"/>
  <c r="D123" i="9"/>
  <c r="D9" i="52"/>
  <c r="C81" i="9"/>
  <c r="D14" i="53"/>
  <c r="B32" i="72"/>
  <c r="B30" i="72"/>
  <c r="L66" i="9"/>
  <c r="M66" i="9"/>
  <c r="L65" i="9"/>
  <c r="M65" i="9"/>
  <c r="L67" i="9"/>
  <c r="M67" i="9"/>
  <c r="L68" i="9"/>
  <c r="M68" i="9"/>
  <c r="L63" i="9"/>
  <c r="M63" i="9"/>
  <c r="L64" i="9"/>
  <c r="M64" i="9"/>
  <c r="M69" i="9"/>
  <c r="N69" i="9"/>
  <c r="C97" i="9"/>
  <c r="D58" i="9"/>
  <c r="D56" i="9"/>
  <c r="M54" i="9"/>
  <c r="N57" i="9"/>
  <c r="N59" i="9"/>
  <c r="P22" i="43"/>
  <c r="P23" i="43"/>
  <c r="B71" i="39"/>
  <c r="P24" i="43"/>
  <c r="B66" i="40"/>
  <c r="P25" i="43"/>
  <c r="N61" i="9"/>
  <c r="N60" i="9"/>
  <c r="N58" i="9"/>
  <c r="P57" i="9"/>
  <c r="D6" i="74"/>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<sst xmlns="http://schemas.openxmlformats.org/spreadsheetml/2006/main" count="9135" uniqueCount="3296">
  <si>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</si>
  <si>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</si>
  <si>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</si>
  <si>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</si>
  <si>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</si>
  <si>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</si>
  <si>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</si>
  <si>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</si>
  <si>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</si>
  <si>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</si>
  <si>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</si>
  <si>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</si>
  <si>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</si>
  <si>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</si>
  <si>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</si>
  <si>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</si>
  <si>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</si>
  <si>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</si>
  <si>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</si>
  <si>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</si>
  <si>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</si>
  <si>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</si>
  <si>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</si>
  <si>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</si>
  <si>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</si>
  <si>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</si>
  <si>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</si>
  <si>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</si>
  <si>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</si>
  <si>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</si>
  <si>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</si>
  <si>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</si>
  <si>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</si>
  <si>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</si>
  <si>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</si>
  <si>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</si>
  <si>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</si>
  <si>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</si>
  <si>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</si>
  <si>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</si>
  <si>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</si>
  <si>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</si>
  <si>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</si>
  <si>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</si>
  <si>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</si>
  <si>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</si>
  <si>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</si>
  <si>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</si>
  <si>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</si>
  <si>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</si>
  <si>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</si>
  <si>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</si>
  <si>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</si>
  <si>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</si>
  <si>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</si>
  <si>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</si>
  <si>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</si>
  <si>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</si>
  <si>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</si>
  <si>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</si>
  <si>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</si>
  <si>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</si>
  <si>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</si>
  <si>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</si>
  <si>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</si>
  <si>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</si>
  <si>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</si>
  <si>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</si>
  <si>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</si>
  <si>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</si>
  <si>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</si>
  <si>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</si>
  <si>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</si>
  <si>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</si>
  <si>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</si>
  <si>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</si>
  <si>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</si>
  <si>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</si>
  <si>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</si>
  <si>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</si>
  <si>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</si>
  <si>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</si>
  <si>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</si>
  <si>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</si>
  <si>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</si>
  <si>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</si>
  <si>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</si>
  <si>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</si>
  <si>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</si>
  <si>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</si>
  <si>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</si>
  <si>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</si>
  <si>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</si>
  <si>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</si>
  <si>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</si>
  <si>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</si>
  <si>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</si>
  <si>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</si>
  <si>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</si>
  <si>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</si>
  <si>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</si>
  <si>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</si>
  <si>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</si>
  <si>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</si>
  <si>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</si>
  <si>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</si>
  <si>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</si>
  <si>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</si>
  <si>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</si>
  <si>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</si>
  <si>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</si>
  <si>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</si>
  <si>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</si>
  <si>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</si>
  <si>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</si>
  <si>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</si>
  <si>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</si>
  <si>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</si>
  <si>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</si>
  <si>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</si>
  <si>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</si>
  <si>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</si>
  <si>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</si>
  <si>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</si>
  <si>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</si>
  <si>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</si>
  <si>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</si>
  <si>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</si>
  <si>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</si>
  <si>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</si>
  <si>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</si>
  <si>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</si>
  <si>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</si>
  <si>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</si>
  <si>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</si>
  <si>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</si>
  <si>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</si>
  <si>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</si>
  <si>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</si>
  <si>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</si>
  <si>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</si>
  <si>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</si>
  <si>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</si>
  <si>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</si>
  <si>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</si>
  <si>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</si>
  <si>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</si>
  <si>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</si>
  <si>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</si>
  <si>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</si>
  <si>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</si>
  <si>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</si>
  <si>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</si>
  <si>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</si>
  <si>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</si>
  <si>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</si>
  <si>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</si>
  <si>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</si>
  <si>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</si>
  <si>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</si>
  <si>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</si>
  <si>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</si>
  <si>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</si>
  <si>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</si>
  <si>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</si>
  <si>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</si>
  <si>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</si>
  <si>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</si>
  <si>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</si>
  <si>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</si>
  <si>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</si>
  <si>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</si>
  <si>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</si>
  <si>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</si>
  <si>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</si>
  <si>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</si>
  <si>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</si>
  <si>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</si>
  <si>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</si>
  <si>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</si>
  <si>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</si>
  <si>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</si>
  <si>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</si>
  <si>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</si>
  <si>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</si>
  <si>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</si>
  <si>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</si>
  <si>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</si>
  <si>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</si>
  <si>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</si>
  <si>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</si>
  <si>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</si>
  <si>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</si>
  <si>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</si>
  <si>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</si>
  <si>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</si>
  <si>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</si>
  <si>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</si>
  <si>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</si>
  <si>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</si>
  <si>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</si>
  <si>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</si>
  <si>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</si>
  <si>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</si>
  <si>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</si>
  <si>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</si>
  <si>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</si>
  <si>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</si>
  <si>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</si>
  <si>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</si>
  <si>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</si>
  <si>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</si>
  <si>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</si>
  <si>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</si>
  <si>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</si>
  <si>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</si>
  <si>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</si>
  <si>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</si>
  <si>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</si>
  <si>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</si>
  <si>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</si>
  <si>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</si>
  <si>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</si>
  <si>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</si>
  <si>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</si>
  <si>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</si>
  <si>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</si>
  <si>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</si>
  <si>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</si>
  <si>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</si>
  <si>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</si>
  <si>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</si>
  <si>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</si>
  <si>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</si>
  <si>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</si>
  <si>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</si>
  <si>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</si>
  <si>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</si>
  <si>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</si>
  <si>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</si>
  <si>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</si>
  <si>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</si>
  <si>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</si>
  <si>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</si>
  <si>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</si>
  <si>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</si>
  <si>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</si>
  <si>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</si>
  <si>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</si>
  <si>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</si>
  <si>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</si>
  <si>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</si>
  <si>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</si>
  <si>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</si>
  <si>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</si>
  <si>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</si>
  <si>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</si>
  <si>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</si>
  <si>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</si>
  <si>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</si>
  <si>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</si>
  <si>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</si>
  <si>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</si>
  <si>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</si>
  <si>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</si>
  <si>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</si>
  <si>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</si>
  <si>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</si>
  <si>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</si>
  <si>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</si>
  <si>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</si>
  <si>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</si>
  <si>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</si>
  <si>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</si>
  <si>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</si>
  <si>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</si>
  <si>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</si>
  <si>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</si>
  <si>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</si>
  <si>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</si>
  <si>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</si>
  <si>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</si>
  <si>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</si>
  <si>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</si>
  <si>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</si>
  <si>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</si>
  <si>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</si>
  <si>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</si>
  <si>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</si>
  <si>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</si>
  <si>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</si>
  <si>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</si>
  <si>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</si>
  <si>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</si>
  <si>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</si>
  <si>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</si>
  <si>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</si>
  <si>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</si>
  <si>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</si>
  <si>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</si>
  <si>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</si>
  <si>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</si>
  <si>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</si>
  <si>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</si>
  <si>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</si>
  <si>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</si>
  <si>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</si>
  <si>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</si>
  <si>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</si>
  <si>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</si>
  <si>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</si>
  <si>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</si>
  <si>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</si>
  <si>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</si>
  <si>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</si>
  <si>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</si>
  <si>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</si>
  <si>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</si>
  <si>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</si>
  <si>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</si>
  <si>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</si>
  <si>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</si>
  <si>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</si>
  <si>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</si>
  <si>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</si>
  <si>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</si>
  <si>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</si>
  <si>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</si>
  <si>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</si>
  <si>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</si>
  <si>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</si>
  <si>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</si>
  <si>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</si>
  <si>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</si>
  <si>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</si>
  <si>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</si>
  <si>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</si>
  <si>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</si>
  <si>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</si>
  <si>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</si>
  <si>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</si>
  <si>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</si>
  <si>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</si>
  <si>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</si>
  <si>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</si>
  <si>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</si>
  <si>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</si>
  <si>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</si>
  <si>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</si>
  <si>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</si>
  <si>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</si>
  <si>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</si>
  <si>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</si>
  <si>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</si>
  <si>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</si>
  <si>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</si>
  <si>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</si>
  <si>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</si>
  <si>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</si>
  <si>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</si>
  <si>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</si>
  <si>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</si>
  <si>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</si>
  <si>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</si>
  <si>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</si>
  <si>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</si>
  <si>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</si>
  <si>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</si>
  <si>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</si>
  <si>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</si>
  <si>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</si>
  <si>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</si>
  <si>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</si>
  <si>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</si>
  <si>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</si>
  <si>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</si>
  <si>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</si>
  <si>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</si>
  <si>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</si>
  <si>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</si>
  <si>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</si>
  <si>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</si>
  <si>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</si>
  <si>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</si>
  <si>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</si>
  <si>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</si>
  <si>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</si>
  <si>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</si>
  <si>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</si>
  <si>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</si>
  <si>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</si>
  <si>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</si>
  <si>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</si>
  <si>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</si>
  <si>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</si>
  <si>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</si>
  <si>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</si>
  <si>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</si>
  <si>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</si>
  <si>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</si>
  <si>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</si>
  <si>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</si>
  <si>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</si>
  <si>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</si>
  <si>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</si>
  <si>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</si>
  <si>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</si>
  <si>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</si>
  <si>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</si>
  <si>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</si>
  <si>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</si>
  <si>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</si>
  <si>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</si>
  <si>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</si>
  <si>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</si>
  <si>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</si>
  <si>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</si>
  <si>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</si>
  <si>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</si>
  <si>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</si>
  <si>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</si>
  <si>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</si>
  <si>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</si>
  <si>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</si>
  <si>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</si>
  <si>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</si>
  <si>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</si>
  <si>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</si>
  <si>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</si>
  <si>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</si>
  <si>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</si>
  <si>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</si>
  <si>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</si>
  <si>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</si>
  <si>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</si>
  <si>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</si>
  <si>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</si>
  <si>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</si>
  <si>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</si>
  <si>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</si>
  <si>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</si>
  <si>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</si>
  <si>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</si>
  <si>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</si>
  <si>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</si>
  <si>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</si>
  <si>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</si>
  <si>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</si>
  <si>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</si>
  <si>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</si>
  <si>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</si>
  <si>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</si>
  <si>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</si>
  <si>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</si>
  <si>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</si>
  <si>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</si>
  <si>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</si>
  <si>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</si>
  <si>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</si>
  <si>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</si>
  <si>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</si>
  <si>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</si>
  <si>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</si>
  <si>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</si>
  <si>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</si>
  <si>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</si>
  <si>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</si>
  <si>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</si>
  <si>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</si>
  <si>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</si>
  <si>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</si>
  <si>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</si>
  <si>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</si>
  <si>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</si>
  <si>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</si>
  <si>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</si>
  <si>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</si>
  <si>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</si>
  <si>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</si>
  <si>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</si>
  <si>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</si>
  <si>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</si>
  <si>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</si>
  <si>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</si>
  <si>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</si>
  <si>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</si>
  <si>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</si>
  <si>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</si>
  <si>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</si>
  <si>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</si>
  <si>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</si>
  <si>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</si>
  <si>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</si>
  <si>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</si>
  <si>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</si>
  <si>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</si>
  <si>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</si>
  <si>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</si>
  <si>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</si>
  <si>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</si>
  <si>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</si>
  <si>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</si>
  <si>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</si>
  <si>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</si>
  <si>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</si>
  <si>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</si>
  <si>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</si>
  <si>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</si>
  <si>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</si>
  <si>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</si>
  <si>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</si>
  <si>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</si>
  <si>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</si>
  <si>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</si>
  <si>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</si>
  <si>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</si>
  <si>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</si>
  <si>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</si>
  <si>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</si>
  <si>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</si>
  <si>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</si>
  <si>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</si>
  <si>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</si>
  <si>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</si>
  <si>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</si>
  <si>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</si>
  <si>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</si>
  <si>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</si>
  <si>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</si>
  <si>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</si>
  <si>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</si>
  <si>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</si>
  <si>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</si>
  <si>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</si>
  <si>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</si>
  <si>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</si>
  <si>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</si>
  <si>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</si>
  <si>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</si>
  <si>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</si>
  <si>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</si>
  <si>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</si>
  <si>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</si>
  <si>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</si>
  <si>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</si>
  <si>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</si>
  <si>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</si>
  <si>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</si>
  <si>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</si>
  <si>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</si>
  <si>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</si>
  <si>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</si>
  <si>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</si>
  <si>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</si>
  <si>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</si>
  <si>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</si>
  <si>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</si>
  <si>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</si>
  <si>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</si>
  <si>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</si>
  <si>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</si>
  <si>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</si>
  <si>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</si>
  <si>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</si>
  <si>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</si>
  <si>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</si>
  <si>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</si>
  <si>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</si>
  <si>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</si>
  <si>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</si>
  <si>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</si>
  <si>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</si>
  <si>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</si>
  <si>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</si>
  <si>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</si>
  <si>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</si>
  <si>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</si>
  <si>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</si>
  <si>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</si>
  <si>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</si>
  <si>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</si>
  <si>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</si>
  <si>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</si>
  <si>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</si>
  <si>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</si>
  <si>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</si>
  <si>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</si>
  <si>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</si>
  <si>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</si>
  <si>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</si>
  <si>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</si>
  <si>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</si>
  <si>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</si>
  <si>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</si>
  <si>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</si>
  <si>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</si>
  <si>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</si>
  <si>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</si>
  <si>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</si>
  <si>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</si>
  <si>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</si>
  <si>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</si>
  <si>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</si>
  <si>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</si>
  <si>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</si>
  <si>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</si>
  <si>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</si>
  <si>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</si>
  <si>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</si>
  <si>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</si>
  <si>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</si>
  <si>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</si>
  <si>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</si>
  <si>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</si>
  <si>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</si>
  <si>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</si>
  <si>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</si>
  <si>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</si>
  <si>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</si>
  <si>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</si>
  <si>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</si>
  <si>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</si>
  <si>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</si>
  <si>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</si>
  <si>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</si>
  <si>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</si>
  <si>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</si>
  <si>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</si>
  <si>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</si>
  <si>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</si>
  <si>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</si>
  <si>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</si>
  <si>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</si>
  <si>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</si>
  <si>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</si>
  <si>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</si>
  <si>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</si>
  <si>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</si>
  <si>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</si>
  <si>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</si>
  <si>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</si>
  <si>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</si>
  <si>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</si>
  <si>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</si>
  <si>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</si>
  <si>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</si>
  <si>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</si>
  <si>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</si>
  <si>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</si>
  <si>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</si>
  <si>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</si>
  <si>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</si>
  <si>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</si>
  <si>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</si>
  <si>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</si>
  <si>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</si>
  <si>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</si>
  <si>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</si>
  <si>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</si>
  <si>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</si>
  <si>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</si>
  <si>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</si>
  <si>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</si>
  <si>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</si>
  <si>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</si>
  <si>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</si>
  <si>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</si>
  <si>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</si>
  <si>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</si>
  <si>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</si>
  <si>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</si>
  <si>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</si>
  <si>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</si>
  <si>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</si>
  <si>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</si>
  <si>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</si>
  <si>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</si>
  <si>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</si>
  <si>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</si>
  <si>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</si>
  <si>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</si>
  <si>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</si>
  <si>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</si>
  <si>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</si>
  <si>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</si>
  <si>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</si>
  <si>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</si>
  <si>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</si>
  <si>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</si>
  <si>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</si>
  <si>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</si>
  <si>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</si>
  <si>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</si>
  <si>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</si>
  <si>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</si>
  <si>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</si>
  <si>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</si>
  <si>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</si>
  <si>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</si>
  <si>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</si>
  <si>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</si>
  <si>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</si>
  <si>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</si>
  <si>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</si>
  <si>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</si>
  <si>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</si>
  <si>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</si>
  <si>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</si>
  <si>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</si>
  <si>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</si>
  <si>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</si>
  <si>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</si>
  <si>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</si>
  <si>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</si>
  <si>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</si>
  <si>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</si>
  <si>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</si>
  <si>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</si>
  <si>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</si>
  <si>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</si>
  <si>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</si>
  <si>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</si>
  <si>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</si>
  <si>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</si>
  <si>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</si>
  <si>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</si>
  <si>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</si>
  <si>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</si>
  <si>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</si>
  <si>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</si>
  <si>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</si>
  <si>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</si>
  <si>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</si>
  <si>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</si>
  <si>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</si>
  <si>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</si>
  <si>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</si>
  <si>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</si>
  <si>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</si>
  <si>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</si>
  <si>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</si>
  <si>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</si>
  <si>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</si>
  <si>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</si>
  <si>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</si>
  <si>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</si>
  <si>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</si>
  <si>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</si>
  <si>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</si>
  <si>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</si>
  <si>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</si>
  <si>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</si>
  <si>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</si>
  <si>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</si>
  <si>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</si>
  <si>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</si>
  <si>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</si>
  <si>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</si>
  <si>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</si>
  <si>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</si>
  <si>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</si>
  <si>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</si>
  <si>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</si>
  <si>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</si>
  <si>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</si>
  <si>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</si>
  <si>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</si>
  <si>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</si>
  <si>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</si>
  <si>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</si>
  <si>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</si>
  <si>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</si>
  <si>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</si>
  <si>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</si>
  <si>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</si>
  <si>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</si>
  <si>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</si>
  <si>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</si>
  <si>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</si>
  <si>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</si>
  <si>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</si>
  <si>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</si>
  <si>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</si>
  <si>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</si>
  <si>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</si>
  <si>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</si>
  <si>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</si>
  <si>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</si>
  <si>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</si>
  <si>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</si>
  <si>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</si>
  <si>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</si>
  <si>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</si>
  <si>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</si>
  <si>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</si>
  <si>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</si>
  <si>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</si>
  <si>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</si>
  <si>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</si>
  <si>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</si>
  <si>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</si>
  <si>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</si>
  <si>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</si>
  <si>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</si>
  <si>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</si>
  <si>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</si>
  <si>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</si>
  <si>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</si>
  <si>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</si>
  <si>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</si>
  <si>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</si>
  <si>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</si>
  <si>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</si>
  <si>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</si>
  <si>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</si>
  <si>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</si>
  <si>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</si>
  <si>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</si>
  <si>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</si>
  <si>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</si>
  <si>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</si>
  <si>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</si>
  <si>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</si>
  <si>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</si>
  <si>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</si>
  <si>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</si>
  <si>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</si>
  <si>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</si>
  <si>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</si>
  <si>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</si>
  <si>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</si>
  <si>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</si>
  <si>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</si>
  <si>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</si>
  <si>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</si>
  <si>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</si>
  <si>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</si>
  <si>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</si>
  <si>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</si>
  <si>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</si>
  <si>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</si>
  <si>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</si>
  <si>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</si>
  <si>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</si>
  <si>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</si>
  <si>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</si>
  <si>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</si>
  <si>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</si>
  <si>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</si>
  <si>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</si>
  <si>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</si>
  <si>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</si>
  <si>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</si>
  <si>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</si>
  <si>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</si>
  <si>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</si>
  <si>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</si>
  <si>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</si>
  <si>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</si>
  <si>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</si>
  <si>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</si>
  <si>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</si>
  <si>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</si>
  <si>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</si>
  <si>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</si>
  <si>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</si>
  <si>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</si>
  <si>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</si>
  <si>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</si>
  <si>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</si>
  <si>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</si>
  <si>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</si>
  <si>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</si>
  <si>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</si>
  <si>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</si>
  <si>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</si>
  <si>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</si>
  <si>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</si>
  <si>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</si>
  <si>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</si>
  <si>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</si>
  <si>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</si>
  <si>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</si>
  <si>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</si>
  <si>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</si>
  <si>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</si>
  <si>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</si>
  <si>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</si>
  <si>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</si>
  <si>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</si>
  <si>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</si>
  <si>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</si>
  <si>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</si>
  <si>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</si>
  <si>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</si>
  <si>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</si>
  <si>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</si>
  <si>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</si>
  <si>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</si>
  <si>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</si>
  <si>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</si>
  <si>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</si>
  <si>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</si>
  <si>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</si>
  <si>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</si>
  <si>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</si>
  <si>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</si>
  <si>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</si>
  <si>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</si>
  <si>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</si>
  <si>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</si>
  <si>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</si>
  <si>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</si>
  <si>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</si>
  <si>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</si>
  <si>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</si>
  <si>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</si>
  <si>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</si>
  <si>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</si>
  <si>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</si>
  <si>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</si>
  <si>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</si>
  <si>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</si>
  <si>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</si>
  <si>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</si>
  <si>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</si>
  <si>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</si>
  <si>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</si>
  <si>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</si>
  <si>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</si>
  <si>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</si>
  <si>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</si>
  <si>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</si>
  <si>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</si>
  <si>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</si>
  <si>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</si>
  <si>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</si>
  <si>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</si>
  <si>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</si>
  <si>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</si>
  <si>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</si>
  <si>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</si>
  <si>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</si>
  <si>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</si>
  <si>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</si>
  <si>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</si>
  <si>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</si>
  <si>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</si>
  <si>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</si>
  <si>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</si>
  <si>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</si>
  <si>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</si>
  <si>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</si>
  <si>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</si>
  <si>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</si>
  <si>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</si>
  <si>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</si>
  <si>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</si>
  <si>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</si>
  <si>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</si>
  <si>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</si>
  <si>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</si>
  <si>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</si>
  <si>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</si>
  <si>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</si>
  <si>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</si>
  <si>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</si>
  <si>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</si>
  <si>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</si>
  <si>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</si>
  <si>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</si>
  <si>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</si>
  <si>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</si>
  <si>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</si>
  <si>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</si>
  <si>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</si>
  <si>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</si>
  <si>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</si>
  <si>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</si>
  <si>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</si>
  <si>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</si>
  <si>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</si>
  <si>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</si>
  <si>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</si>
  <si>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</si>
  <si>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</si>
  <si>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</si>
  <si>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</si>
  <si>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</si>
  <si>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</si>
  <si>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</si>
  <si>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</si>
  <si>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</si>
  <si>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</si>
  <si>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</si>
  <si>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</si>
  <si>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</si>
  <si>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</si>
  <si>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</si>
  <si>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</si>
  <si>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</si>
  <si>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</si>
  <si>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</si>
  <si>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</si>
  <si>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</si>
  <si>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</si>
  <si>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</si>
  <si>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</si>
  <si>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</si>
  <si>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</si>
  <si>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</si>
  <si>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</si>
  <si>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</si>
  <si>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</si>
  <si>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</si>
  <si>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</si>
  <si>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</si>
  <si>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</si>
  <si>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</si>
  <si>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</si>
  <si>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</si>
  <si>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</si>
  <si>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</si>
  <si>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</si>
  <si>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</si>
  <si>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</si>
  <si>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</si>
  <si>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</si>
  <si>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</si>
  <si>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</si>
  <si>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</si>
  <si>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</si>
  <si>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</si>
  <si>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</si>
  <si>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</si>
  <si>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</si>
  <si>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</si>
  <si>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</si>
  <si>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</si>
  <si>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</si>
  <si>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</si>
  <si>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</si>
  <si>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</si>
  <si>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</si>
  <si>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</si>
  <si>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</si>
  <si>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</si>
  <si>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</si>
  <si>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</si>
  <si>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</si>
  <si>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</si>
  <si>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</si>
  <si>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</si>
  <si>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</si>
  <si>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</si>
  <si>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</si>
  <si>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</si>
  <si>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</si>
  <si>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</si>
  <si>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</si>
  <si>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</si>
  <si>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</si>
  <si>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</si>
  <si>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</si>
  <si>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</si>
  <si>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</si>
  <si>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</si>
  <si>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</si>
  <si>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</si>
  <si>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</si>
  <si>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</si>
  <si>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</si>
  <si>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</si>
  <si>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</si>
  <si>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</si>
  <si>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</si>
  <si>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</si>
  <si>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</si>
  <si>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</si>
  <si>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</si>
  <si>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</si>
  <si>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</si>
  <si>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</si>
  <si>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</si>
  <si>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</si>
  <si>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</si>
  <si>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</si>
  <si>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</si>
  <si>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</si>
  <si>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</si>
  <si>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</si>
  <si>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</si>
  <si>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</si>
  <si>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</si>
  <si>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</si>
  <si>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</si>
  <si>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</si>
  <si>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</si>
  <si>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</si>
  <si>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</si>
  <si>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</si>
  <si>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</si>
  <si>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</si>
  <si>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</si>
  <si>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</si>
  <si>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</si>
  <si>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</si>
  <si>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</si>
  <si>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</si>
  <si>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</si>
  <si>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</si>
  <si>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</si>
  <si>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</si>
  <si>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</si>
  <si>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</si>
  <si>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</si>
  <si>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</si>
  <si>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</si>
  <si>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</si>
  <si>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</si>
  <si>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</si>
  <si>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</si>
  <si>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</si>
  <si>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</si>
  <si>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</si>
  <si>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</si>
  <si>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</si>
  <si>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</si>
  <si>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</si>
  <si>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</si>
  <si>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</si>
  <si>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</si>
  <si>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</si>
  <si>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</si>
  <si>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</si>
  <si>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</si>
  <si>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</si>
  <si>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</si>
  <si>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</si>
  <si>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</si>
  <si>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</si>
  <si>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</si>
  <si>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</si>
  <si>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</si>
  <si>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</si>
  <si>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</si>
  <si>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</si>
  <si>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</si>
  <si>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</si>
  <si>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</si>
  <si>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</si>
  <si>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</si>
  <si>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</si>
  <si>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</si>
  <si>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</si>
  <si>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</si>
  <si>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</si>
  <si>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</si>
  <si>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</si>
  <si>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</si>
  <si>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</si>
  <si>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</si>
  <si>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</si>
  <si>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</si>
  <si>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</si>
  <si>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</si>
  <si>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</si>
  <si>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</si>
  <si>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</si>
  <si>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</si>
  <si>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</si>
  <si>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</si>
  <si>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</si>
  <si>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</si>
  <si>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</si>
  <si>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</si>
  <si>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</si>
  <si>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</si>
  <si>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</si>
  <si>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</si>
  <si>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</si>
  <si>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</si>
  <si>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</si>
  <si>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</si>
  <si>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</si>
  <si>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</si>
  <si>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</si>
  <si>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</si>
  <si>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</si>
  <si>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</si>
  <si>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</si>
  <si>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</si>
  <si>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</si>
  <si>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</si>
  <si>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</si>
  <si>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</si>
  <si>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</si>
  <si>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</si>
  <si>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</si>
  <si>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</si>
  <si>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</si>
  <si>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</si>
  <si>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</si>
  <si>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</si>
  <si>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</si>
  <si>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</si>
  <si>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</si>
  <si>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</si>
  <si>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</si>
  <si>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</si>
  <si>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</si>
  <si>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</si>
  <si>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</si>
  <si>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</si>
  <si>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</si>
  <si>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</si>
  <si>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</si>
  <si>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</si>
  <si>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</si>
  <si>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</si>
  <si>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</si>
  <si>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</si>
  <si>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</si>
  <si>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</si>
  <si>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</si>
  <si>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</si>
  <si>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</si>
  <si>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</si>
  <si>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</si>
  <si>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</si>
  <si>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</si>
  <si>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</si>
  <si>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</si>
  <si>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</si>
  <si>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</si>
  <si>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</si>
  <si>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</si>
  <si>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</si>
  <si>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</si>
  <si>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</si>
  <si>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</si>
  <si>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</si>
  <si>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</si>
  <si>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</si>
  <si>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</si>
  <si>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</si>
  <si>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</si>
  <si>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</si>
  <si>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</si>
  <si>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</si>
  <si>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</si>
  <si>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</si>
  <si>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</si>
  <si>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</si>
  <si>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</si>
  <si>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</si>
  <si>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</si>
  <si>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</si>
  <si>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</si>
  <si>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</si>
  <si>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</si>
  <si>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</si>
  <si>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</si>
  <si>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</si>
  <si>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</si>
  <si>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</si>
  <si>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</si>
  <si>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</si>
  <si>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</si>
  <si>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</si>
  <si>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</si>
  <si>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</si>
  <si>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</si>
  <si>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</si>
  <si>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</si>
  <si>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</si>
  <si>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</si>
  <si>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</si>
  <si>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</si>
  <si>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</si>
  <si>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</si>
  <si>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</si>
  <si>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</si>
  <si>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</si>
  <si>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</si>
  <si>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</si>
  <si>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</si>
  <si>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</si>
  <si>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</si>
  <si>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</si>
  <si>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</si>
  <si>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</si>
  <si>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</si>
  <si>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</si>
  <si>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</si>
  <si>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</si>
  <si>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</si>
  <si>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</si>
  <si>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</si>
  <si>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</si>
  <si>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</si>
  <si>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</si>
  <si>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</si>
  <si>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</si>
  <si>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</si>
  <si>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</si>
  <si>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</si>
  <si>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</si>
  <si>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</si>
  <si>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</si>
  <si>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</si>
  <si>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</si>
  <si>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</si>
  <si>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</si>
  <si>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</si>
  <si>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</si>
  <si>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</si>
  <si>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</si>
  <si>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</si>
  <si>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</si>
  <si>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</si>
  <si>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</si>
  <si>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</si>
  <si>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</si>
  <si>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</si>
  <si>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</si>
  <si>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</si>
  <si>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</si>
  <si>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</si>
  <si>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</si>
  <si>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</si>
  <si>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</si>
  <si>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</si>
  <si>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</si>
  <si>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</si>
  <si>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</si>
  <si>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</si>
  <si>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</si>
  <si>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</si>
  <si>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</si>
  <si>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</si>
  <si>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</si>
  <si>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</si>
  <si>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</si>
  <si>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</si>
  <si>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</si>
  <si>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</si>
  <si>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</si>
  <si>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</si>
  <si>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</si>
  <si>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</si>
  <si>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</si>
  <si>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</si>
  <si>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</si>
  <si>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</si>
  <si>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</si>
  <si>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</si>
  <si>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</si>
  <si>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</si>
  <si>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</si>
  <si>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</si>
  <si>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</si>
  <si>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</si>
  <si>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</si>
  <si>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</si>
  <si>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</si>
  <si>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</si>
  <si>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</si>
  <si>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</si>
  <si>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</si>
  <si>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</si>
  <si>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</si>
  <si>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</si>
  <si>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</si>
  <si>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</si>
  <si>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</si>
  <si>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</si>
  <si>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</si>
  <si>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</si>
  <si>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</si>
  <si>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</si>
  <si>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</si>
  <si>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</si>
  <si>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</si>
  <si>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</si>
  <si>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</si>
  <si>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</si>
  <si>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</si>
  <si>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</si>
  <si>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</si>
  <si>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</si>
  <si>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</si>
  <si>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</si>
  <si>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</si>
  <si>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</si>
  <si>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</si>
  <si>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</si>
  <si>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</si>
  <si>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</si>
  <si>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</si>
  <si>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</si>
  <si>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</si>
  <si>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</si>
  <si>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</si>
  <si>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</si>
  <si>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</si>
  <si>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</si>
  <si>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</si>
  <si>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</si>
  <si>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</si>
  <si>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</si>
  <si>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</si>
  <si>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</si>
  <si>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</si>
  <si>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</si>
  <si>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</si>
  <si>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</si>
  <si>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</si>
  <si>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</si>
  <si>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</si>
  <si>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</si>
  <si>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</si>
  <si>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</si>
  <si>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</si>
  <si>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</si>
  <si>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</si>
  <si>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</si>
  <si>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</si>
  <si>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</si>
  <si>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</si>
  <si>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</si>
  <si>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</si>
  <si>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</si>
  <si>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</si>
  <si>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</si>
  <si>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</si>
  <si>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</si>
  <si>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</si>
  <si>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</si>
  <si>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</si>
  <si>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</si>
  <si>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</si>
  <si>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</si>
  <si>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</si>
  <si>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</si>
  <si>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</si>
  <si>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</si>
  <si>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</si>
  <si>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</si>
  <si>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</si>
  <si>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</si>
  <si>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</si>
  <si>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</si>
  <si>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</si>
  <si>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</si>
  <si>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</si>
  <si>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</si>
  <si>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</si>
  <si>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</si>
  <si>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</si>
  <si>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</si>
  <si>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</si>
  <si>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</si>
  <si>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</si>
  <si>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</si>
  <si>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</si>
  <si>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</si>
  <si>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</si>
  <si>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</si>
  <si>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</si>
  <si>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</si>
  <si>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</si>
  <si>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</si>
  <si>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</si>
  <si>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</si>
  <si>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</si>
  <si>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</si>
  <si>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</si>
  <si>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</si>
  <si>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</si>
  <si>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</si>
  <si>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</si>
  <si>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</si>
  <si>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</si>
  <si>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</si>
  <si>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</si>
  <si>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</si>
  <si>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</si>
  <si>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</si>
  <si>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</si>
  <si>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</si>
  <si>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</si>
  <si>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</si>
  <si>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</si>
  <si>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</si>
  <si>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</si>
  <si>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</si>
  <si>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</si>
  <si>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</si>
  <si>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</si>
  <si>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</si>
  <si>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</si>
  <si>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</si>
  <si>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</si>
  <si>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</si>
  <si>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</si>
  <si>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</si>
  <si>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</si>
  <si>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</si>
  <si>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</si>
  <si>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</si>
  <si>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</si>
  <si>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</si>
  <si>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</si>
  <si>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</si>
  <si>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</si>
  <si>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</si>
  <si>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</si>
  <si>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</si>
  <si>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</si>
  <si>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</si>
  <si>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</si>
  <si>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</si>
  <si>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</si>
  <si>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</si>
  <si>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</si>
  <si>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</si>
  <si>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</si>
  <si>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</si>
  <si>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</si>
  <si>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</si>
  <si>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</si>
  <si>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</si>
  <si>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</si>
  <si>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</si>
  <si>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</si>
  <si>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</si>
  <si>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</si>
  <si>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</si>
  <si>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</si>
  <si>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</si>
  <si>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</si>
  <si>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</si>
  <si>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</si>
  <si>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</si>
  <si>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</si>
  <si>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</si>
  <si>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</si>
  <si>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</si>
  <si>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</si>
  <si>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</si>
  <si>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</si>
  <si>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</si>
  <si>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</si>
  <si>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</si>
  <si>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</si>
  <si>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</si>
  <si>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</si>
  <si>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</si>
  <si>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</si>
  <si>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</si>
  <si>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</si>
  <si>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</si>
  <si>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</si>
  <si>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</si>
  <si>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</si>
  <si>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</si>
  <si>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</si>
  <si>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</si>
  <si>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</si>
  <si>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</si>
  <si>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</si>
  <si>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</si>
  <si>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</si>
  <si>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</si>
  <si>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</si>
  <si>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</si>
  <si>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</si>
  <si>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</si>
  <si>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</si>
  <si>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</si>
  <si>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</si>
  <si>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</si>
  <si>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</si>
  <si>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</si>
  <si>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</si>
  <si>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</si>
  <si>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</si>
  <si>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</si>
  <si>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</si>
  <si>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</si>
  <si>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</si>
  <si>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</si>
  <si>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</si>
  <si>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</si>
  <si>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</si>
  <si>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</si>
  <si>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</si>
  <si>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</si>
  <si>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</si>
  <si>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</si>
  <si>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</si>
  <si>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</si>
  <si>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</si>
  <si>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</si>
  <si>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</si>
  <si>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</si>
  <si>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</si>
  <si>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</si>
  <si>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</si>
  <si>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</si>
  <si>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</si>
  <si>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</si>
  <si>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</si>
  <si>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</si>
  <si>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</si>
  <si>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</si>
  <si>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</si>
  <si>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</si>
  <si>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</si>
  <si>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</si>
  <si>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</si>
  <si>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</si>
  <si>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</si>
  <si>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</si>
  <si>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</si>
  <si>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</si>
  <si>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</si>
  <si>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</si>
  <si>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</si>
  <si>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</si>
  <si>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</si>
  <si>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</si>
  <si>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</si>
  <si>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</si>
  <si>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</si>
  <si>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</si>
  <si>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</si>
  <si>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</si>
  <si>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</si>
  <si>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</si>
  <si>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</si>
  <si>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</si>
  <si>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</si>
  <si>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</si>
  <si>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</si>
  <si>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</si>
  <si>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</si>
  <si>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</si>
  <si>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</si>
  <si>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</si>
  <si>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</si>
  <si>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</si>
  <si>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</si>
  <si>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</si>
  <si>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</si>
  <si>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</si>
  <si>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</si>
  <si>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</si>
  <si>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</si>
  <si>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</si>
  <si>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</si>
  <si>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</si>
  <si>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</si>
  <si>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</si>
  <si>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</si>
  <si>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</si>
  <si>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</si>
  <si>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</si>
  <si>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</si>
  <si>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</si>
  <si>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</si>
  <si>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</si>
  <si>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</si>
  <si>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</si>
  <si>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</si>
  <si>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</si>
  <si>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</si>
  <si>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</si>
  <si>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</si>
  <si>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</si>
  <si>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</si>
  <si>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</si>
  <si>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</si>
  <si>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</si>
  <si>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</si>
  <si>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</si>
  <si>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</si>
  <si>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</si>
  <si>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</si>
  <si>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</si>
  <si>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</si>
  <si>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</si>
  <si>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</si>
  <si>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</si>
  <si>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</si>
  <si>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</si>
  <si>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</si>
  <si>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</si>
  <si>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</si>
  <si>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</si>
  <si>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</si>
  <si>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</si>
  <si>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</si>
  <si>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</si>
  <si>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</si>
  <si>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</si>
  <si>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</si>
  <si>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</si>
  <si>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</si>
  <si>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</si>
  <si>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</si>
  <si>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</si>
  <si>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</si>
  <si>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</si>
  <si>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</si>
  <si>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</si>
  <si>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</si>
  <si>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</si>
  <si>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</si>
  <si>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</si>
  <si>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</si>
  <si>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</si>
  <si>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</si>
  <si>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</si>
  <si>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</si>
  <si>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</si>
  <si>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</si>
  <si>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</si>
  <si>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</si>
  <si>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</si>
  <si>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</si>
  <si>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</si>
  <si>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</si>
  <si>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</si>
  <si>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</si>
  <si>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</si>
  <si>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</si>
  <si>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</si>
  <si>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</si>
  <si>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</si>
  <si>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</si>
  <si>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</si>
  <si>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</si>
  <si>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</si>
  <si>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</si>
  <si>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</si>
  <si>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</si>
  <si>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</si>
  <si>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</si>
  <si>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</si>
  <si>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</si>
  <si>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</si>
  <si>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</si>
  <si>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</si>
  <si>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</si>
  <si>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</si>
  <si>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</si>
  <si>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</si>
  <si>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</si>
  <si>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</si>
  <si>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</si>
  <si>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</si>
  <si>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</si>
  <si>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</si>
  <si>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</si>
  <si>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</si>
  <si>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</si>
  <si>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</si>
  <si>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</si>
  <si>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</si>
  <si>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</si>
  <si>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</si>
  <si>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</si>
  <si>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</si>
  <si>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</si>
  <si>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</si>
  <si>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</si>
  <si>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</si>
  <si>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</si>
  <si>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</si>
  <si>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</si>
  <si>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</si>
  <si>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</si>
  <si>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</si>
  <si>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</si>
  <si>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</si>
  <si>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</si>
  <si>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</si>
  <si>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</si>
  <si>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</si>
  <si>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</si>
  <si>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</si>
  <si>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</si>
  <si>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</si>
  <si>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</si>
  <si>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</si>
  <si>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</si>
  <si>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</si>
  <si>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</si>
  <si>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</si>
  <si>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</si>
  <si>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</si>
  <si>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</si>
  <si>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</si>
  <si>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</si>
  <si>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</si>
  <si>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</si>
  <si>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</si>
  <si>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</si>
  <si>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</si>
  <si>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</si>
  <si>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</si>
  <si>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</si>
  <si>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</si>
  <si>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</si>
  <si>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</si>
  <si>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</si>
  <si>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</si>
  <si>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</si>
  <si>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</si>
  <si>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</si>
  <si>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</si>
  <si>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</si>
  <si>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</si>
  <si>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</si>
  <si>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</si>
  <si>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</si>
  <si>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</si>
  <si>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</si>
  <si>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</si>
  <si>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</si>
  <si>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</si>
  <si>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</si>
  <si>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</si>
  <si>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</si>
  <si>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</si>
  <si>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</si>
  <si>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</si>
  <si>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</si>
  <si>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</si>
  <si>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</si>
  <si>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</si>
  <si>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</si>
  <si>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</si>
  <si>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</si>
  <si>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</si>
  <si>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</si>
  <si>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</si>
  <si>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</si>
  <si>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</si>
  <si>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</si>
  <si>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</si>
  <si>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</si>
  <si>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</si>
  <si>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</si>
  <si>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</si>
  <si>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</si>
  <si>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</si>
  <si>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</si>
  <si>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</si>
  <si>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</si>
  <si>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</si>
  <si>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</si>
  <si>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</si>
  <si>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</si>
  <si>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</si>
  <si>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</si>
  <si>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</si>
  <si>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</si>
  <si>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</si>
  <si>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</si>
  <si>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</si>
  <si>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</si>
  <si>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</si>
  <si>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</si>
  <si>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</si>
  <si>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</si>
  <si>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</si>
  <si>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</si>
  <si>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</si>
  <si>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</si>
  <si>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</si>
  <si>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</si>
  <si>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</si>
  <si>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</si>
  <si>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</si>
  <si>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</si>
  <si>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</si>
  <si>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</si>
  <si>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</si>
  <si>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</si>
  <si>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</si>
  <si>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</si>
  <si>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</si>
  <si>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</si>
  <si>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</si>
  <si>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</si>
  <si>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</si>
  <si>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</si>
  <si>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</si>
  <si>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</si>
  <si>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</si>
  <si>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</si>
  <si>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</si>
  <si>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</si>
  <si>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</si>
  <si>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</si>
  <si>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</si>
  <si>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</si>
  <si>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</si>
  <si>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</si>
  <si>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</si>
  <si>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</si>
  <si>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</si>
  <si>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</si>
  <si>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</si>
  <si>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</si>
  <si>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</si>
  <si>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</si>
  <si>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</si>
  <si>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</si>
  <si>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</si>
  <si>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</si>
  <si>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</si>
  <si>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</si>
  <si>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</si>
  <si>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</si>
  <si>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</si>
  <si>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</si>
  <si>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</si>
  <si>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</si>
  <si>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</si>
  <si>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</si>
  <si>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</si>
  <si>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</si>
  <si>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</si>
  <si>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</si>
  <si>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</si>
  <si>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</si>
  <si>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</si>
  <si>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</si>
  <si>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</si>
  <si>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</si>
  <si>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</si>
  <si>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</si>
  <si>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</si>
  <si>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</si>
  <si>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</si>
  <si>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</si>
  <si>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</si>
  <si>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</si>
  <si>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</si>
  <si>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</si>
  <si>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</si>
  <si>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</si>
  <si>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</si>
  <si>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</si>
  <si>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</si>
  <si>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</si>
  <si>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</si>
  <si>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</si>
  <si>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</si>
  <si>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</si>
  <si>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</si>
  <si>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</si>
  <si>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</si>
  <si>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</si>
  <si>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</si>
  <si>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</si>
  <si>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</si>
  <si>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</si>
  <si>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</si>
  <si>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</si>
  <si>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</si>
  <si>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</si>
  <si>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</si>
  <si>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</si>
  <si>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</si>
  <si>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</si>
  <si>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</si>
  <si>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</si>
  <si>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</si>
  <si>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</si>
  <si>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</si>
  <si>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</si>
  <si>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</si>
  <si>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</si>
  <si>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</si>
  <si>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</si>
  <si>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</si>
  <si>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</si>
  <si>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</si>
  <si>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</si>
  <si>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</si>
  <si>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</si>
  <si>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</si>
  <si>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</si>
  <si>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</si>
  <si>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</si>
  <si>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</si>
  <si>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</si>
  <si>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</si>
  <si>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</si>
  <si>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</si>
  <si>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</si>
  <si>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</si>
  <si>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</si>
  <si>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</si>
  <si>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</si>
  <si>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</si>
  <si>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</si>
  <si>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</si>
  <si>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</si>
  <si>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</si>
  <si>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</si>
  <si>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</si>
  <si>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</si>
  <si>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</si>
  <si>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</si>
  <si>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</si>
  <si>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</si>
  <si>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</si>
  <si>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</si>
  <si>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</si>
  <si>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</si>
  <si>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</si>
  <si>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</si>
  <si>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</si>
  <si>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</si>
  <si>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</si>
  <si>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</si>
  <si>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</si>
  <si>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</si>
  <si>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</si>
  <si>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</si>
  <si>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</si>
  <si>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</si>
  <si>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</si>
  <si>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</si>
  <si>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</si>
  <si>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</si>
  <si>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</si>
  <si>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</si>
  <si>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</si>
  <si>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</si>
  <si>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</si>
  <si>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</si>
  <si>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</si>
  <si>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</si>
  <si>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</si>
  <si>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</si>
  <si>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</si>
  <si>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</si>
  <si>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</si>
  <si>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</si>
  <si>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</si>
  <si>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</si>
  <si>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</si>
  <si>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</si>
  <si>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</si>
  <si>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</si>
  <si>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</si>
  <si>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</si>
  <si>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</si>
  <si>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</si>
  <si>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</si>
  <si>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</si>
  <si>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</si>
  <si>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</si>
  <si>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</si>
  <si>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</si>
  <si>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</si>
  <si>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</si>
  <si>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</si>
  <si>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</si>
  <si>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</si>
  <si>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</si>
  <si>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</si>
  <si>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</si>
  <si>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</si>
  <si>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</si>
  <si>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</si>
  <si>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</si>
  <si>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</si>
  <si>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</si>
  <si>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</si>
  <si>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</si>
  <si>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</si>
  <si>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</si>
  <si>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</si>
  <si>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</si>
  <si>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</si>
  <si>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</si>
  <si>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</si>
  <si>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</si>
  <si>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</si>
  <si>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</si>
  <si>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</si>
  <si>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</si>
  <si>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</si>
  <si>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</si>
  <si>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</si>
  <si>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</si>
  <si>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</si>
  <si>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</si>
  <si>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</si>
  <si>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</si>
  <si>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</si>
  <si>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</si>
  <si>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</si>
  <si>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</si>
  <si>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</si>
  <si>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</si>
  <si>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</si>
  <si>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</si>
  <si>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</si>
  <si>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</si>
  <si>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</si>
  <si>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</si>
  <si>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</si>
  <si>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</si>
  <si>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</si>
  <si>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</si>
  <si>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</si>
  <si>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</si>
  <si>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</si>
  <si>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</si>
  <si>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</si>
  <si>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</si>
  <si>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</si>
  <si>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</si>
  <si>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</si>
  <si>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</si>
  <si>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</si>
  <si>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</si>
  <si>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</si>
  <si>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</si>
  <si>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</si>
  <si>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</si>
  <si>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</si>
  <si>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</si>
  <si>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</si>
  <si>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</si>
  <si>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</si>
  <si>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</si>
  <si>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</si>
  <si>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</si>
  <si>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</si>
  <si>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</si>
  <si>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</si>
  <si>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</si>
  <si>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</si>
  <si>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</si>
  <si>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</si>
  <si>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</si>
  <si>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</si>
  <si>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</si>
  <si>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</si>
  <si>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</si>
  <si>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</si>
  <si>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</si>
  <si>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</si>
  <si>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</si>
  <si>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</si>
  <si>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</si>
  <si>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</si>
  <si>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</si>
  <si>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</si>
  <si>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</si>
  <si>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</si>
  <si>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</si>
  <si>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</si>
  <si>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</si>
  <si>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</si>
  <si>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</si>
  <si>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</si>
  <si>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</si>
  <si>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</si>
  <si>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</si>
  <si>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</si>
  <si>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</si>
  <si>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</si>
  <si>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</si>
  <si>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</si>
  <si>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</si>
  <si>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</si>
  <si>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</si>
  <si>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</si>
  <si>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</si>
  <si>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</si>
  <si>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</si>
  <si>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</si>
  <si>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</si>
  <si>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</si>
  <si>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</si>
  <si>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</si>
  <si>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</si>
  <si>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</si>
  <si>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</si>
  <si>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</si>
  <si>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</si>
  <si>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</si>
  <si>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</si>
  <si>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</si>
  <si>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</si>
  <si>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</si>
  <si>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</si>
  <si>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</si>
  <si>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</si>
  <si>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</si>
  <si>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</si>
  <si>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</si>
  <si>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</si>
  <si>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</si>
  <si>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</si>
  <si>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</si>
  <si>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</si>
  <si>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</si>
  <si>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</si>
  <si>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</si>
  <si>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</si>
  <si>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</si>
  <si>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</si>
  <si>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</si>
  <si>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</si>
  <si>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</si>
  <si>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</si>
  <si>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</si>
  <si>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</si>
  <si>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</si>
  <si>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</si>
  <si>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</si>
  <si>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</si>
  <si>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</si>
  <si>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</si>
  <si>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</si>
  <si>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</si>
  <si>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</si>
  <si>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</si>
  <si>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</si>
  <si>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</si>
  <si>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</si>
  <si>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</si>
  <si>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</si>
  <si>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</si>
  <si>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</si>
  <si>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</si>
  <si>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</si>
  <si>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</si>
  <si>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</si>
  <si>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</si>
  <si>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</si>
  <si>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</si>
  <si>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</si>
  <si>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</si>
  <si>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</si>
  <si>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</si>
  <si>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</si>
  <si>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</si>
  <si>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</si>
  <si>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</si>
  <si>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</si>
  <si>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</si>
  <si>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</si>
  <si>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</si>
  <si>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</si>
  <si>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</si>
  <si>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</si>
  <si>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</si>
  <si>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</si>
  <si>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</si>
  <si>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</si>
  <si>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</si>
  <si>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</si>
  <si>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</si>
  <si>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</si>
  <si>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</si>
  <si>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</si>
  <si>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</si>
  <si>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</si>
  <si>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</si>
  <si>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</si>
  <si>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</si>
  <si>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</si>
  <si>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</si>
  <si>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</si>
  <si>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</si>
  <si>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</si>
  <si>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</si>
  <si>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</si>
  <si>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</si>
  <si>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</si>
  <si>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</si>
  <si>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</si>
  <si>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</si>
  <si>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</si>
  <si>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</si>
  <si>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</si>
  <si>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</si>
  <si>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</si>
  <si>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</si>
  <si>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</si>
  <si>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</si>
  <si>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</si>
  <si>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</si>
  <si>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</si>
  <si>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</si>
  <si>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</si>
  <si>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</si>
  <si>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</si>
  <si>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</si>
  <si>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</si>
  <si>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</si>
  <si>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</si>
  <si>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</si>
  <si>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</si>
  <si>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</si>
  <si>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</si>
  <si>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</si>
  <si>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</si>
  <si>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</si>
  <si>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</si>
  <si>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</si>
  <si>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</si>
  <si>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</si>
  <si>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</si>
  <si>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</si>
  <si>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</si>
  <si>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</si>
  <si>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</si>
  <si>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</si>
  <si>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</si>
  <si>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</si>
  <si>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</si>
  <si>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</si>
  <si>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</si>
  <si>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</si>
  <si>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</si>
  <si>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</si>
  <si>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</si>
  <si>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</si>
  <si>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</si>
  <si>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</si>
  <si>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</si>
  <si>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</si>
  <si>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</si>
  <si>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</si>
  <si>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</si>
  <si>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</si>
  <si>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</si>
  <si>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</si>
  <si>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</si>
  <si>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</si>
  <si>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</si>
  <si>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</si>
  <si>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</si>
  <si>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</si>
  <si>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</si>
  <si>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</si>
  <si>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</si>
  <si>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</si>
  <si>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</si>
  <si>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</si>
  <si>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</si>
  <si>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</si>
  <si>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</si>
  <si>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</si>
  <si>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</si>
  <si>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</si>
  <si>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</si>
  <si>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</si>
  <si>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</si>
  <si>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</si>
  <si>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</si>
  <si>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</si>
  <si>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</si>
  <si>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</si>
  <si>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</si>
  <si>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</si>
  <si>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</si>
  <si>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</si>
  <si>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</si>
  <si>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</si>
  <si>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</si>
  <si>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</si>
  <si>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</si>
  <si>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</si>
  <si>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</si>
  <si>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</si>
  <si>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</si>
  <si>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</si>
  <si>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</si>
  <si>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</si>
  <si>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</si>
  <si>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</si>
  <si>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</si>
  <si>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</si>
  <si>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</si>
  <si>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</si>
  <si>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</si>
  <si>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</si>
  <si>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</si>
  <si>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</si>
  <si>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</si>
  <si>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</si>
  <si>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</si>
  <si>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</si>
  <si>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</si>
  <si>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</si>
  <si>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</si>
  <si>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</si>
  <si>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</si>
  <si>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</si>
  <si>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</si>
  <si>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</si>
  <si>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</si>
  <si>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</si>
  <si>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</si>
  <si>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</si>
  <si>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</si>
  <si>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</si>
  <si>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</si>
  <si>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</si>
  <si>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</si>
  <si>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</si>
  <si>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</si>
  <si>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</si>
  <si>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</si>
  <si>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</si>
  <si>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</si>
  <si>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</si>
  <si>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</si>
  <si>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</si>
  <si>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</si>
  <si>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</si>
  <si>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</si>
  <si>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</si>
  <si>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</si>
  <si>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</si>
  <si>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</si>
  <si>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</si>
  <si>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</si>
  <si>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</si>
  <si>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</si>
  <si>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</si>
  <si>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</si>
  <si>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</si>
  <si>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</si>
  <si>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</si>
  <si>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</si>
  <si>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</si>
  <si>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</si>
  <si>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</si>
  <si>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</si>
  <si>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</si>
  <si>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</si>
  <si>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</si>
  <si>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</si>
  <si>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</si>
  <si>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</si>
  <si>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</si>
  <si>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</si>
  <si>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</si>
  <si>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</si>
  <si>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</si>
  <si>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</si>
  <si>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</si>
  <si>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</si>
  <si>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</si>
  <si>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</si>
  <si>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</si>
  <si>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</si>
  <si>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</si>
  <si>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</si>
  <si>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</si>
  <si>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</si>
  <si>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</si>
  <si>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</si>
  <si>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</si>
  <si>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</si>
  <si>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</si>
  <si>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</si>
  <si>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</si>
  <si>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</si>
  <si>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</si>
  <si>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</si>
  <si>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</si>
  <si>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</si>
  <si>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</si>
  <si>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</si>
  <si>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</si>
  <si>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</si>
  <si>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</si>
  <si>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</si>
  <si>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</si>
  <si>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</si>
  <si>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</si>
  <si>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</si>
  <si>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</si>
  <si>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</si>
  <si>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</si>
  <si>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</si>
  <si>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</si>
  <si>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</si>
  <si>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</si>
  <si>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</si>
  <si>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</si>
  <si>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</si>
  <si>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</si>
  <si>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</si>
  <si>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</si>
  <si>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</si>
  <si>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</si>
  <si>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</si>
  <si>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</si>
  <si>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</si>
  <si>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</si>
  <si>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</si>
  <si>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</si>
  <si>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</si>
  <si>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</si>
  <si>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</si>
  <si>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</si>
  <si>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</si>
  <si>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</si>
  <si>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</si>
  <si>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</si>
  <si>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</si>
  <si>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</si>
  <si>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</si>
  <si>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</si>
  <si>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</si>
  <si>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</si>
  <si>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</si>
  <si>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</si>
  <si>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</si>
  <si>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</si>
  <si>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</si>
  <si>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</si>
  <si>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</si>
  <si>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</si>
  <si>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</si>
  <si>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</si>
  <si>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</si>
  <si>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</si>
  <si>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</si>
  <si>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</si>
  <si>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</si>
  <si>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</si>
  <si>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</si>
  <si>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</si>
  <si>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</si>
  <si>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</si>
  <si>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</si>
  <si>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</si>
  <si>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</si>
  <si>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</si>
  <si>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</si>
  <si>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</si>
  <si>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</si>
  <si>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</si>
  <si>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</si>
  <si>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</si>
  <si>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</si>
  <si>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</si>
  <si>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</si>
  <si>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</si>
  <si>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</si>
  <si>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</si>
  <si>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</si>
  <si>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</si>
  <si>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</si>
  <si>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</si>
  <si>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</si>
  <si>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</si>
  <si>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</si>
  <si>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</si>
  <si>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</si>
  <si>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</si>
  <si>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</si>
  <si>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</si>
  <si>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</si>
  <si>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</si>
  <si>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</si>
  <si>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</si>
  <si>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</si>
  <si>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</si>
  <si>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</si>
  <si>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</si>
  <si>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</si>
  <si>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</si>
  <si>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</si>
  <si>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</si>
  <si>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</si>
  <si>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</si>
  <si>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</si>
  <si>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</si>
  <si>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</si>
  <si>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</si>
  <si>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</si>
  <si>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</si>
  <si>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</si>
  <si>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</si>
  <si>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</si>
  <si>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</si>
  <si>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</si>
  <si>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</si>
  <si>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</si>
  <si>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</si>
  <si>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</si>
  <si>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</si>
  <si>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</si>
  <si>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</si>
  <si>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</si>
  <si>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</si>
  <si>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</si>
  <si>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</si>
  <si>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</si>
  <si>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</si>
  <si>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</si>
  <si>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</si>
  <si>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</si>
  <si>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</si>
  <si>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</si>
  <si>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</si>
  <si>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</si>
  <si>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</si>
  <si>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</si>
  <si>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</si>
  <si>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</si>
  <si>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</si>
  <si>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</si>
  <si>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</si>
  <si>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</si>
  <si>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</si>
  <si>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</si>
  <si>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</si>
  <si>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</si>
  <si>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</si>
  <si>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</si>
  <si>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</si>
  <si>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</si>
  <si>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</si>
  <si>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</si>
  <si>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</si>
  <si>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</si>
  <si>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</si>
  <si>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</si>
  <si>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</si>
  <si>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</si>
  <si>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</si>
  <si>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</si>
  <si>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</si>
  <si>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</si>
  <si>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</si>
  <si>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</si>
  <si>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</si>
  <si>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</si>
  <si>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</si>
  <si>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</si>
  <si>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</si>
  <si>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</si>
  <si>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</si>
  <si>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</si>
  <si>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</si>
  <si>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</si>
  <si>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</si>
  <si>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</si>
  <si>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</si>
  <si>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</si>
  <si>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</si>
  <si>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</si>
  <si>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</si>
  <si>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</si>
  <si>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</si>
  <si>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</si>
  <si>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</si>
  <si>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</si>
  <si>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</si>
  <si>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</si>
  <si>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</si>
  <si>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</si>
  <si>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</si>
  <si>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</si>
  <si>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</si>
  <si>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</si>
  <si>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</si>
  <si>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</si>
  <si>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</si>
  <si>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</si>
  <si>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</si>
  <si>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</si>
  <si>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</si>
  <si>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</si>
  <si>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</si>
  <si>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</si>
  <si>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</si>
  <si>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</si>
  <si>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</si>
  <si>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</si>
  <si>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</si>
  <si>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</si>
  <si>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</si>
  <si>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</si>
  <si>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</si>
  <si>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</si>
  <si>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</si>
  <si>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</si>
  <si>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</si>
  <si>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</si>
  <si>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</si>
  <si>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</si>
  <si>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</si>
  <si>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</si>
  <si>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</si>
  <si>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</si>
  <si>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</si>
  <si>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</si>
  <si>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</si>
  <si>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</si>
  <si>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</si>
  <si>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</si>
  <si>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</si>
  <si>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</si>
  <si>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</si>
  <si>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</si>
  <si>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</si>
  <si>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</si>
  <si>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</si>
  <si>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</si>
  <si>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</si>
  <si>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</si>
  <si>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</si>
  <si>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</si>
  <si>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</si>
  <si>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</si>
  <si>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</si>
  <si>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</si>
  <si>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</si>
  <si>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</si>
  <si>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</si>
  <si>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</si>
  <si>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</si>
  <si>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</si>
  <si>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</si>
  <si>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</si>
  <si>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</si>
  <si>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</si>
  <si>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</si>
  <si>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</si>
  <si>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</si>
  <si>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</si>
  <si>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</si>
  <si>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</si>
  <si>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</si>
  <si>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</si>
  <si>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</si>
  <si>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</si>
  <si>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</si>
  <si>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</si>
  <si>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</si>
  <si>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</si>
  <si>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</si>
  <si>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</si>
  <si>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</si>
  <si>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</si>
  <si>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</si>
  <si>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</si>
  <si>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</si>
  <si>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</si>
  <si>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</si>
  <si>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</si>
  <si>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</si>
  <si>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</si>
  <si>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</si>
  <si>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</si>
  <si>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</si>
  <si>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</si>
  <si>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</si>
  <si>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</si>
  <si>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</si>
  <si>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</si>
  <si>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</si>
  <si>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</si>
  <si>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</si>
  <si>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</si>
  <si>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</si>
  <si>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</si>
  <si>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</si>
  <si>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</si>
  <si>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</si>
  <si>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</si>
  <si>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</si>
  <si>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</si>
  <si>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</si>
  <si>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</si>
  <si>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</si>
  <si>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</si>
  <si>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</si>
  <si>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</si>
  <si>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</si>
  <si>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</si>
  <si>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</si>
  <si>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</si>
  <si>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</si>
  <si>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</si>
  <si>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</si>
  <si>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</si>
  <si>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</si>
  <si>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</si>
  <si>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</si>
  <si>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</si>
  <si>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</si>
  <si>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</si>
  <si>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</si>
  <si>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</si>
  <si>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</si>
  <si>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</si>
  <si>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</si>
  <si>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</si>
  <si>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</si>
  <si>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</si>
  <si>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</si>
  <si>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</si>
  <si>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</si>
  <si>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</si>
  <si>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</si>
  <si>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</si>
  <si>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</si>
  <si>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</si>
  <si>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</si>
  <si>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</si>
  <si>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</si>
  <si>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</si>
  <si>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</si>
  <si>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</si>
  <si>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</si>
  <si>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</si>
  <si>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</si>
  <si>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</si>
  <si>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</si>
  <si>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</si>
  <si>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</si>
  <si>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</si>
  <si>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</si>
  <si>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</si>
  <si>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</si>
  <si>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</si>
  <si>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</si>
  <si>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</si>
  <si>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</si>
  <si>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</si>
  <si>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</si>
  <si>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</si>
  <si>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</si>
  <si>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</si>
  <si>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</si>
  <si>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</si>
  <si>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</si>
  <si>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</si>
  <si>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</si>
  <si>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</si>
  <si>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</si>
  <si>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</si>
  <si>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</si>
  <si>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</si>
  <si>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</si>
  <si>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</si>
  <si>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</si>
  <si>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</si>
  <si>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</si>
  <si>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</si>
  <si>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</si>
  <si>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</si>
  <si>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</si>
  <si>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</si>
  <si>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</si>
  <si>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</si>
  <si>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</si>
  <si>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</si>
  <si>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</si>
  <si>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</si>
  <si>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</si>
  <si>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</si>
  <si>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</si>
  <si>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</si>
  <si>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</si>
  <si>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</si>
  <si>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</si>
  <si>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</si>
  <si>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</si>
  <si>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</si>
  <si>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</si>
  <si>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</si>
  <si>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</si>
  <si>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</si>
  <si>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</si>
  <si>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</si>
  <si>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</si>
  <si>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</si>
  <si>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</si>
  <si>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</si>
  <si>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</si>
  <si>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</si>
  <si>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</si>
  <si>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</si>
  <si>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</si>
  <si>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</si>
  <si>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</si>
  <si>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</si>
  <si>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</si>
  <si>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</si>
  <si>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</si>
  <si>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</si>
  <si>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</si>
  <si>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</si>
  <si>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</si>
  <si>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</si>
  <si>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</si>
  <si>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</si>
  <si>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</si>
  <si>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</si>
  <si>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</si>
  <si>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</si>
  <si>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</si>
  <si>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</si>
  <si>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</si>
  <si>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</si>
  <si>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</si>
  <si>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</si>
  <si>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</si>
  <si>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</si>
  <si>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</si>
  <si>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</si>
  <si>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</si>
  <si>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</si>
  <si>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</si>
  <si>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</si>
  <si>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</si>
  <si>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</si>
  <si>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</si>
  <si>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</si>
  <si>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</si>
  <si>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</si>
  <si>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</si>
  <si>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</si>
  <si>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</si>
  <si>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</si>
  <si>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</si>
  <si>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</si>
  <si>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</si>
  <si>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</si>
  <si>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</si>
  <si>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</si>
  <si>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</si>
  <si>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</si>
  <si>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</si>
  <si>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</si>
  <si>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</si>
  <si>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</si>
  <si>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</si>
  <si>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</si>
  <si>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</si>
  <si>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</si>
  <si>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</si>
  <si>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</si>
  <si>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</si>
  <si>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</si>
  <si>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</si>
  <si>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</si>
  <si>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</si>
  <si>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</si>
  <si>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</si>
  <si>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</si>
  <si>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</si>
  <si>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</si>
  <si>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</si>
  <si>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</si>
  <si>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</si>
  <si>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</si>
  <si>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</si>
  <si>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</si>
  <si>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</si>
  <si>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</si>
  <si>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</si>
  <si>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</si>
  <si>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</si>
  <si>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</si>
  <si>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</si>
  <si>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</si>
  <si>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</si>
  <si>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</si>
  <si>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</si>
  <si>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</si>
  <si>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</si>
  <si>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</si>
  <si>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</si>
  <si>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</si>
  <si>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</si>
  <si>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</si>
  <si>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</si>
  <si>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</si>
  <si>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</si>
  <si>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</si>
  <si>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</si>
  <si>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</si>
  <si>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</si>
  <si>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</si>
  <si>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</si>
  <si>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</si>
  <si>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</si>
  <si>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</si>
  <si>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</si>
  <si>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</si>
  <si>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</si>
  <si>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</si>
  <si>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</si>
  <si>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</si>
  <si>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</si>
  <si>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</si>
  <si>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</si>
  <si>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</si>
  <si>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</si>
  <si>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</si>
  <si>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</si>
  <si>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</si>
  <si>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</si>
  <si>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</si>
  <si>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</si>
  <si>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</si>
  <si>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</si>
  <si>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</si>
  <si>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</si>
  <si>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</si>
  <si>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</si>
  <si>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</si>
  <si>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</si>
  <si>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</si>
  <si>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</si>
  <si>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</si>
  <si>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</si>
  <si>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</si>
  <si>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</si>
  <si>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</si>
  <si>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</si>
  <si>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</si>
  <si>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</si>
  <si>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地上</t>
  </si>
  <si>
    <t>出让</t>
  </si>
  <si>
    <t>企业</t>
  </si>
  <si>
    <t>郑燚</t>
  </si>
  <si>
    <t>王鹏</t>
  </si>
  <si>
    <t>抵押</t>
  </si>
  <si>
    <t>房地产抵押价值</t>
  </si>
  <si>
    <t>其他：</t>
  </si>
  <si>
    <t>是</t>
  </si>
  <si>
    <t>底商</t>
  </si>
  <si>
    <t>郑州二级</t>
  </si>
  <si>
    <t>郑州二级</t>
    <phoneticPr fontId="3" type="noConversion"/>
  </si>
  <si>
    <t>成本法</t>
  </si>
  <si>
    <t>假设开发法</t>
  </si>
  <si>
    <r>
      <rPr>
        <sz val="11"/>
        <color indexed="8"/>
        <rFont val="仿宋_GB2312"/>
        <family val="3"/>
        <charset val="134"/>
      </rPr>
      <t>正常</t>
    </r>
  </si>
  <si>
    <t>正常</t>
  </si>
  <si>
    <t>一般</t>
  </si>
  <si>
    <t>较好</t>
  </si>
  <si>
    <t>七通</t>
  </si>
  <si>
    <t>双面临街</t>
  </si>
  <si>
    <t>快速路</t>
  </si>
  <si>
    <t>主干道</t>
  </si>
  <si>
    <t>次干道</t>
  </si>
  <si>
    <t>支路</t>
  </si>
  <si>
    <t>较规则</t>
  </si>
  <si>
    <t>较适宜</t>
  </si>
  <si>
    <t>七通一平</t>
  </si>
  <si>
    <t>六通一平</t>
  </si>
  <si>
    <t>五通一平</t>
  </si>
  <si>
    <t>四通一平</t>
  </si>
  <si>
    <t>三通一平</t>
  </si>
  <si>
    <t>土地面积</t>
    <phoneticPr fontId="143" type="noConversion"/>
  </si>
  <si>
    <t>上海市</t>
    <phoneticPr fontId="6" type="noConversion"/>
  </si>
  <si>
    <t>上海禾柃房地产开发有限公司</t>
    <phoneticPr fontId="6" type="noConversion"/>
  </si>
  <si>
    <t>大业信托有限责任公司</t>
    <phoneticPr fontId="6" type="noConversion"/>
  </si>
  <si>
    <r>
      <rPr>
        <sz val="12"/>
        <color theme="9" tint="-0.249977111117893"/>
        <rFont val="宋体"/>
        <family val="3"/>
        <charset val="134"/>
      </rPr>
      <t>《不动产权证》</t>
    </r>
    <r>
      <rPr>
        <sz val="12"/>
        <color theme="9" tint="-0.249977111117893"/>
        <rFont val="Arial"/>
        <family val="2"/>
      </rPr>
      <t>[</t>
    </r>
    <r>
      <rPr>
        <sz val="12"/>
        <color theme="9" tint="-0.249977111117893"/>
        <rFont val="宋体"/>
        <family val="3"/>
        <charset val="134"/>
      </rPr>
      <t>沪（</t>
    </r>
    <r>
      <rPr>
        <sz val="12"/>
        <color theme="9" tint="-0.249977111117893"/>
        <rFont val="Arial"/>
        <family val="2"/>
      </rPr>
      <t>2016</t>
    </r>
    <r>
      <rPr>
        <sz val="12"/>
        <color theme="9" tint="-0.249977111117893"/>
        <rFont val="宋体"/>
        <family val="3"/>
        <charset val="134"/>
      </rPr>
      <t>）崇字不动产权第</t>
    </r>
    <r>
      <rPr>
        <sz val="12"/>
        <color theme="9" tint="-0.249977111117893"/>
        <rFont val="Arial"/>
        <family val="2"/>
      </rPr>
      <t>001648</t>
    </r>
    <r>
      <rPr>
        <sz val="12"/>
        <color theme="9" tint="-0.249977111117893"/>
        <rFont val="宋体"/>
        <family val="3"/>
        <charset val="134"/>
      </rPr>
      <t>号</t>
    </r>
    <r>
      <rPr>
        <sz val="12"/>
        <color theme="9" tint="-0.249977111117893"/>
        <rFont val="Arial"/>
        <family val="2"/>
      </rPr>
      <t>]</t>
    </r>
    <phoneticPr fontId="6" type="noConversion"/>
  </si>
  <si>
    <t>建筑面积</t>
    <phoneticPr fontId="143" type="noConversion"/>
  </si>
  <si>
    <t>车库</t>
  </si>
  <si>
    <t>住宅</t>
  </si>
  <si>
    <t>普通住宅</t>
  </si>
  <si>
    <t>地下</t>
  </si>
  <si>
    <t>宝山区罗店镇老镇区C1-2\C5-5地块</t>
  </si>
  <si>
    <t>崇明县长兴岛凤凰镇CX01单元07-04地块</t>
  </si>
  <si>
    <t>宝山区罗店镇老镇区</t>
  </si>
  <si>
    <t>崇明县长兴岛凤凰镇</t>
  </si>
  <si>
    <t>住宅</t>
    <phoneticPr fontId="31" type="noConversion"/>
  </si>
  <si>
    <r>
      <rPr>
        <sz val="11"/>
        <color indexed="8"/>
        <rFont val="宋体"/>
        <family val="3"/>
        <charset val="134"/>
      </rPr>
      <t>配建</t>
    </r>
    <r>
      <rPr>
        <sz val="11"/>
        <color indexed="8"/>
        <rFont val="Arial"/>
        <family val="2"/>
      </rPr>
      <t>5%</t>
    </r>
    <r>
      <rPr>
        <sz val="11"/>
        <color indexed="8"/>
        <rFont val="宋体"/>
        <family val="3"/>
        <charset val="134"/>
      </rPr>
      <t>公租房</t>
    </r>
    <phoneticPr fontId="31" type="noConversion"/>
  </si>
  <si>
    <r>
      <rPr>
        <sz val="11"/>
        <color indexed="8"/>
        <rFont val="宋体"/>
        <family val="3"/>
        <charset val="134"/>
      </rPr>
      <t>配建3.2</t>
    </r>
    <r>
      <rPr>
        <sz val="11"/>
        <color indexed="8"/>
        <rFont val="Arial"/>
        <family val="2"/>
      </rPr>
      <t>%</t>
    </r>
    <r>
      <rPr>
        <sz val="11"/>
        <color indexed="8"/>
        <rFont val="宋体"/>
        <family val="3"/>
        <charset val="134"/>
      </rPr>
      <t>公租房</t>
    </r>
    <phoneticPr fontId="31" type="noConversion"/>
  </si>
  <si>
    <r>
      <rPr>
        <sz val="11"/>
        <color theme="9" tint="-0.249977111117893"/>
        <rFont val="宋体"/>
        <family val="3"/>
        <charset val="134"/>
      </rPr>
      <t>金山区金山新城</t>
    </r>
    <r>
      <rPr>
        <sz val="11"/>
        <color theme="9" tint="-0.249977111117893"/>
        <rFont val="Arial"/>
        <family val="2"/>
      </rPr>
      <t>JSC1-0402</t>
    </r>
    <r>
      <rPr>
        <sz val="11"/>
        <color theme="9" tint="-0.249977111117893"/>
        <rFont val="宋体"/>
        <family val="3"/>
        <charset val="134"/>
      </rPr>
      <t>单元</t>
    </r>
    <r>
      <rPr>
        <sz val="11"/>
        <color theme="9" tint="-0.249977111117893"/>
        <rFont val="Arial"/>
        <family val="2"/>
      </rPr>
      <t>1-08A-01</t>
    </r>
    <r>
      <rPr>
        <sz val="11"/>
        <color theme="9" tint="-0.249977111117893"/>
        <rFont val="宋体"/>
        <family val="3"/>
        <charset val="134"/>
      </rPr>
      <t>、</t>
    </r>
    <r>
      <rPr>
        <sz val="11"/>
        <color theme="9" tint="-0.249977111117893"/>
        <rFont val="Arial"/>
        <family val="2"/>
      </rPr>
      <t>1-08B-01</t>
    </r>
    <r>
      <rPr>
        <sz val="11"/>
        <color theme="9" tint="-0.249977111117893"/>
        <rFont val="宋体"/>
        <family val="3"/>
        <charset val="134"/>
      </rPr>
      <t>地块</t>
    </r>
    <phoneticPr fontId="31" type="noConversion"/>
  </si>
  <si>
    <r>
      <rPr>
        <sz val="11"/>
        <color theme="9" tint="-0.249977111117893"/>
        <rFont val="宋体"/>
        <family val="3"/>
        <charset val="134"/>
      </rPr>
      <t>金山区山阳镇东方村红旗</t>
    </r>
    <r>
      <rPr>
        <sz val="11"/>
        <color theme="9" tint="-0.249977111117893"/>
        <rFont val="Arial"/>
        <family val="2"/>
      </rPr>
      <t>7</t>
    </r>
    <r>
      <rPr>
        <sz val="11"/>
        <color theme="9" tint="-0.249977111117893"/>
        <rFont val="宋体"/>
        <family val="3"/>
        <charset val="134"/>
      </rPr>
      <t>、</t>
    </r>
    <r>
      <rPr>
        <sz val="11"/>
        <color theme="9" tint="-0.249977111117893"/>
        <rFont val="Arial"/>
        <family val="2"/>
      </rPr>
      <t>8</t>
    </r>
    <r>
      <rPr>
        <sz val="11"/>
        <color theme="9" tint="-0.249977111117893"/>
        <rFont val="宋体"/>
        <family val="3"/>
        <charset val="134"/>
      </rPr>
      <t>组</t>
    </r>
    <phoneticPr fontId="31" type="noConversion"/>
  </si>
  <si>
    <t>70</t>
    <phoneticPr fontId="31" type="noConversion"/>
  </si>
  <si>
    <t>70</t>
    <phoneticPr fontId="31" type="noConversion"/>
  </si>
  <si>
    <t>较差</t>
  </si>
  <si>
    <t>单面临街</t>
  </si>
  <si>
    <t>建筑内容</t>
    <phoneticPr fontId="143" type="noConversion"/>
  </si>
  <si>
    <r>
      <t>1</t>
    </r>
    <r>
      <rPr>
        <sz val="11"/>
        <color theme="1"/>
        <rFont val="宋体"/>
        <family val="3"/>
        <charset val="134"/>
        <scheme val="minor"/>
      </rPr>
      <t>#</t>
    </r>
    <phoneticPr fontId="143" type="noConversion"/>
  </si>
  <si>
    <t>2#</t>
    <phoneticPr fontId="143" type="noConversion"/>
  </si>
  <si>
    <t>3#</t>
    <phoneticPr fontId="143" type="noConversion"/>
  </si>
  <si>
    <t>高层住宅</t>
  </si>
  <si>
    <t>高层住宅</t>
    <phoneticPr fontId="143" type="noConversion"/>
  </si>
  <si>
    <t>店铺</t>
    <phoneticPr fontId="143" type="noConversion"/>
  </si>
  <si>
    <t>非机动车库</t>
    <phoneticPr fontId="143" type="noConversion"/>
  </si>
  <si>
    <t>风井</t>
    <phoneticPr fontId="143" type="noConversion"/>
  </si>
  <si>
    <t>社区服务</t>
    <phoneticPr fontId="143" type="noConversion"/>
  </si>
  <si>
    <t>物业管理</t>
    <phoneticPr fontId="143" type="noConversion"/>
  </si>
  <si>
    <t>4#</t>
    <phoneticPr fontId="143" type="noConversion"/>
  </si>
  <si>
    <t>5#</t>
    <phoneticPr fontId="143" type="noConversion"/>
  </si>
  <si>
    <t>6#</t>
    <phoneticPr fontId="143" type="noConversion"/>
  </si>
  <si>
    <t>7#</t>
    <phoneticPr fontId="143" type="noConversion"/>
  </si>
  <si>
    <t>联列住宅</t>
  </si>
  <si>
    <t>联列住宅</t>
    <phoneticPr fontId="143" type="noConversion"/>
  </si>
  <si>
    <t>叠拼</t>
  </si>
  <si>
    <t>叠拼</t>
    <phoneticPr fontId="143" type="noConversion"/>
  </si>
  <si>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</si>
  <si>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</si>
  <si>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</si>
  <si>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</si>
  <si>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</si>
  <si>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</si>
  <si>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</si>
  <si>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</si>
  <si>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</si>
  <si>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</si>
  <si>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</si>
  <si>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</si>
  <si>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</si>
  <si>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</si>
  <si>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</si>
  <si>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</si>
  <si>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</si>
  <si>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</si>
  <si>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</si>
  <si>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</si>
  <si>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</si>
  <si>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</si>
  <si>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</si>
  <si>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</si>
  <si>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</si>
  <si>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</si>
  <si>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</si>
  <si>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</si>
  <si>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</si>
  <si>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</si>
  <si>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</si>
  <si>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</si>
  <si>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</si>
  <si>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</si>
  <si>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</si>
  <si>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</si>
  <si>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</si>
  <si>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</si>
  <si>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</si>
  <si>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</si>
  <si>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</si>
  <si>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</si>
  <si>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</si>
  <si>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</si>
  <si>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</si>
  <si>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</si>
  <si>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</si>
  <si>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</si>
  <si>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</si>
  <si>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</si>
  <si>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</si>
  <si>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</si>
  <si>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</si>
  <si>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</si>
  <si>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</si>
  <si>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</si>
  <si>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楼号</t>
    <phoneticPr fontId="143" type="noConversion"/>
  </si>
  <si>
    <t>地下车库</t>
    <phoneticPr fontId="143" type="noConversion"/>
  </si>
  <si>
    <t>地下商业</t>
    <phoneticPr fontId="143" type="noConversion"/>
  </si>
  <si>
    <t>高层住宅</t>
    <phoneticPr fontId="3" type="noConversion"/>
  </si>
  <si>
    <t>叠拼住宅</t>
  </si>
  <si>
    <t>叠拼住宅</t>
    <phoneticPr fontId="3" type="noConversion"/>
  </si>
  <si>
    <t>联列住宅</t>
    <phoneticPr fontId="3" type="noConversion"/>
  </si>
  <si>
    <t>商业</t>
    <phoneticPr fontId="3" type="noConversion"/>
  </si>
  <si>
    <t>地下车库</t>
    <phoneticPr fontId="3" type="noConversion"/>
  </si>
  <si>
    <t>设备用房</t>
    <phoneticPr fontId="3" type="noConversion"/>
  </si>
  <si>
    <t>物业服务</t>
    <phoneticPr fontId="3" type="noConversion"/>
  </si>
  <si>
    <t>配套</t>
    <phoneticPr fontId="3" type="noConversion"/>
  </si>
  <si>
    <t>联排</t>
  </si>
  <si>
    <t>地类判定</t>
  </si>
  <si>
    <t>序号</t>
  </si>
  <si>
    <t>幢号/门牌号</t>
  </si>
  <si>
    <t>室号</t>
  </si>
  <si>
    <t>1幢888弄1号</t>
  </si>
  <si>
    <t>1幢888弄2号</t>
  </si>
  <si>
    <t>2幢888弄3号</t>
  </si>
  <si>
    <t>2幢888弄5号</t>
  </si>
  <si>
    <t>3幢888弄6号</t>
  </si>
  <si>
    <t>3幢888弄7号</t>
  </si>
  <si>
    <t>52幢888弄371号</t>
  </si>
  <si>
    <t>52幢888弄372号</t>
  </si>
  <si>
    <t>54幢888弄379号</t>
  </si>
  <si>
    <t>54幢888弄382号</t>
  </si>
  <si>
    <t>54幢888弄383号</t>
  </si>
  <si>
    <t>57幢888弄408号</t>
  </si>
  <si>
    <t>57幢888弄411号</t>
  </si>
  <si>
    <t>57幢888弄415号</t>
  </si>
  <si>
    <t>57幢888弄417号</t>
  </si>
  <si>
    <t>57幢888弄418号</t>
  </si>
  <si>
    <t>58幢888弄419号</t>
  </si>
  <si>
    <t>58幢888弄421号</t>
  </si>
  <si>
    <t>58幢888弄423号</t>
  </si>
  <si>
    <t>58幢888弄425号</t>
  </si>
  <si>
    <t>58幢888弄427号</t>
  </si>
  <si>
    <t>58幢888弄430号</t>
  </si>
  <si>
    <t>抵押注销</t>
    <phoneticPr fontId="143" type="noConversion"/>
  </si>
  <si>
    <r>
      <t>少3</t>
    </r>
    <r>
      <rPr>
        <sz val="11"/>
        <color theme="1"/>
        <rFont val="宋体"/>
        <family val="3"/>
        <charset val="134"/>
        <scheme val="minor"/>
      </rPr>
      <t>01室</t>
    </r>
    <phoneticPr fontId="143" type="noConversion"/>
  </si>
  <si>
    <r>
      <t>少2</t>
    </r>
    <r>
      <rPr>
        <sz val="11"/>
        <color theme="1"/>
        <rFont val="宋体"/>
        <family val="3"/>
        <charset val="134"/>
        <scheme val="minor"/>
      </rPr>
      <t>01室</t>
    </r>
    <phoneticPr fontId="143" type="noConversion"/>
  </si>
  <si>
    <r>
      <t>少2</t>
    </r>
    <r>
      <rPr>
        <sz val="11"/>
        <color theme="1"/>
        <rFont val="宋体"/>
        <family val="3"/>
        <charset val="134"/>
        <scheme val="minor"/>
      </rPr>
      <t>01</t>
    </r>
    <phoneticPr fontId="143" type="noConversion"/>
  </si>
  <si>
    <r>
      <t>2幢</t>
    </r>
    <r>
      <rPr>
        <sz val="11"/>
        <color theme="1"/>
        <rFont val="宋体"/>
        <family val="3"/>
        <charset val="134"/>
        <scheme val="minor"/>
      </rPr>
      <t>3号</t>
    </r>
    <phoneticPr fontId="143" type="noConversion"/>
  </si>
  <si>
    <r>
      <t>1幢</t>
    </r>
    <r>
      <rPr>
        <sz val="11"/>
        <color theme="1"/>
        <rFont val="宋体"/>
        <family val="3"/>
        <charset val="134"/>
        <scheme val="minor"/>
      </rPr>
      <t>2号</t>
    </r>
    <phoneticPr fontId="143" type="noConversion"/>
  </si>
  <si>
    <t>1幢1号</t>
    <phoneticPr fontId="143" type="noConversion"/>
  </si>
  <si>
    <r>
      <t>3幢</t>
    </r>
    <r>
      <rPr>
        <sz val="11"/>
        <color theme="1"/>
        <rFont val="宋体"/>
        <family val="3"/>
        <charset val="134"/>
        <scheme val="minor"/>
      </rPr>
      <t>6号</t>
    </r>
    <phoneticPr fontId="143" type="noConversion"/>
  </si>
  <si>
    <r>
      <t>少3</t>
    </r>
    <r>
      <rPr>
        <sz val="11"/>
        <color theme="1"/>
        <rFont val="宋体"/>
        <family val="3"/>
        <charset val="134"/>
        <scheme val="minor"/>
      </rPr>
      <t>01室</t>
    </r>
    <phoneticPr fontId="143" type="noConversion"/>
  </si>
  <si>
    <r>
      <t>3幢</t>
    </r>
    <r>
      <rPr>
        <sz val="11"/>
        <color theme="1"/>
        <rFont val="宋体"/>
        <family val="3"/>
        <charset val="134"/>
        <scheme val="minor"/>
      </rPr>
      <t>7号</t>
    </r>
    <phoneticPr fontId="143" type="noConversion"/>
  </si>
  <si>
    <r>
      <t>少3</t>
    </r>
    <r>
      <rPr>
        <sz val="11"/>
        <color theme="1"/>
        <rFont val="宋体"/>
        <family val="3"/>
        <charset val="134"/>
        <scheme val="minor"/>
      </rPr>
      <t>01室</t>
    </r>
    <phoneticPr fontId="143" type="noConversion"/>
  </si>
  <si>
    <r>
      <t>少1</t>
    </r>
    <r>
      <rPr>
        <sz val="11"/>
        <color theme="1"/>
        <rFont val="宋体"/>
        <family val="3"/>
        <charset val="134"/>
        <scheme val="minor"/>
      </rPr>
      <t>704室</t>
    </r>
    <phoneticPr fontId="143" type="noConversion"/>
  </si>
  <si>
    <r>
      <t>少1</t>
    </r>
    <r>
      <rPr>
        <sz val="11"/>
        <color theme="1"/>
        <rFont val="宋体"/>
        <family val="3"/>
        <charset val="134"/>
        <scheme val="minor"/>
      </rPr>
      <t>704室</t>
    </r>
    <phoneticPr fontId="143" type="noConversion"/>
  </si>
  <si>
    <r>
      <t>2幢</t>
    </r>
    <r>
      <rPr>
        <sz val="11"/>
        <color theme="1"/>
        <rFont val="宋体"/>
        <family val="3"/>
        <charset val="134"/>
        <scheme val="minor"/>
      </rPr>
      <t>5号</t>
    </r>
    <phoneticPr fontId="143" type="noConversion"/>
  </si>
  <si>
    <t>减少数</t>
    <phoneticPr fontId="143" type="noConversion"/>
  </si>
  <si>
    <t>高层已售</t>
    <phoneticPr fontId="143" type="noConversion"/>
  </si>
  <si>
    <t>联列已售</t>
    <phoneticPr fontId="143" type="noConversion"/>
  </si>
  <si>
    <t>高层已售</t>
    <phoneticPr fontId="143" type="noConversion"/>
  </si>
  <si>
    <t>联列已售</t>
    <phoneticPr fontId="143" type="noConversion"/>
  </si>
  <si>
    <t>御岛财富公馆</t>
  </si>
  <si>
    <t>同润蓝美俊庭</t>
  </si>
  <si>
    <t>崇明县长兴岛凤荣路</t>
  </si>
  <si>
    <t xml:space="preserve"> 浦东新区大团镇南芦公路989弄</t>
  </si>
  <si>
    <t>平层</t>
  </si>
  <si>
    <t>钢混</t>
  </si>
  <si>
    <t>高档</t>
  </si>
  <si>
    <t>精装修</t>
  </si>
  <si>
    <t>专业</t>
  </si>
  <si>
    <t>六通</t>
  </si>
  <si>
    <t>80至90</t>
  </si>
  <si>
    <t>毛坯</t>
  </si>
  <si>
    <t>好</t>
  </si>
  <si>
    <t>88至130</t>
  </si>
  <si>
    <t>住宅</t>
    <phoneticPr fontId="25" type="noConversion"/>
  </si>
  <si>
    <t>60-70（含）</t>
  </si>
  <si>
    <t>精装</t>
    <phoneticPr fontId="25" type="noConversion"/>
  </si>
  <si>
    <t>普装</t>
    <phoneticPr fontId="25" type="noConversion"/>
  </si>
  <si>
    <t>简装</t>
  </si>
  <si>
    <t>简装</t>
    <phoneticPr fontId="25" type="noConversion"/>
  </si>
  <si>
    <t>毛坯</t>
    <phoneticPr fontId="25" type="noConversion"/>
  </si>
  <si>
    <t>钢结构</t>
  </si>
  <si>
    <t>砖混</t>
  </si>
  <si>
    <t>中档</t>
  </si>
  <si>
    <t>普通装修</t>
  </si>
  <si>
    <t>普通</t>
  </si>
  <si>
    <t>五通</t>
  </si>
  <si>
    <t>四通</t>
  </si>
  <si>
    <t>三通</t>
  </si>
  <si>
    <t>LOFT</t>
  </si>
  <si>
    <r>
      <t>110</t>
    </r>
    <r>
      <rPr>
        <sz val="11"/>
        <color indexed="8"/>
        <rFont val="宋体"/>
        <family val="3"/>
        <charset val="134"/>
      </rPr>
      <t>至</t>
    </r>
    <r>
      <rPr>
        <sz val="11"/>
        <color indexed="8"/>
        <rFont val="Arial"/>
        <family val="2"/>
      </rPr>
      <t>150</t>
    </r>
    <phoneticPr fontId="25" type="noConversion"/>
  </si>
  <si>
    <r>
      <t>65</t>
    </r>
    <r>
      <rPr>
        <sz val="11"/>
        <rFont val="宋体"/>
        <family val="3"/>
        <charset val="134"/>
      </rPr>
      <t>至</t>
    </r>
    <r>
      <rPr>
        <sz val="11"/>
        <rFont val="Arial"/>
        <family val="2"/>
      </rPr>
      <t>123</t>
    </r>
    <phoneticPr fontId="25" type="noConversion"/>
  </si>
  <si>
    <t>尚景丽园</t>
    <phoneticPr fontId="25" type="noConversion"/>
  </si>
  <si>
    <r>
      <rPr>
        <sz val="11"/>
        <color theme="9" tint="-0.249977111117893"/>
        <rFont val="宋体"/>
        <family val="3"/>
        <charset val="134"/>
      </rPr>
      <t>浦东康桥镇梓营路</t>
    </r>
    <r>
      <rPr>
        <sz val="11"/>
        <color theme="9" tint="-0.249977111117893"/>
        <rFont val="Arial"/>
        <family val="2"/>
      </rPr>
      <t>155</t>
    </r>
    <r>
      <rPr>
        <sz val="11"/>
        <color theme="9" tint="-0.249977111117893"/>
        <rFont val="宋体"/>
        <family val="3"/>
        <charset val="134"/>
      </rPr>
      <t>弄</t>
    </r>
    <phoneticPr fontId="25" type="noConversion"/>
  </si>
  <si>
    <t>联排</t>
    <phoneticPr fontId="143" type="noConversion"/>
  </si>
  <si>
    <t>高板</t>
  </si>
  <si>
    <t>高板</t>
    <phoneticPr fontId="25" type="noConversion"/>
  </si>
  <si>
    <r>
      <t>150</t>
    </r>
    <r>
      <rPr>
        <sz val="11"/>
        <color indexed="8"/>
        <rFont val="宋体"/>
        <family val="3"/>
        <charset val="134"/>
      </rPr>
      <t>至</t>
    </r>
    <r>
      <rPr>
        <sz val="11"/>
        <color indexed="8"/>
        <rFont val="Arial"/>
        <family val="2"/>
      </rPr>
      <t>165</t>
    </r>
    <phoneticPr fontId="143" type="noConversion"/>
  </si>
  <si>
    <t>禹洲东滩雍禧</t>
    <phoneticPr fontId="143" type="noConversion"/>
  </si>
  <si>
    <r>
      <t xml:space="preserve"> </t>
    </r>
    <r>
      <rPr>
        <sz val="11"/>
        <color theme="9" tint="-0.249977111117893"/>
        <rFont val="宋体"/>
        <family val="3"/>
        <charset val="134"/>
      </rPr>
      <t>浦东新区大团镇南芦公路</t>
    </r>
    <r>
      <rPr>
        <sz val="11"/>
        <color theme="9" tint="-0.249977111117893"/>
        <rFont val="Arial"/>
        <family val="2"/>
      </rPr>
      <t>989</t>
    </r>
    <r>
      <rPr>
        <sz val="11"/>
        <color theme="9" tint="-0.249977111117893"/>
        <rFont val="宋体"/>
        <family val="3"/>
        <charset val="134"/>
      </rPr>
      <t>弄</t>
    </r>
    <phoneticPr fontId="143" type="noConversion"/>
  </si>
  <si>
    <r>
      <rPr>
        <sz val="11"/>
        <color theme="9" tint="-0.249977111117893"/>
        <rFont val="宋体"/>
        <family val="3"/>
        <charset val="134"/>
      </rPr>
      <t>浦东新区陈家镇北陈公路</t>
    </r>
    <r>
      <rPr>
        <sz val="11"/>
        <color theme="9" tint="-0.249977111117893"/>
        <rFont val="Arial"/>
        <family val="2"/>
      </rPr>
      <t>1568</t>
    </r>
    <r>
      <rPr>
        <sz val="11"/>
        <color theme="9" tint="-0.249977111117893"/>
        <rFont val="宋体"/>
        <family val="3"/>
        <charset val="134"/>
      </rPr>
      <t>号</t>
    </r>
    <phoneticPr fontId="143" type="noConversion"/>
  </si>
  <si>
    <r>
      <t>130</t>
    </r>
    <r>
      <rPr>
        <sz val="11"/>
        <color indexed="8"/>
        <rFont val="宋体"/>
        <family val="3"/>
        <charset val="134"/>
      </rPr>
      <t>至</t>
    </r>
    <r>
      <rPr>
        <sz val="11"/>
        <color indexed="8"/>
        <rFont val="Arial"/>
        <family val="2"/>
      </rPr>
      <t>150</t>
    </r>
    <phoneticPr fontId="25" type="noConversion"/>
  </si>
  <si>
    <r>
      <t>70</t>
    </r>
    <r>
      <rPr>
        <sz val="11"/>
        <color indexed="8"/>
        <rFont val="宋体"/>
        <family val="3"/>
        <charset val="134"/>
      </rPr>
      <t>至</t>
    </r>
    <r>
      <rPr>
        <sz val="11"/>
        <color indexed="8"/>
        <rFont val="Arial"/>
        <family val="2"/>
      </rPr>
      <t>110</t>
    </r>
    <phoneticPr fontId="143" type="noConversion"/>
  </si>
  <si>
    <t>天和湖滨艺墅</t>
    <phoneticPr fontId="143" type="noConversion"/>
  </si>
  <si>
    <r>
      <rPr>
        <sz val="11"/>
        <color theme="9" tint="-0.249977111117893"/>
        <rFont val="宋体"/>
        <family val="3"/>
        <charset val="134"/>
      </rPr>
      <t>浦东新区东亭路</t>
    </r>
    <r>
      <rPr>
        <sz val="11"/>
        <color theme="9" tint="-0.249977111117893"/>
        <rFont val="Arial"/>
        <family val="2"/>
      </rPr>
      <t>425</t>
    </r>
    <r>
      <rPr>
        <sz val="11"/>
        <color theme="9" tint="-0.249977111117893"/>
        <rFont val="宋体"/>
        <family val="3"/>
        <charset val="134"/>
      </rPr>
      <t>号</t>
    </r>
    <phoneticPr fontId="143" type="noConversion"/>
  </si>
  <si>
    <r>
      <t>198</t>
    </r>
    <r>
      <rPr>
        <sz val="11"/>
        <rFont val="宋体"/>
        <family val="3"/>
        <charset val="134"/>
      </rPr>
      <t>至</t>
    </r>
    <r>
      <rPr>
        <sz val="11"/>
        <rFont val="Arial"/>
        <family val="2"/>
      </rPr>
      <t>230</t>
    </r>
    <phoneticPr fontId="25" type="noConversion"/>
  </si>
  <si>
    <t>全部缴纳</t>
  </si>
  <si>
    <t>未包含在土地购买价格中</t>
  </si>
  <si>
    <t>在建（套用方法）</t>
  </si>
  <si>
    <t>自定义</t>
  </si>
  <si>
    <t>非生产用房</t>
  </si>
  <si>
    <t>收益法</t>
  </si>
  <si>
    <t>售价</t>
  </si>
  <si>
    <t>收益法 (车位)</t>
  </si>
  <si>
    <t>收益法 (车位)</t>
    <phoneticPr fontId="16" type="noConversion"/>
  </si>
  <si>
    <t>人防</t>
    <phoneticPr fontId="3" type="noConversion"/>
  </si>
  <si>
    <t>安置房</t>
    <phoneticPr fontId="3" type="noConversion"/>
  </si>
  <si>
    <t>否</t>
  </si>
  <si>
    <t>安置房</t>
    <phoneticPr fontId="7" type="noConversion"/>
  </si>
  <si>
    <t>保障房（共有产权）</t>
    <phoneticPr fontId="143" type="noConversion"/>
  </si>
  <si>
    <r>
      <rPr>
        <sz val="12"/>
        <color theme="9" tint="-0.249977111117893"/>
        <rFont val="宋体"/>
        <family val="3"/>
        <charset val="134"/>
      </rPr>
      <t>崇明区长兴镇</t>
    </r>
    <r>
      <rPr>
        <sz val="12"/>
        <color theme="9" tint="-0.249977111117893"/>
        <rFont val="Arial"/>
        <family val="2"/>
      </rPr>
      <t>14</t>
    </r>
    <r>
      <rPr>
        <sz val="12"/>
        <color theme="9" tint="-0.249977111117893"/>
        <rFont val="宋体"/>
        <family val="3"/>
        <charset val="134"/>
      </rPr>
      <t>街坊</t>
    </r>
    <r>
      <rPr>
        <sz val="12"/>
        <color theme="9" tint="-0.249977111117893"/>
        <rFont val="Arial"/>
        <family val="2"/>
      </rPr>
      <t>82/4</t>
    </r>
    <r>
      <rPr>
        <sz val="12"/>
        <color theme="9" tint="-0.249977111117893"/>
        <rFont val="宋体"/>
        <family val="3"/>
        <charset val="134"/>
      </rPr>
      <t>丘</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</si>
</sst>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11"/>
      <color rgb="FF00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1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4"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0" fontId="99" fillId="0" borderId="0" xfId="0" applyFont="1">
      <alignment vertical="center"/>
    </xf>
    <xf numFmtId="0" fontId="99" fillId="0" borderId="0" xfId="0" applyFont="1" applyAlignment="1">
      <alignment horizontal="center" vertical="center"/>
    </xf>
    <xf numFmtId="0" fontId="0" fillId="0" borderId="0" xfId="0" applyAlignment="1">
      <alignment horizontal="center" vertical="center"/>
    </xf>
    <xf numFmtId="0" fontId="99" fillId="5" borderId="0" xfId="0" applyFont="1" applyFill="1">
      <alignment vertical="center"/>
    </xf>
    <xf numFmtId="0" fontId="137" fillId="0" borderId="23" xfId="0" applyFont="1" applyBorder="1" applyAlignment="1" applyProtection="1">
      <alignment horizontal="right" vertical="center" wrapText="1"/>
      <protection locked="0"/>
    </xf>
    <xf numFmtId="0" fontId="47" fillId="2" borderId="20" xfId="0" applyNumberFormat="1" applyFont="1" applyFill="1" applyBorder="1" applyAlignment="1" applyProtection="1">
      <alignment horizontal="center" vertical="center" wrapText="1"/>
      <protection locked="0"/>
    </xf>
    <xf numFmtId="0" fontId="190" fillId="7" borderId="60"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1" fontId="99" fillId="0" borderId="0" xfId="0" applyNumberFormat="1" applyFont="1">
      <alignment vertical="center"/>
    </xf>
    <xf numFmtId="177" fontId="137" fillId="0" borderId="1" xfId="1" applyNumberFormat="1" applyFont="1" applyFill="1" applyBorder="1" applyAlignment="1" applyProtection="1">
      <alignment vertical="center"/>
      <protection locked="0"/>
    </xf>
    <xf numFmtId="0" fontId="98" fillId="0" borderId="9"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255" fillId="0" borderId="155" xfId="0" applyFont="1" applyBorder="1" applyAlignment="1">
      <alignment horizontal="center" vertical="center" wrapText="1"/>
    </xf>
    <xf numFmtId="0" fontId="255" fillId="0" borderId="156" xfId="0" applyFont="1" applyBorder="1" applyAlignment="1">
      <alignment horizontal="center" vertical="center" wrapText="1"/>
    </xf>
    <xf numFmtId="0" fontId="255" fillId="0" borderId="157" xfId="0" applyFont="1" applyBorder="1" applyAlignment="1">
      <alignment horizontal="center" vertical="center" wrapText="1"/>
    </xf>
    <xf numFmtId="0" fontId="255" fillId="0" borderId="158" xfId="0" applyFont="1" applyBorder="1" applyAlignment="1">
      <alignment horizontal="center" vertical="center" wrapText="1"/>
    </xf>
    <xf numFmtId="0" fontId="255" fillId="0" borderId="0" xfId="0" applyFont="1" applyFill="1" applyBorder="1" applyAlignment="1">
      <alignment horizontal="center" vertical="center" wrapText="1"/>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9" fillId="5" borderId="0" xfId="0" applyFont="1" applyFill="1" applyAlignment="1">
      <alignment horizontal="center" vertical="center"/>
    </xf>
    <xf numFmtId="0" fontId="0" fillId="7" borderId="0" xfId="0" applyFill="1">
      <alignment vertical="center"/>
    </xf>
    <xf numFmtId="0" fontId="99" fillId="7" borderId="0" xfId="0" applyFont="1"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上海市崇明区长兴镇14街坊82/4丘出让国有建设用地使用权及在建建筑物房地产抵押价值预评估</v>
      </c>
    </row>
    <row r="3" spans="1:2" s="1596" customFormat="1">
      <c r="A3" s="1594" t="s">
        <v>1221</v>
      </c>
      <c r="B3" s="1595" t="str">
        <f>'预评函-封皮'!B40</f>
        <v>上海禾柃房地产开发有限公司</v>
      </c>
    </row>
    <row r="4" spans="1:2" s="1596" customFormat="1">
      <c r="A4" s="1594" t="s">
        <v>1222</v>
      </c>
      <c r="B4" s="1595" t="str">
        <f ca="1">'预评函-封皮'!B46</f>
        <v>郑燚（注册号：1120070131)、王鹏（注册号：1120050019)</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受贵公司委托，我公司对上海市崇明区长兴镇14街坊82/4丘出让国有建设用地使用权及在建建筑物房地产抵押价值进行了预评估。</v>
      </c>
    </row>
    <row r="7" spans="1:2" s="1596" customFormat="1">
      <c r="A7" s="1594" t="s">
        <v>1264</v>
      </c>
      <c r="B7" s="1595" t="str">
        <f>'预评函-1'!A7</f>
        <v>估价对象为上海市崇明区长兴镇14街坊82/4丘出让国有建设用地使用权及在建建筑物房地产，为上海禾柃房地产开发有限公司所有。根据《不动产权证》[沪（2016）崇字不动产权第001648号]，估价对象（分摊）出让国有建设用地使用权面积为87410.87平方米，建筑面积为187098.36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上海市崇明区长兴镇14街坊82/4丘出让国有建设用地使用权及在建建筑物房地产,属上海禾柃房地产开发有限公司开发建设的，该项目尚在开发建设中。根据《不动产权证》[沪（2016）崇字不动产权第001648号]，估价对象（分摊）出让国有建设用地使用权面积为87410.87平方米，规划建筑面积为187098.36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为估价委托人在向大业信托有限责任公司办理贷款手续过程中，确定房地产抵押贷款额度提供参考依据而评估房地产抵押价值。</v>
      </c>
    </row>
    <row r="12" spans="1:2" s="1596" customFormat="1">
      <c r="A12" s="1594" t="s">
        <v>1226</v>
      </c>
      <c r="B12" s="1595" t="str">
        <f>'预评函-1'!A15</f>
        <v>2018年4月12日（评估专业人员实地查勘之日）</v>
      </c>
    </row>
    <row r="13" spans="1:2" s="1596" customFormat="1">
      <c r="A13" s="1594" t="s">
        <v>1227</v>
      </c>
      <c r="B13" s="1595" t="str">
        <f>'预评函-1'!A18</f>
        <v>本次估价的“房地产价值”是指在正常市场情况下，在价值时点2018年4月12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本次评估采用的主估价方法为成本法和假设开发法。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300998</v>
      </c>
    </row>
    <row r="21" spans="1:2" s="1596" customFormat="1">
      <c r="A21" s="1594" t="s">
        <v>1235</v>
      </c>
      <c r="B21" s="1595">
        <f ca="1">'预评函-2'!D7</f>
        <v>16088</v>
      </c>
    </row>
    <row r="22" spans="1:2" s="1596" customFormat="1">
      <c r="A22" s="1594" t="s">
        <v>1236</v>
      </c>
      <c r="B22" s="1595" t="str">
        <f ca="1">'预评函-2'!D6</f>
        <v>叁拾亿零玖佰玖拾捌万元整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300998</v>
      </c>
    </row>
    <row r="31" spans="1:2" s="1596" customFormat="1">
      <c r="A31" s="1594" t="s">
        <v>1274</v>
      </c>
      <c r="B31" s="1595">
        <f ca="1">'预评函-2'!D15</f>
        <v>16088</v>
      </c>
    </row>
    <row r="32" spans="1:2" s="1596" customFormat="1">
      <c r="A32" s="1594" t="s">
        <v>1241</v>
      </c>
      <c r="B32" s="1595" t="str">
        <f ca="1">'预评函-2'!D14</f>
        <v>叁拾亿零玖佰玖拾捌万元整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上海市崇明区长兴镇14街坊82/4丘出让国有建设用地使用权及在建建筑物房地产</v>
      </c>
    </row>
    <row r="42" spans="1:2" s="1596" customFormat="1">
      <c r="A42" s="1594" t="s">
        <v>1288</v>
      </c>
      <c r="B42" s="1595" t="str">
        <f>'预评函-3'!B2</f>
        <v>建筑面积</v>
      </c>
    </row>
    <row r="43" spans="1:2" s="1596" customFormat="1">
      <c r="A43" s="1594" t="s">
        <v>1289</v>
      </c>
      <c r="B43" s="1595">
        <f>'预评函-3'!B4</f>
        <v>187098.36000000002</v>
      </c>
    </row>
    <row r="44" spans="1:2" s="1596" customFormat="1">
      <c r="A44" s="1594" t="s">
        <v>1273</v>
      </c>
      <c r="B44" s="1595" t="str">
        <f>'预评函-3'!C2</f>
        <v>(分摊)土地面积</v>
      </c>
    </row>
    <row r="45" spans="1:2" s="1596" customFormat="1">
      <c r="A45" s="1594" t="s">
        <v>1245</v>
      </c>
      <c r="B45" s="1595">
        <f>'预评函-3'!C4</f>
        <v>87410.87</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1269</v>
      </c>
      <c r="B67" s="159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郑燚</v>
      </c>
    </row>
    <row r="71" spans="1:2">
      <c r="A71" s="1594" t="s">
        <v>1261</v>
      </c>
      <c r="B71" s="1595">
        <f ca="1">'预评函-4'!B4</f>
        <v>1120070131</v>
      </c>
    </row>
    <row r="72" spans="1:2">
      <c r="A72" s="1594" t="s">
        <v>1262</v>
      </c>
      <c r="B72" s="1603" t="str">
        <f>'预评函-4'!A5</f>
        <v>王鹏</v>
      </c>
    </row>
    <row r="73" spans="1:2" s="1590" customFormat="1" ht="15" thickBot="1">
      <c r="A73" s="1597" t="s">
        <v>1263</v>
      </c>
      <c r="B73" s="1598">
        <f ca="1">'预评函-4'!B5</f>
        <v>1120050019</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A20" sqref="AA20"/>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3289</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为估价委托人在向大业信托有限责任公司办理贷款手续过程中，确定房地产抵押贷款额度提供参考依据而评估房地产抵押价值。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上海禾柃房地产开发有限公司拟使用上海市崇明区长兴镇14街坊82/4丘出让国有建设用地使用权及在建建筑物房地产作为抵押担保物，向大业信托有限责任公司办理贷款手续。大业信托有限责任公司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28"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8"/>
      <c r="B54" s="2025" t="s">
        <v>864</v>
      </c>
      <c r="C54" s="2022" t="s">
        <v>1281</v>
      </c>
    </row>
    <row r="55" spans="1:4">
      <c r="A55" s="3028"/>
      <c r="B55" s="2025" t="s">
        <v>865</v>
      </c>
      <c r="C55" s="2022" t="s">
        <v>1282</v>
      </c>
    </row>
    <row r="56" spans="1:4">
      <c r="A56" s="3028"/>
      <c r="B56" s="2025" t="s">
        <v>866</v>
      </c>
      <c r="C56" s="2022" t="s">
        <v>1286</v>
      </c>
    </row>
    <row r="57" spans="1:4">
      <c r="A57" s="3028"/>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67"/>
  <sheetViews>
    <sheetView workbookViewId="0">
      <selection activeCell="M8" sqref="M8"/>
    </sheetView>
  </sheetViews>
  <sheetFormatPr defaultRowHeight="13.5"/>
  <cols>
    <col min="4" max="4" width="9.625" customWidth="1"/>
    <col min="5" max="5" width="10.375" customWidth="1"/>
    <col min="6" max="7" width="11.75" customWidth="1"/>
    <col min="8" max="8" width="9.375" customWidth="1"/>
    <col min="9" max="9" width="13.875" customWidth="1"/>
    <col min="10" max="10" width="11.875" customWidth="1"/>
  </cols>
  <sheetData>
    <row r="1" spans="1:21">
      <c r="A1" s="2943" t="s">
        <v>3079</v>
      </c>
      <c r="B1" s="2944" t="s">
        <v>3084</v>
      </c>
      <c r="C1" s="2944"/>
      <c r="D1" s="2943" t="s">
        <v>3102</v>
      </c>
      <c r="E1" s="2943">
        <f>SUM(E3:E65)</f>
        <v>88010.479999999981</v>
      </c>
      <c r="F1" s="2943">
        <f t="shared" ref="F1:N1" si="0">SUM(F3:F65)</f>
        <v>54506.97</v>
      </c>
      <c r="G1" s="2943">
        <f t="shared" si="0"/>
        <v>27150.61</v>
      </c>
      <c r="H1" s="2943">
        <f t="shared" si="0"/>
        <v>1443.06</v>
      </c>
      <c r="I1" s="2943">
        <f t="shared" si="0"/>
        <v>4371.74</v>
      </c>
      <c r="J1" s="2943">
        <f t="shared" si="0"/>
        <v>147.02000000000001</v>
      </c>
      <c r="K1" s="2943">
        <f t="shared" si="0"/>
        <v>1784.89</v>
      </c>
      <c r="L1" s="2943">
        <f t="shared" si="0"/>
        <v>167.85</v>
      </c>
      <c r="M1" s="2943">
        <f t="shared" si="0"/>
        <v>68257.179999999993</v>
      </c>
      <c r="N1" s="2943">
        <f t="shared" si="0"/>
        <v>1944.67</v>
      </c>
      <c r="O1" s="2943"/>
      <c r="R1">
        <f>T367</f>
        <v>38065.799999999996</v>
      </c>
      <c r="S1">
        <f>S367</f>
        <v>2298.38</v>
      </c>
    </row>
    <row r="2" spans="1:21" ht="14.25" thickBot="1">
      <c r="A2">
        <v>114854.39999999999</v>
      </c>
      <c r="B2" s="2944">
        <f>SUM(E1:N1)</f>
        <v>247784.47</v>
      </c>
      <c r="C2" s="2944"/>
      <c r="D2" s="2943" t="s">
        <v>3177</v>
      </c>
      <c r="E2" s="2943" t="s">
        <v>3107</v>
      </c>
      <c r="F2" s="2943" t="s">
        <v>3118</v>
      </c>
      <c r="G2" s="2943" t="s">
        <v>3120</v>
      </c>
      <c r="H2" s="2943" t="s">
        <v>3108</v>
      </c>
      <c r="I2" s="2952" t="s">
        <v>3109</v>
      </c>
      <c r="J2" s="2943" t="s">
        <v>3110</v>
      </c>
      <c r="K2" s="2943" t="s">
        <v>3111</v>
      </c>
      <c r="L2" s="2944" t="s">
        <v>3112</v>
      </c>
      <c r="M2" s="2943" t="s">
        <v>3178</v>
      </c>
      <c r="N2" s="2943" t="s">
        <v>3179</v>
      </c>
      <c r="P2" s="2943" t="s">
        <v>3216</v>
      </c>
      <c r="R2" s="2943" t="s">
        <v>3233</v>
      </c>
      <c r="S2" s="2943" t="s">
        <v>3234</v>
      </c>
    </row>
    <row r="3" spans="1:21" ht="27.75" thickBot="1">
      <c r="B3" s="2944"/>
      <c r="C3" s="2944"/>
      <c r="D3" s="2943" t="s">
        <v>3103</v>
      </c>
      <c r="E3">
        <v>12893.31</v>
      </c>
      <c r="H3">
        <v>477.98</v>
      </c>
      <c r="I3" s="2952">
        <v>865.46</v>
      </c>
      <c r="J3">
        <v>3.9</v>
      </c>
      <c r="P3" s="2974" t="s">
        <v>3191</v>
      </c>
      <c r="Q3" s="2975" t="s">
        <v>3192</v>
      </c>
      <c r="R3" s="2975" t="s">
        <v>3193</v>
      </c>
      <c r="T3" s="2978" t="s">
        <v>3222</v>
      </c>
    </row>
    <row r="4" spans="1:21" ht="27.75" thickBot="1">
      <c r="B4" s="2944"/>
      <c r="C4" s="2944"/>
      <c r="D4" s="2943" t="s">
        <v>3104</v>
      </c>
      <c r="E4" s="2943">
        <v>12894.89</v>
      </c>
      <c r="F4" s="2943"/>
      <c r="G4" s="2943"/>
      <c r="H4">
        <v>388.6</v>
      </c>
      <c r="I4" s="2943">
        <v>871.31</v>
      </c>
      <c r="J4" s="2943">
        <v>3.9</v>
      </c>
      <c r="L4" s="2944"/>
      <c r="P4" s="2976">
        <v>1</v>
      </c>
      <c r="Q4" s="2977" t="s">
        <v>3194</v>
      </c>
      <c r="R4" s="2977">
        <v>101</v>
      </c>
      <c r="T4" s="2943" t="s">
        <v>3217</v>
      </c>
      <c r="U4">
        <v>77.02</v>
      </c>
    </row>
    <row r="5" spans="1:21" ht="27.75" thickBot="1">
      <c r="B5" s="2944"/>
      <c r="C5" s="2944"/>
      <c r="D5" s="2943" t="s">
        <v>3105</v>
      </c>
      <c r="E5" s="2943">
        <v>12894.92</v>
      </c>
      <c r="F5" s="2943"/>
      <c r="G5" s="2943"/>
      <c r="H5">
        <v>576.48</v>
      </c>
      <c r="I5" s="2943">
        <v>862.37</v>
      </c>
      <c r="K5">
        <v>143.88</v>
      </c>
      <c r="L5" s="2944">
        <v>167.85</v>
      </c>
      <c r="P5" s="2976">
        <v>2</v>
      </c>
      <c r="Q5" s="2977" t="s">
        <v>3194</v>
      </c>
      <c r="R5" s="2977">
        <v>102</v>
      </c>
    </row>
    <row r="6" spans="1:21" ht="27.75" thickBot="1">
      <c r="B6" s="2944"/>
      <c r="C6" s="2982" t="s">
        <v>3294</v>
      </c>
      <c r="D6" s="2943" t="s">
        <v>3113</v>
      </c>
      <c r="E6" s="2946">
        <v>8677.26</v>
      </c>
      <c r="F6" s="2943"/>
      <c r="G6" s="2943"/>
      <c r="L6" s="2944"/>
      <c r="P6" s="2976">
        <v>3</v>
      </c>
      <c r="Q6" s="2977" t="s">
        <v>3194</v>
      </c>
      <c r="R6" s="2977">
        <v>201</v>
      </c>
    </row>
    <row r="7" spans="1:21" ht="27.75" thickBot="1">
      <c r="B7" s="2944"/>
      <c r="C7" s="2944"/>
      <c r="D7" s="2943" t="s">
        <v>3114</v>
      </c>
      <c r="E7" s="2943">
        <v>13217.74</v>
      </c>
      <c r="F7" s="2943"/>
      <c r="G7" s="2943"/>
      <c r="I7" s="2943">
        <v>897.44</v>
      </c>
      <c r="J7">
        <v>139.22</v>
      </c>
      <c r="K7" s="2983"/>
      <c r="L7" s="2944"/>
      <c r="P7" s="2976">
        <v>4</v>
      </c>
      <c r="Q7" s="2977" t="s">
        <v>3194</v>
      </c>
      <c r="R7" s="2977">
        <v>202</v>
      </c>
    </row>
    <row r="8" spans="1:21" ht="27.75" thickBot="1">
      <c r="B8" s="2944"/>
      <c r="C8" s="2944"/>
      <c r="D8" s="2943" t="s">
        <v>3115</v>
      </c>
      <c r="E8" s="2943">
        <v>13716.18</v>
      </c>
      <c r="F8" s="2943"/>
      <c r="G8" s="2943"/>
      <c r="K8">
        <v>109.08</v>
      </c>
      <c r="L8" s="2944"/>
      <c r="P8" s="2976">
        <v>5</v>
      </c>
      <c r="Q8" s="2977" t="s">
        <v>3194</v>
      </c>
      <c r="R8" s="2977">
        <v>302</v>
      </c>
    </row>
    <row r="9" spans="1:21" ht="27.75" thickBot="1">
      <c r="B9" s="2944"/>
      <c r="C9" s="2944"/>
      <c r="D9" s="2943" t="s">
        <v>3116</v>
      </c>
      <c r="E9" s="2943">
        <v>13716.18</v>
      </c>
      <c r="F9" s="2943"/>
      <c r="G9" s="2943"/>
      <c r="I9">
        <v>875.16</v>
      </c>
      <c r="K9">
        <v>679.7</v>
      </c>
      <c r="L9" s="2944"/>
      <c r="P9" s="2976">
        <v>6</v>
      </c>
      <c r="Q9" s="2977" t="s">
        <v>3194</v>
      </c>
      <c r="R9" s="2977">
        <v>303</v>
      </c>
    </row>
    <row r="10" spans="1:21" ht="27.75" thickBot="1">
      <c r="B10" s="2945"/>
      <c r="C10" s="2945"/>
      <c r="D10" t="s">
        <v>3121</v>
      </c>
      <c r="G10">
        <v>3367.77</v>
      </c>
      <c r="J10" s="2943"/>
      <c r="L10" s="2944"/>
      <c r="P10" s="2976">
        <v>7</v>
      </c>
      <c r="Q10" s="2977" t="s">
        <v>3194</v>
      </c>
      <c r="R10" s="2977">
        <v>304</v>
      </c>
    </row>
    <row r="11" spans="1:21" ht="27.75" thickBot="1">
      <c r="B11" s="2945"/>
      <c r="C11" s="2945"/>
      <c r="D11" t="s">
        <v>3122</v>
      </c>
      <c r="G11">
        <v>2787.44</v>
      </c>
      <c r="L11" s="2944"/>
      <c r="P11" s="2976">
        <v>8</v>
      </c>
      <c r="Q11" s="2977" t="s">
        <v>3194</v>
      </c>
      <c r="R11" s="2977">
        <v>401</v>
      </c>
    </row>
    <row r="12" spans="1:21" ht="27.75" thickBot="1">
      <c r="B12" s="2945"/>
      <c r="C12" s="2945"/>
      <c r="D12" t="s">
        <v>3123</v>
      </c>
      <c r="G12">
        <v>3498</v>
      </c>
      <c r="L12" s="2944"/>
      <c r="P12" s="2976">
        <v>9</v>
      </c>
      <c r="Q12" s="2977" t="s">
        <v>3194</v>
      </c>
      <c r="R12" s="2977">
        <v>402</v>
      </c>
    </row>
    <row r="13" spans="1:21" ht="27.75" thickBot="1">
      <c r="B13" s="2944"/>
      <c r="C13" s="2944"/>
      <c r="D13" t="s">
        <v>3124</v>
      </c>
      <c r="F13">
        <v>1227.8800000000001</v>
      </c>
      <c r="L13" s="2944"/>
      <c r="N13" s="2983"/>
      <c r="O13" s="2984"/>
      <c r="P13" s="2976">
        <v>10</v>
      </c>
      <c r="Q13" s="2977" t="s">
        <v>3194</v>
      </c>
      <c r="R13" s="2977">
        <v>403</v>
      </c>
    </row>
    <row r="14" spans="1:21" ht="27.75" thickBot="1">
      <c r="B14" s="2944"/>
      <c r="C14" s="2944"/>
      <c r="D14" t="s">
        <v>3125</v>
      </c>
      <c r="E14" s="2943"/>
      <c r="F14" s="2943">
        <v>1068.44</v>
      </c>
      <c r="G14" s="2943"/>
      <c r="H14" s="2943"/>
      <c r="I14" s="2943"/>
      <c r="L14" s="2944"/>
      <c r="P14" s="2976">
        <v>11</v>
      </c>
      <c r="Q14" s="2977" t="s">
        <v>3194</v>
      </c>
      <c r="R14" s="2977">
        <v>404</v>
      </c>
    </row>
    <row r="15" spans="1:21" ht="27.75" thickBot="1">
      <c r="B15" s="2944"/>
      <c r="C15" s="2944"/>
      <c r="D15" t="s">
        <v>3126</v>
      </c>
      <c r="E15" s="2943"/>
      <c r="F15" s="2943">
        <v>1227.8800000000001</v>
      </c>
      <c r="G15" s="2943"/>
      <c r="H15" s="2943"/>
      <c r="I15" s="2943"/>
      <c r="L15" s="2944"/>
      <c r="P15" s="2976">
        <v>12</v>
      </c>
      <c r="Q15" s="2977" t="s">
        <v>3194</v>
      </c>
      <c r="R15" s="2977">
        <v>501</v>
      </c>
    </row>
    <row r="16" spans="1:21" ht="27.75" thickBot="1">
      <c r="B16" s="2945"/>
      <c r="C16" s="2945"/>
      <c r="D16" t="s">
        <v>3127</v>
      </c>
      <c r="E16" s="2943"/>
      <c r="F16" s="2943">
        <v>1068.44</v>
      </c>
      <c r="G16" s="2943"/>
      <c r="H16" s="2943"/>
      <c r="I16" s="2943"/>
      <c r="L16" s="2944"/>
      <c r="P16" s="2976">
        <v>13</v>
      </c>
      <c r="Q16" s="2977" t="s">
        <v>3194</v>
      </c>
      <c r="R16" s="2977">
        <v>502</v>
      </c>
    </row>
    <row r="17" spans="2:18" ht="27.75" thickBot="1">
      <c r="B17" s="2945"/>
      <c r="C17" s="2945"/>
      <c r="D17" t="s">
        <v>3128</v>
      </c>
      <c r="F17" s="2943">
        <v>1227.8800000000001</v>
      </c>
      <c r="P17" s="2976">
        <v>14</v>
      </c>
      <c r="Q17" s="2977" t="s">
        <v>3194</v>
      </c>
      <c r="R17" s="2977">
        <v>503</v>
      </c>
    </row>
    <row r="18" spans="2:18" ht="27.75" thickBot="1">
      <c r="B18" s="2944"/>
      <c r="C18" s="2944"/>
      <c r="D18" t="s">
        <v>3129</v>
      </c>
      <c r="E18" s="2943"/>
      <c r="F18" s="2943">
        <v>1068.44</v>
      </c>
      <c r="G18" s="2943"/>
      <c r="H18" s="2943"/>
      <c r="I18" s="2943"/>
      <c r="P18" s="2976">
        <v>15</v>
      </c>
      <c r="Q18" s="2977" t="s">
        <v>3194</v>
      </c>
      <c r="R18" s="2977">
        <v>504</v>
      </c>
    </row>
    <row r="19" spans="2:18" ht="27.75" thickBot="1">
      <c r="B19" s="2944"/>
      <c r="C19" s="2944"/>
      <c r="D19" t="s">
        <v>3130</v>
      </c>
      <c r="E19" s="2943"/>
      <c r="F19" s="2943">
        <v>1227.8800000000001</v>
      </c>
      <c r="G19" s="2943"/>
      <c r="H19" s="2943"/>
      <c r="I19" s="2943"/>
      <c r="P19" s="2976">
        <v>16</v>
      </c>
      <c r="Q19" s="2977" t="s">
        <v>3194</v>
      </c>
      <c r="R19" s="2977">
        <v>601</v>
      </c>
    </row>
    <row r="20" spans="2:18" ht="27.75" thickBot="1">
      <c r="D20" t="s">
        <v>3131</v>
      </c>
      <c r="F20" s="2943">
        <v>1227.8800000000001</v>
      </c>
      <c r="P20" s="2976">
        <v>17</v>
      </c>
      <c r="Q20" s="2977" t="s">
        <v>3194</v>
      </c>
      <c r="R20" s="2977">
        <v>602</v>
      </c>
    </row>
    <row r="21" spans="2:18" ht="27.75" thickBot="1">
      <c r="D21" t="s">
        <v>3132</v>
      </c>
      <c r="F21" s="2943">
        <v>1068.44</v>
      </c>
      <c r="P21" s="2976">
        <v>18</v>
      </c>
      <c r="Q21" s="2977" t="s">
        <v>3194</v>
      </c>
      <c r="R21" s="2977">
        <v>603</v>
      </c>
    </row>
    <row r="22" spans="2:18" ht="27.75" thickBot="1">
      <c r="D22" t="s">
        <v>3133</v>
      </c>
      <c r="F22" s="2943">
        <v>1227.8800000000001</v>
      </c>
      <c r="P22" s="2976">
        <v>19</v>
      </c>
      <c r="Q22" s="2977" t="s">
        <v>3194</v>
      </c>
      <c r="R22" s="2977">
        <v>604</v>
      </c>
    </row>
    <row r="23" spans="2:18" ht="27.75" thickBot="1">
      <c r="D23" t="s">
        <v>3134</v>
      </c>
      <c r="F23" s="2943">
        <v>1068.44</v>
      </c>
      <c r="L23" s="2943"/>
      <c r="P23" s="2976">
        <v>20</v>
      </c>
      <c r="Q23" s="2977" t="s">
        <v>3194</v>
      </c>
      <c r="R23" s="2977">
        <v>701</v>
      </c>
    </row>
    <row r="24" spans="2:18" ht="27.75" thickBot="1">
      <c r="D24" t="s">
        <v>3135</v>
      </c>
      <c r="F24" s="2943">
        <v>849.88</v>
      </c>
      <c r="P24" s="2976">
        <v>21</v>
      </c>
      <c r="Q24" s="2977" t="s">
        <v>3194</v>
      </c>
      <c r="R24" s="2977">
        <v>702</v>
      </c>
    </row>
    <row r="25" spans="2:18" ht="27.75" thickBot="1">
      <c r="D25" t="s">
        <v>3136</v>
      </c>
      <c r="F25" s="2943">
        <v>1130.02</v>
      </c>
      <c r="P25" s="2976">
        <v>22</v>
      </c>
      <c r="Q25" s="2977" t="s">
        <v>3194</v>
      </c>
      <c r="R25" s="2977">
        <v>703</v>
      </c>
    </row>
    <row r="26" spans="2:18" ht="27.75" thickBot="1">
      <c r="D26" t="s">
        <v>3137</v>
      </c>
      <c r="F26" s="2943">
        <v>1697.74</v>
      </c>
      <c r="P26" s="2976">
        <v>23</v>
      </c>
      <c r="Q26" s="2977" t="s">
        <v>3194</v>
      </c>
      <c r="R26" s="2977">
        <v>704</v>
      </c>
    </row>
    <row r="27" spans="2:18" ht="27.75" thickBot="1">
      <c r="D27" t="s">
        <v>3138</v>
      </c>
      <c r="F27" s="2943">
        <v>1697.74</v>
      </c>
      <c r="P27" s="2976">
        <v>24</v>
      </c>
      <c r="Q27" s="2977" t="s">
        <v>3194</v>
      </c>
      <c r="R27" s="2977">
        <v>801</v>
      </c>
    </row>
    <row r="28" spans="2:18" ht="27.75" thickBot="1">
      <c r="D28" t="s">
        <v>3139</v>
      </c>
      <c r="F28" s="2943">
        <v>3498</v>
      </c>
      <c r="P28" s="2976">
        <v>25</v>
      </c>
      <c r="Q28" s="2977" t="s">
        <v>3194</v>
      </c>
      <c r="R28" s="2977">
        <v>802</v>
      </c>
    </row>
    <row r="29" spans="2:18" ht="27.75" thickBot="1">
      <c r="D29" t="s">
        <v>3140</v>
      </c>
      <c r="F29" s="2943">
        <v>3498</v>
      </c>
      <c r="P29" s="2976">
        <v>26</v>
      </c>
      <c r="Q29" s="2977" t="s">
        <v>3194</v>
      </c>
      <c r="R29" s="2977">
        <v>803</v>
      </c>
    </row>
    <row r="30" spans="2:18" ht="27.75" thickBot="1">
      <c r="D30" t="s">
        <v>3141</v>
      </c>
      <c r="G30">
        <v>2331.1999999999998</v>
      </c>
      <c r="P30" s="2976">
        <v>27</v>
      </c>
      <c r="Q30" s="2977" t="s">
        <v>3194</v>
      </c>
      <c r="R30" s="2977">
        <v>804</v>
      </c>
    </row>
    <row r="31" spans="2:18" ht="27.75" thickBot="1">
      <c r="D31" t="s">
        <v>3142</v>
      </c>
      <c r="G31">
        <v>1750.8</v>
      </c>
      <c r="P31" s="2976">
        <v>28</v>
      </c>
      <c r="Q31" s="2977" t="s">
        <v>3194</v>
      </c>
      <c r="R31" s="2977">
        <v>901</v>
      </c>
    </row>
    <row r="32" spans="2:18" ht="27.75" thickBot="1">
      <c r="D32" t="s">
        <v>3143</v>
      </c>
      <c r="F32">
        <v>629.20000000000005</v>
      </c>
      <c r="P32" s="2976">
        <v>29</v>
      </c>
      <c r="Q32" s="2977" t="s">
        <v>3194</v>
      </c>
      <c r="R32" s="2977">
        <v>902</v>
      </c>
    </row>
    <row r="33" spans="4:18" ht="27.75" thickBot="1">
      <c r="D33" t="s">
        <v>3144</v>
      </c>
      <c r="F33" s="2943">
        <v>1068.44</v>
      </c>
      <c r="P33" s="2976">
        <v>30</v>
      </c>
      <c r="Q33" s="2977" t="s">
        <v>3194</v>
      </c>
      <c r="R33" s="2977">
        <v>903</v>
      </c>
    </row>
    <row r="34" spans="4:18" ht="27.75" thickBot="1">
      <c r="D34" t="s">
        <v>3145</v>
      </c>
      <c r="F34" s="2943">
        <v>1227.8800000000001</v>
      </c>
      <c r="P34" s="2976">
        <v>31</v>
      </c>
      <c r="Q34" s="2977" t="s">
        <v>3194</v>
      </c>
      <c r="R34" s="2977">
        <v>904</v>
      </c>
    </row>
    <row r="35" spans="4:18" ht="27.75" thickBot="1">
      <c r="D35" t="s">
        <v>3146</v>
      </c>
      <c r="F35" s="2943">
        <v>1068.44</v>
      </c>
      <c r="P35" s="2976">
        <v>32</v>
      </c>
      <c r="Q35" s="2977" t="s">
        <v>3194</v>
      </c>
      <c r="R35" s="2977">
        <v>1001</v>
      </c>
    </row>
    <row r="36" spans="4:18" ht="27.75" thickBot="1">
      <c r="D36" t="s">
        <v>3147</v>
      </c>
      <c r="F36" s="2943">
        <v>1227.8800000000001</v>
      </c>
      <c r="P36" s="2976">
        <v>33</v>
      </c>
      <c r="Q36" s="2977" t="s">
        <v>3194</v>
      </c>
      <c r="R36" s="2977">
        <v>1002</v>
      </c>
    </row>
    <row r="37" spans="4:18" ht="27.75" thickBot="1">
      <c r="D37" t="s">
        <v>3148</v>
      </c>
      <c r="F37" s="2943">
        <v>1227.8800000000001</v>
      </c>
      <c r="P37" s="2976">
        <v>34</v>
      </c>
      <c r="Q37" s="2977" t="s">
        <v>3194</v>
      </c>
      <c r="R37" s="2977">
        <v>1003</v>
      </c>
    </row>
    <row r="38" spans="4:18" ht="27.75" thickBot="1">
      <c r="D38" t="s">
        <v>3149</v>
      </c>
      <c r="F38" s="2943">
        <v>1068.44</v>
      </c>
      <c r="P38" s="2976">
        <v>35</v>
      </c>
      <c r="Q38" s="2977" t="s">
        <v>3194</v>
      </c>
      <c r="R38" s="2977">
        <v>1004</v>
      </c>
    </row>
    <row r="39" spans="4:18" ht="27.75" thickBot="1">
      <c r="D39" t="s">
        <v>3150</v>
      </c>
      <c r="F39" s="2943">
        <v>1227.8800000000001</v>
      </c>
      <c r="P39" s="2976">
        <v>36</v>
      </c>
      <c r="Q39" s="2977" t="s">
        <v>3194</v>
      </c>
      <c r="R39" s="2977">
        <v>1101</v>
      </c>
    </row>
    <row r="40" spans="4:18" ht="27.75" thickBot="1">
      <c r="D40" t="s">
        <v>3151</v>
      </c>
      <c r="F40" s="2943">
        <v>1068.44</v>
      </c>
      <c r="P40" s="2976">
        <v>37</v>
      </c>
      <c r="Q40" s="2977" t="s">
        <v>3194</v>
      </c>
      <c r="R40" s="2977">
        <v>1102</v>
      </c>
    </row>
    <row r="41" spans="4:18" ht="27.75" thickBot="1">
      <c r="D41" t="s">
        <v>3152</v>
      </c>
      <c r="F41" s="2943">
        <v>1227.8800000000001</v>
      </c>
      <c r="P41" s="2976">
        <v>38</v>
      </c>
      <c r="Q41" s="2977" t="s">
        <v>3194</v>
      </c>
      <c r="R41" s="2977">
        <v>1103</v>
      </c>
    </row>
    <row r="42" spans="4:18" ht="27.75" thickBot="1">
      <c r="D42" t="s">
        <v>3153</v>
      </c>
      <c r="F42" s="2943">
        <v>1068.44</v>
      </c>
      <c r="P42" s="2976">
        <v>39</v>
      </c>
      <c r="Q42" s="2977" t="s">
        <v>3194</v>
      </c>
      <c r="R42" s="2977">
        <v>1104</v>
      </c>
    </row>
    <row r="43" spans="4:18" ht="27.75" thickBot="1">
      <c r="D43" t="s">
        <v>3154</v>
      </c>
      <c r="F43" s="2943">
        <v>1227.8800000000001</v>
      </c>
      <c r="P43" s="2976">
        <v>40</v>
      </c>
      <c r="Q43" s="2977" t="s">
        <v>3194</v>
      </c>
      <c r="R43" s="2977">
        <v>1201</v>
      </c>
    </row>
    <row r="44" spans="4:18" ht="27.75" thickBot="1">
      <c r="D44" t="s">
        <v>3155</v>
      </c>
      <c r="F44" s="2943">
        <v>1697.74</v>
      </c>
      <c r="P44" s="2976">
        <v>41</v>
      </c>
      <c r="Q44" s="2977" t="s">
        <v>3194</v>
      </c>
      <c r="R44" s="2977">
        <v>1202</v>
      </c>
    </row>
    <row r="45" spans="4:18" ht="27.75" thickBot="1">
      <c r="D45" t="s">
        <v>3156</v>
      </c>
      <c r="F45" s="2943">
        <v>1417.6</v>
      </c>
      <c r="P45" s="2976">
        <v>42</v>
      </c>
      <c r="Q45" s="2977" t="s">
        <v>3194</v>
      </c>
      <c r="R45" s="2977">
        <v>1203</v>
      </c>
    </row>
    <row r="46" spans="4:18" ht="27.75" thickBot="1">
      <c r="D46" t="s">
        <v>3157</v>
      </c>
      <c r="F46" s="2943">
        <v>1130.02</v>
      </c>
      <c r="P46" s="2976">
        <v>43</v>
      </c>
      <c r="Q46" s="2977" t="s">
        <v>3194</v>
      </c>
      <c r="R46" s="2977">
        <v>1204</v>
      </c>
    </row>
    <row r="47" spans="4:18" ht="27.75" thickBot="1">
      <c r="D47" t="s">
        <v>3158</v>
      </c>
      <c r="F47" s="2943">
        <v>849.88</v>
      </c>
      <c r="P47" s="2976">
        <v>44</v>
      </c>
      <c r="Q47" s="2977" t="s">
        <v>3194</v>
      </c>
      <c r="R47" s="2977">
        <v>1301</v>
      </c>
    </row>
    <row r="48" spans="4:18" ht="27.75" thickBot="1">
      <c r="D48" t="s">
        <v>3159</v>
      </c>
      <c r="G48">
        <v>1750.8</v>
      </c>
      <c r="P48" s="2976">
        <v>45</v>
      </c>
      <c r="Q48" s="2977" t="s">
        <v>3194</v>
      </c>
      <c r="R48" s="2977">
        <v>1302</v>
      </c>
    </row>
    <row r="49" spans="4:18" ht="27.75" thickBot="1">
      <c r="D49" t="s">
        <v>3160</v>
      </c>
      <c r="G49">
        <v>2331.1999999999998</v>
      </c>
      <c r="P49" s="2976">
        <v>46</v>
      </c>
      <c r="Q49" s="2977" t="s">
        <v>3194</v>
      </c>
      <c r="R49" s="2977">
        <v>1303</v>
      </c>
    </row>
    <row r="50" spans="4:18" ht="27.75" thickBot="1">
      <c r="D50" t="s">
        <v>3161</v>
      </c>
      <c r="G50">
        <v>2917.7</v>
      </c>
      <c r="P50" s="2976">
        <v>47</v>
      </c>
      <c r="Q50" s="2977" t="s">
        <v>3194</v>
      </c>
      <c r="R50" s="2977">
        <v>1304</v>
      </c>
    </row>
    <row r="51" spans="4:18" ht="27.75" thickBot="1">
      <c r="D51" t="s">
        <v>3162</v>
      </c>
      <c r="G51">
        <v>3498</v>
      </c>
      <c r="P51" s="2976">
        <v>48</v>
      </c>
      <c r="Q51" s="2977" t="s">
        <v>3194</v>
      </c>
      <c r="R51" s="2977">
        <v>1401</v>
      </c>
    </row>
    <row r="52" spans="4:18" ht="27.75" thickBot="1">
      <c r="D52" t="s">
        <v>3163</v>
      </c>
      <c r="G52">
        <v>2917.7</v>
      </c>
      <c r="P52" s="2976">
        <v>49</v>
      </c>
      <c r="Q52" s="2977" t="s">
        <v>3194</v>
      </c>
      <c r="R52" s="2977">
        <v>1402</v>
      </c>
    </row>
    <row r="53" spans="4:18" ht="27.75" thickBot="1">
      <c r="D53" t="s">
        <v>3164</v>
      </c>
      <c r="F53">
        <v>281.8</v>
      </c>
      <c r="P53" s="2976">
        <v>50</v>
      </c>
      <c r="Q53" s="2977" t="s">
        <v>3194</v>
      </c>
      <c r="R53" s="2977">
        <v>1403</v>
      </c>
    </row>
    <row r="54" spans="4:18" ht="27.75" thickBot="1">
      <c r="D54" t="s">
        <v>3165</v>
      </c>
      <c r="F54">
        <v>583.64</v>
      </c>
      <c r="P54" s="2976">
        <v>51</v>
      </c>
      <c r="Q54" s="2977" t="s">
        <v>3194</v>
      </c>
      <c r="R54" s="2977">
        <v>1404</v>
      </c>
    </row>
    <row r="55" spans="4:18" ht="27.75" thickBot="1">
      <c r="D55" t="s">
        <v>3166</v>
      </c>
      <c r="F55">
        <v>649.72</v>
      </c>
      <c r="P55" s="2976">
        <v>52</v>
      </c>
      <c r="Q55" s="2977" t="s">
        <v>3194</v>
      </c>
      <c r="R55" s="2977">
        <v>1501</v>
      </c>
    </row>
    <row r="56" spans="4:18" ht="27.75" thickBot="1">
      <c r="D56" t="s">
        <v>3167</v>
      </c>
      <c r="F56">
        <v>880.16</v>
      </c>
      <c r="P56" s="2976">
        <v>53</v>
      </c>
      <c r="Q56" s="2977" t="s">
        <v>3194</v>
      </c>
      <c r="R56" s="2977">
        <v>1502</v>
      </c>
    </row>
    <row r="57" spans="4:18" ht="27.75" thickBot="1">
      <c r="D57" t="s">
        <v>3168</v>
      </c>
      <c r="F57">
        <v>1227.8800000000001</v>
      </c>
      <c r="P57" s="2976">
        <v>54</v>
      </c>
      <c r="Q57" s="2977" t="s">
        <v>3194</v>
      </c>
      <c r="R57" s="2977">
        <v>1503</v>
      </c>
    </row>
    <row r="58" spans="4:18" ht="27.75" thickBot="1">
      <c r="D58" t="s">
        <v>3169</v>
      </c>
      <c r="F58">
        <v>1532.08</v>
      </c>
      <c r="P58" s="2976">
        <v>55</v>
      </c>
      <c r="Q58" s="2977" t="s">
        <v>3194</v>
      </c>
      <c r="R58" s="2977">
        <v>1504</v>
      </c>
    </row>
    <row r="59" spans="4:18" ht="27.75" thickBot="1">
      <c r="D59" t="s">
        <v>3170</v>
      </c>
      <c r="F59">
        <v>1531.62</v>
      </c>
      <c r="P59" s="2976">
        <v>56</v>
      </c>
      <c r="Q59" s="2977" t="s">
        <v>3194</v>
      </c>
      <c r="R59" s="2977">
        <v>1601</v>
      </c>
    </row>
    <row r="60" spans="4:18" ht="27.75" thickBot="1">
      <c r="D60" t="s">
        <v>3171</v>
      </c>
      <c r="F60">
        <v>1833.52</v>
      </c>
      <c r="P60" s="2976">
        <v>57</v>
      </c>
      <c r="Q60" s="2977" t="s">
        <v>3194</v>
      </c>
      <c r="R60" s="2977">
        <v>1602</v>
      </c>
    </row>
    <row r="61" spans="4:18" ht="27.75" thickBot="1">
      <c r="D61" t="s">
        <v>3172</v>
      </c>
      <c r="F61">
        <v>1531.62</v>
      </c>
      <c r="P61" s="2976">
        <v>58</v>
      </c>
      <c r="Q61" s="2977" t="s">
        <v>3194</v>
      </c>
      <c r="R61" s="2977">
        <v>1603</v>
      </c>
    </row>
    <row r="62" spans="4:18" ht="27.75" thickBot="1">
      <c r="D62" t="s">
        <v>3173</v>
      </c>
      <c r="F62">
        <v>940.15</v>
      </c>
      <c r="P62" s="2976">
        <v>59</v>
      </c>
      <c r="Q62" s="2977" t="s">
        <v>3194</v>
      </c>
      <c r="R62" s="2977">
        <v>1604</v>
      </c>
    </row>
    <row r="63" spans="4:18" ht="27.75" thickBot="1">
      <c r="D63" t="s">
        <v>3174</v>
      </c>
      <c r="K63">
        <v>772.19</v>
      </c>
      <c r="P63" s="2976">
        <v>60</v>
      </c>
      <c r="Q63" s="2977" t="s">
        <v>3194</v>
      </c>
      <c r="R63" s="2977">
        <v>1701</v>
      </c>
    </row>
    <row r="64" spans="4:18" ht="27.75" thickBot="1">
      <c r="D64" t="s">
        <v>3175</v>
      </c>
      <c r="K64">
        <v>80.040000000000006</v>
      </c>
      <c r="P64" s="2976">
        <v>61</v>
      </c>
      <c r="Q64" s="2977" t="s">
        <v>3194</v>
      </c>
      <c r="R64" s="2977">
        <v>1702</v>
      </c>
    </row>
    <row r="65" spans="4:21" ht="27.75" thickBot="1">
      <c r="D65" t="s">
        <v>3176</v>
      </c>
      <c r="M65">
        <v>68257.179999999993</v>
      </c>
      <c r="N65">
        <v>1944.67</v>
      </c>
      <c r="P65" s="2976">
        <v>62</v>
      </c>
      <c r="Q65" s="2977" t="s">
        <v>3194</v>
      </c>
      <c r="R65" s="2977">
        <v>1703</v>
      </c>
    </row>
    <row r="66" spans="4:21" ht="27.75" thickBot="1">
      <c r="P66" s="2976">
        <v>63</v>
      </c>
      <c r="Q66" s="2977" t="s">
        <v>3194</v>
      </c>
      <c r="R66" s="2977">
        <v>1704</v>
      </c>
    </row>
    <row r="67" spans="4:21" ht="27.75" thickBot="1">
      <c r="P67" s="2976">
        <v>64</v>
      </c>
      <c r="Q67" s="2977" t="s">
        <v>3195</v>
      </c>
      <c r="R67" s="2977">
        <v>101</v>
      </c>
    </row>
    <row r="68" spans="4:21" ht="27.75" thickBot="1">
      <c r="P68" s="2976">
        <v>65</v>
      </c>
      <c r="Q68" s="2977" t="s">
        <v>3195</v>
      </c>
      <c r="R68" s="2977">
        <v>102</v>
      </c>
      <c r="T68" s="2943" t="s">
        <v>3221</v>
      </c>
    </row>
    <row r="69" spans="4:21" ht="27.75" thickBot="1">
      <c r="P69" s="2976">
        <v>66</v>
      </c>
      <c r="Q69" s="2977" t="s">
        <v>3195</v>
      </c>
      <c r="R69" s="2977">
        <v>202</v>
      </c>
      <c r="T69" s="2943" t="s">
        <v>3218</v>
      </c>
      <c r="U69">
        <v>77.180000000000007</v>
      </c>
    </row>
    <row r="70" spans="4:21" ht="27.75" thickBot="1">
      <c r="P70" s="2976">
        <v>67</v>
      </c>
      <c r="Q70" s="2977" t="s">
        <v>3195</v>
      </c>
      <c r="R70" s="2977">
        <v>301</v>
      </c>
    </row>
    <row r="71" spans="4:21" ht="27.75" thickBot="1">
      <c r="P71" s="2976">
        <v>68</v>
      </c>
      <c r="Q71" s="2977" t="s">
        <v>3195</v>
      </c>
      <c r="R71" s="2977">
        <v>302</v>
      </c>
    </row>
    <row r="72" spans="4:21" ht="27.75" thickBot="1">
      <c r="P72" s="2976">
        <v>69</v>
      </c>
      <c r="Q72" s="2977" t="s">
        <v>3195</v>
      </c>
      <c r="R72" s="2977">
        <v>303</v>
      </c>
    </row>
    <row r="73" spans="4:21" ht="27.75" thickBot="1">
      <c r="P73" s="2976">
        <v>70</v>
      </c>
      <c r="Q73" s="2977" t="s">
        <v>3195</v>
      </c>
      <c r="R73" s="2977">
        <v>401</v>
      </c>
    </row>
    <row r="74" spans="4:21" ht="27.75" thickBot="1">
      <c r="P74" s="2976">
        <v>71</v>
      </c>
      <c r="Q74" s="2977" t="s">
        <v>3195</v>
      </c>
      <c r="R74" s="2977">
        <v>402</v>
      </c>
    </row>
    <row r="75" spans="4:21" ht="27.75" thickBot="1">
      <c r="P75" s="2976">
        <v>72</v>
      </c>
      <c r="Q75" s="2977" t="s">
        <v>3195</v>
      </c>
      <c r="R75" s="2977">
        <v>403</v>
      </c>
    </row>
    <row r="76" spans="4:21" ht="27.75" thickBot="1">
      <c r="P76" s="2976">
        <v>73</v>
      </c>
      <c r="Q76" s="2977" t="s">
        <v>3195</v>
      </c>
      <c r="R76" s="2977">
        <v>501</v>
      </c>
    </row>
    <row r="77" spans="4:21" ht="27.75" thickBot="1">
      <c r="P77" s="2976">
        <v>74</v>
      </c>
      <c r="Q77" s="2977" t="s">
        <v>3195</v>
      </c>
      <c r="R77" s="2977">
        <v>502</v>
      </c>
    </row>
    <row r="78" spans="4:21" ht="27.75" thickBot="1">
      <c r="P78" s="2976">
        <v>75</v>
      </c>
      <c r="Q78" s="2977" t="s">
        <v>3195</v>
      </c>
      <c r="R78" s="2977">
        <v>503</v>
      </c>
    </row>
    <row r="79" spans="4:21" ht="27.75" thickBot="1">
      <c r="P79" s="2976">
        <v>76</v>
      </c>
      <c r="Q79" s="2977" t="s">
        <v>3195</v>
      </c>
      <c r="R79" s="2977">
        <v>601</v>
      </c>
    </row>
    <row r="80" spans="4:21" ht="27.75" thickBot="1">
      <c r="P80" s="2976">
        <v>77</v>
      </c>
      <c r="Q80" s="2977" t="s">
        <v>3195</v>
      </c>
      <c r="R80" s="2977">
        <v>602</v>
      </c>
    </row>
    <row r="81" spans="16:18" ht="27.75" thickBot="1">
      <c r="P81" s="2976">
        <v>78</v>
      </c>
      <c r="Q81" s="2977" t="s">
        <v>3195</v>
      </c>
      <c r="R81" s="2977">
        <v>603</v>
      </c>
    </row>
    <row r="82" spans="16:18" ht="27.75" thickBot="1">
      <c r="P82" s="2976">
        <v>79</v>
      </c>
      <c r="Q82" s="2977" t="s">
        <v>3195</v>
      </c>
      <c r="R82" s="2977">
        <v>701</v>
      </c>
    </row>
    <row r="83" spans="16:18" ht="27.75" thickBot="1">
      <c r="P83" s="2976">
        <v>80</v>
      </c>
      <c r="Q83" s="2977" t="s">
        <v>3195</v>
      </c>
      <c r="R83" s="2977">
        <v>702</v>
      </c>
    </row>
    <row r="84" spans="16:18" ht="27.75" thickBot="1">
      <c r="P84" s="2976">
        <v>81</v>
      </c>
      <c r="Q84" s="2977" t="s">
        <v>3195</v>
      </c>
      <c r="R84" s="2977">
        <v>703</v>
      </c>
    </row>
    <row r="85" spans="16:18" ht="27.75" thickBot="1">
      <c r="P85" s="2976">
        <v>82</v>
      </c>
      <c r="Q85" s="2977" t="s">
        <v>3195</v>
      </c>
      <c r="R85" s="2977">
        <v>801</v>
      </c>
    </row>
    <row r="86" spans="16:18" ht="27.75" thickBot="1">
      <c r="P86" s="2976">
        <v>83</v>
      </c>
      <c r="Q86" s="2977" t="s">
        <v>3195</v>
      </c>
      <c r="R86" s="2977">
        <v>802</v>
      </c>
    </row>
    <row r="87" spans="16:18" ht="27.75" thickBot="1">
      <c r="P87" s="2976">
        <v>84</v>
      </c>
      <c r="Q87" s="2977" t="s">
        <v>3195</v>
      </c>
      <c r="R87" s="2977">
        <v>803</v>
      </c>
    </row>
    <row r="88" spans="16:18" ht="27.75" thickBot="1">
      <c r="P88" s="2976">
        <v>85</v>
      </c>
      <c r="Q88" s="2977" t="s">
        <v>3195</v>
      </c>
      <c r="R88" s="2977">
        <v>804</v>
      </c>
    </row>
    <row r="89" spans="16:18" ht="27.75" thickBot="1">
      <c r="P89" s="2976">
        <v>86</v>
      </c>
      <c r="Q89" s="2977" t="s">
        <v>3195</v>
      </c>
      <c r="R89" s="2977">
        <v>901</v>
      </c>
    </row>
    <row r="90" spans="16:18" ht="27.75" thickBot="1">
      <c r="P90" s="2976">
        <v>87</v>
      </c>
      <c r="Q90" s="2977" t="s">
        <v>3195</v>
      </c>
      <c r="R90" s="2977">
        <v>902</v>
      </c>
    </row>
    <row r="91" spans="16:18" ht="27.75" thickBot="1">
      <c r="P91" s="2976">
        <v>88</v>
      </c>
      <c r="Q91" s="2977" t="s">
        <v>3195</v>
      </c>
      <c r="R91" s="2977">
        <v>903</v>
      </c>
    </row>
    <row r="92" spans="16:18" ht="27.75" thickBot="1">
      <c r="P92" s="2976">
        <v>89</v>
      </c>
      <c r="Q92" s="2977" t="s">
        <v>3195</v>
      </c>
      <c r="R92" s="2977">
        <v>904</v>
      </c>
    </row>
    <row r="93" spans="16:18" ht="27.75" thickBot="1">
      <c r="P93" s="2976">
        <v>90</v>
      </c>
      <c r="Q93" s="2977" t="s">
        <v>3195</v>
      </c>
      <c r="R93" s="2977">
        <v>1001</v>
      </c>
    </row>
    <row r="94" spans="16:18" ht="27.75" thickBot="1">
      <c r="P94" s="2976">
        <v>91</v>
      </c>
      <c r="Q94" s="2977" t="s">
        <v>3195</v>
      </c>
      <c r="R94" s="2977">
        <v>1002</v>
      </c>
    </row>
    <row r="95" spans="16:18" ht="27.75" thickBot="1">
      <c r="P95" s="2976">
        <v>92</v>
      </c>
      <c r="Q95" s="2977" t="s">
        <v>3195</v>
      </c>
      <c r="R95" s="2977">
        <v>1003</v>
      </c>
    </row>
    <row r="96" spans="16:18" ht="27.75" thickBot="1">
      <c r="P96" s="2976">
        <v>93</v>
      </c>
      <c r="Q96" s="2977" t="s">
        <v>3195</v>
      </c>
      <c r="R96" s="2977">
        <v>1004</v>
      </c>
    </row>
    <row r="97" spans="16:18" ht="27.75" thickBot="1">
      <c r="P97" s="2976">
        <v>94</v>
      </c>
      <c r="Q97" s="2977" t="s">
        <v>3195</v>
      </c>
      <c r="R97" s="2977">
        <v>1101</v>
      </c>
    </row>
    <row r="98" spans="16:18" ht="27.75" thickBot="1">
      <c r="P98" s="2976">
        <v>95</v>
      </c>
      <c r="Q98" s="2977" t="s">
        <v>3195</v>
      </c>
      <c r="R98" s="2977">
        <v>1102</v>
      </c>
    </row>
    <row r="99" spans="16:18" ht="27.75" thickBot="1">
      <c r="P99" s="2976">
        <v>96</v>
      </c>
      <c r="Q99" s="2977" t="s">
        <v>3195</v>
      </c>
      <c r="R99" s="2977">
        <v>1103</v>
      </c>
    </row>
    <row r="100" spans="16:18" ht="27.75" thickBot="1">
      <c r="P100" s="2976">
        <v>97</v>
      </c>
      <c r="Q100" s="2977" t="s">
        <v>3195</v>
      </c>
      <c r="R100" s="2977">
        <v>1104</v>
      </c>
    </row>
    <row r="101" spans="16:18" ht="27.75" thickBot="1">
      <c r="P101" s="2976">
        <v>98</v>
      </c>
      <c r="Q101" s="2977" t="s">
        <v>3195</v>
      </c>
      <c r="R101" s="2977">
        <v>1201</v>
      </c>
    </row>
    <row r="102" spans="16:18" ht="27.75" thickBot="1">
      <c r="P102" s="2976">
        <v>99</v>
      </c>
      <c r="Q102" s="2977" t="s">
        <v>3195</v>
      </c>
      <c r="R102" s="2977">
        <v>1202</v>
      </c>
    </row>
    <row r="103" spans="16:18" ht="27.75" thickBot="1">
      <c r="P103" s="2976">
        <v>100</v>
      </c>
      <c r="Q103" s="2977" t="s">
        <v>3195</v>
      </c>
      <c r="R103" s="2977">
        <v>1203</v>
      </c>
    </row>
    <row r="104" spans="16:18" ht="27.75" thickBot="1">
      <c r="P104" s="2976">
        <v>101</v>
      </c>
      <c r="Q104" s="2977" t="s">
        <v>3195</v>
      </c>
      <c r="R104" s="2977">
        <v>1204</v>
      </c>
    </row>
    <row r="105" spans="16:18" ht="27.75" thickBot="1">
      <c r="P105" s="2976">
        <v>102</v>
      </c>
      <c r="Q105" s="2977" t="s">
        <v>3195</v>
      </c>
      <c r="R105" s="2977">
        <v>1301</v>
      </c>
    </row>
    <row r="106" spans="16:18" ht="27.75" thickBot="1">
      <c r="P106" s="2976">
        <v>103</v>
      </c>
      <c r="Q106" s="2977" t="s">
        <v>3195</v>
      </c>
      <c r="R106" s="2977">
        <v>1302</v>
      </c>
    </row>
    <row r="107" spans="16:18" ht="27.75" thickBot="1">
      <c r="P107" s="2976">
        <v>104</v>
      </c>
      <c r="Q107" s="2977" t="s">
        <v>3195</v>
      </c>
      <c r="R107" s="2977">
        <v>1303</v>
      </c>
    </row>
    <row r="108" spans="16:18" ht="27.75" thickBot="1">
      <c r="P108" s="2976">
        <v>105</v>
      </c>
      <c r="Q108" s="2977" t="s">
        <v>3195</v>
      </c>
      <c r="R108" s="2977">
        <v>1304</v>
      </c>
    </row>
    <row r="109" spans="16:18" ht="27.75" thickBot="1">
      <c r="P109" s="2976">
        <v>106</v>
      </c>
      <c r="Q109" s="2977" t="s">
        <v>3195</v>
      </c>
      <c r="R109" s="2977">
        <v>1401</v>
      </c>
    </row>
    <row r="110" spans="16:18" ht="27.75" thickBot="1">
      <c r="P110" s="2976">
        <v>107</v>
      </c>
      <c r="Q110" s="2977" t="s">
        <v>3195</v>
      </c>
      <c r="R110" s="2977">
        <v>1402</v>
      </c>
    </row>
    <row r="111" spans="16:18" ht="27.75" thickBot="1">
      <c r="P111" s="2976">
        <v>108</v>
      </c>
      <c r="Q111" s="2977" t="s">
        <v>3195</v>
      </c>
      <c r="R111" s="2977">
        <v>1403</v>
      </c>
    </row>
    <row r="112" spans="16:18" ht="27.75" thickBot="1">
      <c r="P112" s="2976">
        <v>109</v>
      </c>
      <c r="Q112" s="2977" t="s">
        <v>3195</v>
      </c>
      <c r="R112" s="2977">
        <v>1404</v>
      </c>
    </row>
    <row r="113" spans="16:21" ht="27.75" thickBot="1">
      <c r="P113" s="2976">
        <v>110</v>
      </c>
      <c r="Q113" s="2977" t="s">
        <v>3195</v>
      </c>
      <c r="R113" s="2977">
        <v>1501</v>
      </c>
    </row>
    <row r="114" spans="16:21" ht="27.75" thickBot="1">
      <c r="P114" s="2976">
        <v>111</v>
      </c>
      <c r="Q114" s="2977" t="s">
        <v>3195</v>
      </c>
      <c r="R114" s="2977">
        <v>1502</v>
      </c>
    </row>
    <row r="115" spans="16:21" ht="27.75" thickBot="1">
      <c r="P115" s="2976">
        <v>112</v>
      </c>
      <c r="Q115" s="2977" t="s">
        <v>3195</v>
      </c>
      <c r="R115" s="2977">
        <v>1503</v>
      </c>
    </row>
    <row r="116" spans="16:21" ht="27.75" thickBot="1">
      <c r="P116" s="2976">
        <v>113</v>
      </c>
      <c r="Q116" s="2977" t="s">
        <v>3195</v>
      </c>
      <c r="R116" s="2977">
        <v>1504</v>
      </c>
    </row>
    <row r="117" spans="16:21" ht="27.75" thickBot="1">
      <c r="P117" s="2976">
        <v>114</v>
      </c>
      <c r="Q117" s="2977" t="s">
        <v>3195</v>
      </c>
      <c r="R117" s="2977">
        <v>1601</v>
      </c>
    </row>
    <row r="118" spans="16:21" ht="27.75" thickBot="1">
      <c r="P118" s="2976">
        <v>115</v>
      </c>
      <c r="Q118" s="2977" t="s">
        <v>3195</v>
      </c>
      <c r="R118" s="2977">
        <v>1602</v>
      </c>
    </row>
    <row r="119" spans="16:21" ht="27.75" thickBot="1">
      <c r="P119" s="2976">
        <v>116</v>
      </c>
      <c r="Q119" s="2977" t="s">
        <v>3195</v>
      </c>
      <c r="R119" s="2977">
        <v>1603</v>
      </c>
    </row>
    <row r="120" spans="16:21" ht="27.75" thickBot="1">
      <c r="P120" s="2976">
        <v>117</v>
      </c>
      <c r="Q120" s="2977" t="s">
        <v>3195</v>
      </c>
      <c r="R120" s="2977">
        <v>1604</v>
      </c>
    </row>
    <row r="121" spans="16:21" ht="27.75" thickBot="1">
      <c r="P121" s="2976">
        <v>118</v>
      </c>
      <c r="Q121" s="2977" t="s">
        <v>3195</v>
      </c>
      <c r="R121" s="2977">
        <v>1701</v>
      </c>
    </row>
    <row r="122" spans="16:21" ht="27.75" thickBot="1">
      <c r="P122" s="2976">
        <v>119</v>
      </c>
      <c r="Q122" s="2977" t="s">
        <v>3195</v>
      </c>
      <c r="R122" s="2977">
        <v>1702</v>
      </c>
    </row>
    <row r="123" spans="16:21" ht="27.75" thickBot="1">
      <c r="P123" s="2976">
        <v>120</v>
      </c>
      <c r="Q123" s="2977" t="s">
        <v>3195</v>
      </c>
      <c r="R123" s="2977">
        <v>1703</v>
      </c>
    </row>
    <row r="124" spans="16:21" ht="27.75" thickBot="1">
      <c r="P124" s="2976">
        <v>121</v>
      </c>
      <c r="Q124" s="2977" t="s">
        <v>3195</v>
      </c>
      <c r="R124" s="2977">
        <v>1704</v>
      </c>
    </row>
    <row r="125" spans="16:21" ht="27.75" thickBot="1">
      <c r="P125" s="2976">
        <v>122</v>
      </c>
      <c r="Q125" s="2977" t="s">
        <v>3196</v>
      </c>
      <c r="R125" s="2977">
        <v>101</v>
      </c>
    </row>
    <row r="126" spans="16:21" ht="27.75" thickBot="1">
      <c r="P126" s="2976">
        <v>123</v>
      </c>
      <c r="Q126" s="2977" t="s">
        <v>3196</v>
      </c>
      <c r="R126" s="2977">
        <v>102</v>
      </c>
      <c r="T126" s="2943" t="s">
        <v>3220</v>
      </c>
    </row>
    <row r="127" spans="16:21" ht="27.75" thickBot="1">
      <c r="P127" s="2976">
        <v>124</v>
      </c>
      <c r="Q127" s="2977" t="s">
        <v>3196</v>
      </c>
      <c r="R127" s="2977">
        <v>202</v>
      </c>
      <c r="T127" s="2943" t="s">
        <v>3219</v>
      </c>
      <c r="U127">
        <v>77.180000000000007</v>
      </c>
    </row>
    <row r="128" spans="16:21" ht="27.75" thickBot="1">
      <c r="P128" s="2976">
        <v>125</v>
      </c>
      <c r="Q128" s="2977" t="s">
        <v>3196</v>
      </c>
      <c r="R128" s="2977">
        <v>301</v>
      </c>
    </row>
    <row r="129" spans="16:18" ht="27.75" thickBot="1">
      <c r="P129" s="2976">
        <v>126</v>
      </c>
      <c r="Q129" s="2977" t="s">
        <v>3196</v>
      </c>
      <c r="R129" s="2977">
        <v>303</v>
      </c>
    </row>
    <row r="130" spans="16:18" ht="27.75" thickBot="1">
      <c r="P130" s="2976">
        <v>127</v>
      </c>
      <c r="Q130" s="2977" t="s">
        <v>3196</v>
      </c>
      <c r="R130" s="2977">
        <v>402</v>
      </c>
    </row>
    <row r="131" spans="16:18" ht="27.75" thickBot="1">
      <c r="P131" s="2976">
        <v>128</v>
      </c>
      <c r="Q131" s="2977" t="s">
        <v>3196</v>
      </c>
      <c r="R131" s="2977">
        <v>403</v>
      </c>
    </row>
    <row r="132" spans="16:18" ht="27.75" thickBot="1">
      <c r="P132" s="2976">
        <v>129</v>
      </c>
      <c r="Q132" s="2977" t="s">
        <v>3196</v>
      </c>
      <c r="R132" s="2977">
        <v>501</v>
      </c>
    </row>
    <row r="133" spans="16:18" ht="27.75" thickBot="1">
      <c r="P133" s="2976">
        <v>130</v>
      </c>
      <c r="Q133" s="2977" t="s">
        <v>3196</v>
      </c>
      <c r="R133" s="2977">
        <v>502</v>
      </c>
    </row>
    <row r="134" spans="16:18" ht="27.75" thickBot="1">
      <c r="P134" s="2976">
        <v>131</v>
      </c>
      <c r="Q134" s="2977" t="s">
        <v>3196</v>
      </c>
      <c r="R134" s="2977">
        <v>503</v>
      </c>
    </row>
    <row r="135" spans="16:18" ht="27.75" thickBot="1">
      <c r="P135" s="2976">
        <v>132</v>
      </c>
      <c r="Q135" s="2977" t="s">
        <v>3196</v>
      </c>
      <c r="R135" s="2977">
        <v>504</v>
      </c>
    </row>
    <row r="136" spans="16:18" ht="27.75" thickBot="1">
      <c r="P136" s="2976">
        <v>133</v>
      </c>
      <c r="Q136" s="2977" t="s">
        <v>3196</v>
      </c>
      <c r="R136" s="2977">
        <v>601</v>
      </c>
    </row>
    <row r="137" spans="16:18" ht="27.75" thickBot="1">
      <c r="P137" s="2976">
        <v>134</v>
      </c>
      <c r="Q137" s="2977" t="s">
        <v>3196</v>
      </c>
      <c r="R137" s="2977">
        <v>602</v>
      </c>
    </row>
    <row r="138" spans="16:18" ht="27.75" thickBot="1">
      <c r="P138" s="2976">
        <v>135</v>
      </c>
      <c r="Q138" s="2977" t="s">
        <v>3196</v>
      </c>
      <c r="R138" s="2977">
        <v>603</v>
      </c>
    </row>
    <row r="139" spans="16:18" ht="27.75" thickBot="1">
      <c r="P139" s="2976">
        <v>136</v>
      </c>
      <c r="Q139" s="2977" t="s">
        <v>3196</v>
      </c>
      <c r="R139" s="2977">
        <v>604</v>
      </c>
    </row>
    <row r="140" spans="16:18" ht="27.75" thickBot="1">
      <c r="P140" s="2976">
        <v>137</v>
      </c>
      <c r="Q140" s="2977" t="s">
        <v>3196</v>
      </c>
      <c r="R140" s="2977">
        <v>701</v>
      </c>
    </row>
    <row r="141" spans="16:18" ht="27.75" thickBot="1">
      <c r="P141" s="2976">
        <v>138</v>
      </c>
      <c r="Q141" s="2977" t="s">
        <v>3196</v>
      </c>
      <c r="R141" s="2977">
        <v>702</v>
      </c>
    </row>
    <row r="142" spans="16:18" ht="27.75" thickBot="1">
      <c r="P142" s="2976">
        <v>139</v>
      </c>
      <c r="Q142" s="2977" t="s">
        <v>3196</v>
      </c>
      <c r="R142" s="2977">
        <v>703</v>
      </c>
    </row>
    <row r="143" spans="16:18" ht="27.75" thickBot="1">
      <c r="P143" s="2976">
        <v>140</v>
      </c>
      <c r="Q143" s="2977" t="s">
        <v>3196</v>
      </c>
      <c r="R143" s="2977">
        <v>704</v>
      </c>
    </row>
    <row r="144" spans="16:18" ht="27.75" thickBot="1">
      <c r="P144" s="2976">
        <v>141</v>
      </c>
      <c r="Q144" s="2977" t="s">
        <v>3196</v>
      </c>
      <c r="R144" s="2977">
        <v>801</v>
      </c>
    </row>
    <row r="145" spans="16:18" ht="27.75" thickBot="1">
      <c r="P145" s="2976">
        <v>142</v>
      </c>
      <c r="Q145" s="2977" t="s">
        <v>3196</v>
      </c>
      <c r="R145" s="2977">
        <v>802</v>
      </c>
    </row>
    <row r="146" spans="16:18" ht="27.75" thickBot="1">
      <c r="P146" s="2976">
        <v>143</v>
      </c>
      <c r="Q146" s="2977" t="s">
        <v>3196</v>
      </c>
      <c r="R146" s="2977">
        <v>803</v>
      </c>
    </row>
    <row r="147" spans="16:18" ht="27.75" thickBot="1">
      <c r="P147" s="2976">
        <v>144</v>
      </c>
      <c r="Q147" s="2977" t="s">
        <v>3196</v>
      </c>
      <c r="R147" s="2977">
        <v>804</v>
      </c>
    </row>
    <row r="148" spans="16:18" ht="27.75" thickBot="1">
      <c r="P148" s="2976">
        <v>145</v>
      </c>
      <c r="Q148" s="2977" t="s">
        <v>3196</v>
      </c>
      <c r="R148" s="2977">
        <v>901</v>
      </c>
    </row>
    <row r="149" spans="16:18" ht="27.75" thickBot="1">
      <c r="P149" s="2976">
        <v>146</v>
      </c>
      <c r="Q149" s="2977" t="s">
        <v>3196</v>
      </c>
      <c r="R149" s="2977">
        <v>902</v>
      </c>
    </row>
    <row r="150" spans="16:18" ht="27.75" thickBot="1">
      <c r="P150" s="2976">
        <v>147</v>
      </c>
      <c r="Q150" s="2977" t="s">
        <v>3196</v>
      </c>
      <c r="R150" s="2977">
        <v>903</v>
      </c>
    </row>
    <row r="151" spans="16:18" ht="27.75" thickBot="1">
      <c r="P151" s="2976">
        <v>148</v>
      </c>
      <c r="Q151" s="2977" t="s">
        <v>3196</v>
      </c>
      <c r="R151" s="2977">
        <v>904</v>
      </c>
    </row>
    <row r="152" spans="16:18" ht="27.75" thickBot="1">
      <c r="P152" s="2976">
        <v>149</v>
      </c>
      <c r="Q152" s="2977" t="s">
        <v>3196</v>
      </c>
      <c r="R152" s="2977">
        <v>1001</v>
      </c>
    </row>
    <row r="153" spans="16:18" ht="27.75" thickBot="1">
      <c r="P153" s="2976">
        <v>150</v>
      </c>
      <c r="Q153" s="2977" t="s">
        <v>3196</v>
      </c>
      <c r="R153" s="2977">
        <v>1003</v>
      </c>
    </row>
    <row r="154" spans="16:18" ht="27.75" thickBot="1">
      <c r="P154" s="2976">
        <v>151</v>
      </c>
      <c r="Q154" s="2977" t="s">
        <v>3196</v>
      </c>
      <c r="R154" s="2977">
        <v>1004</v>
      </c>
    </row>
    <row r="155" spans="16:18" ht="27.75" thickBot="1">
      <c r="P155" s="2976">
        <v>152</v>
      </c>
      <c r="Q155" s="2977" t="s">
        <v>3196</v>
      </c>
      <c r="R155" s="2977">
        <v>1101</v>
      </c>
    </row>
    <row r="156" spans="16:18" ht="27.75" thickBot="1">
      <c r="P156" s="2976">
        <v>153</v>
      </c>
      <c r="Q156" s="2977" t="s">
        <v>3196</v>
      </c>
      <c r="R156" s="2977">
        <v>1102</v>
      </c>
    </row>
    <row r="157" spans="16:18" ht="27.75" thickBot="1">
      <c r="P157" s="2976">
        <v>154</v>
      </c>
      <c r="Q157" s="2977" t="s">
        <v>3196</v>
      </c>
      <c r="R157" s="2977">
        <v>1103</v>
      </c>
    </row>
    <row r="158" spans="16:18" ht="27.75" thickBot="1">
      <c r="P158" s="2976">
        <v>155</v>
      </c>
      <c r="Q158" s="2977" t="s">
        <v>3196</v>
      </c>
      <c r="R158" s="2977">
        <v>1104</v>
      </c>
    </row>
    <row r="159" spans="16:18" ht="27.75" thickBot="1">
      <c r="P159" s="2976">
        <v>156</v>
      </c>
      <c r="Q159" s="2977" t="s">
        <v>3196</v>
      </c>
      <c r="R159" s="2977">
        <v>1201</v>
      </c>
    </row>
    <row r="160" spans="16:18" ht="27.75" thickBot="1">
      <c r="P160" s="2976">
        <v>157</v>
      </c>
      <c r="Q160" s="2977" t="s">
        <v>3196</v>
      </c>
      <c r="R160" s="2977">
        <v>1202</v>
      </c>
    </row>
    <row r="161" spans="16:18" ht="27.75" thickBot="1">
      <c r="P161" s="2976">
        <v>158</v>
      </c>
      <c r="Q161" s="2977" t="s">
        <v>3196</v>
      </c>
      <c r="R161" s="2977">
        <v>1203</v>
      </c>
    </row>
    <row r="162" spans="16:18" ht="27.75" thickBot="1">
      <c r="P162" s="2976">
        <v>159</v>
      </c>
      <c r="Q162" s="2977" t="s">
        <v>3196</v>
      </c>
      <c r="R162" s="2977">
        <v>1204</v>
      </c>
    </row>
    <row r="163" spans="16:18" ht="27.75" thickBot="1">
      <c r="P163" s="2976">
        <v>160</v>
      </c>
      <c r="Q163" s="2977" t="s">
        <v>3196</v>
      </c>
      <c r="R163" s="2977">
        <v>1301</v>
      </c>
    </row>
    <row r="164" spans="16:18" ht="27.75" thickBot="1">
      <c r="P164" s="2976">
        <v>161</v>
      </c>
      <c r="Q164" s="2977" t="s">
        <v>3196</v>
      </c>
      <c r="R164" s="2977">
        <v>1302</v>
      </c>
    </row>
    <row r="165" spans="16:18" ht="27.75" thickBot="1">
      <c r="P165" s="2976">
        <v>162</v>
      </c>
      <c r="Q165" s="2977" t="s">
        <v>3196</v>
      </c>
      <c r="R165" s="2977">
        <v>1303</v>
      </c>
    </row>
    <row r="166" spans="16:18" ht="27.75" thickBot="1">
      <c r="P166" s="2976">
        <v>163</v>
      </c>
      <c r="Q166" s="2977" t="s">
        <v>3196</v>
      </c>
      <c r="R166" s="2977">
        <v>1304</v>
      </c>
    </row>
    <row r="167" spans="16:18" ht="27.75" thickBot="1">
      <c r="P167" s="2976">
        <v>164</v>
      </c>
      <c r="Q167" s="2977" t="s">
        <v>3196</v>
      </c>
      <c r="R167" s="2977">
        <v>1401</v>
      </c>
    </row>
    <row r="168" spans="16:18" ht="27.75" thickBot="1">
      <c r="P168" s="2976">
        <v>165</v>
      </c>
      <c r="Q168" s="2977" t="s">
        <v>3196</v>
      </c>
      <c r="R168" s="2977">
        <v>1402</v>
      </c>
    </row>
    <row r="169" spans="16:18" ht="27.75" thickBot="1">
      <c r="P169" s="2976">
        <v>166</v>
      </c>
      <c r="Q169" s="2977" t="s">
        <v>3196</v>
      </c>
      <c r="R169" s="2977">
        <v>1403</v>
      </c>
    </row>
    <row r="170" spans="16:18" ht="27.75" thickBot="1">
      <c r="P170" s="2976">
        <v>167</v>
      </c>
      <c r="Q170" s="2977" t="s">
        <v>3196</v>
      </c>
      <c r="R170" s="2977">
        <v>1404</v>
      </c>
    </row>
    <row r="171" spans="16:18" ht="27.75" thickBot="1">
      <c r="P171" s="2976">
        <v>168</v>
      </c>
      <c r="Q171" s="2977" t="s">
        <v>3196</v>
      </c>
      <c r="R171" s="2977">
        <v>1501</v>
      </c>
    </row>
    <row r="172" spans="16:18" ht="27.75" thickBot="1">
      <c r="P172" s="2976">
        <v>169</v>
      </c>
      <c r="Q172" s="2977" t="s">
        <v>3196</v>
      </c>
      <c r="R172" s="2977">
        <v>1502</v>
      </c>
    </row>
    <row r="173" spans="16:18" ht="27.75" thickBot="1">
      <c r="P173" s="2976">
        <v>170</v>
      </c>
      <c r="Q173" s="2977" t="s">
        <v>3196</v>
      </c>
      <c r="R173" s="2977">
        <v>1503</v>
      </c>
    </row>
    <row r="174" spans="16:18" ht="27.75" thickBot="1">
      <c r="P174" s="2976">
        <v>171</v>
      </c>
      <c r="Q174" s="2977" t="s">
        <v>3196</v>
      </c>
      <c r="R174" s="2977">
        <v>1504</v>
      </c>
    </row>
    <row r="175" spans="16:18" ht="27.75" thickBot="1">
      <c r="P175" s="2976">
        <v>172</v>
      </c>
      <c r="Q175" s="2977" t="s">
        <v>3196</v>
      </c>
      <c r="R175" s="2977">
        <v>1601</v>
      </c>
    </row>
    <row r="176" spans="16:18" ht="27.75" thickBot="1">
      <c r="P176" s="2976">
        <v>173</v>
      </c>
      <c r="Q176" s="2977" t="s">
        <v>3196</v>
      </c>
      <c r="R176" s="2977">
        <v>1602</v>
      </c>
    </row>
    <row r="177" spans="16:18" ht="27.75" thickBot="1">
      <c r="P177" s="2976">
        <v>174</v>
      </c>
      <c r="Q177" s="2977" t="s">
        <v>3196</v>
      </c>
      <c r="R177" s="2977">
        <v>1603</v>
      </c>
    </row>
    <row r="178" spans="16:18" ht="27.75" thickBot="1">
      <c r="P178" s="2976">
        <v>175</v>
      </c>
      <c r="Q178" s="2977" t="s">
        <v>3196</v>
      </c>
      <c r="R178" s="2977">
        <v>1604</v>
      </c>
    </row>
    <row r="179" spans="16:18" ht="27.75" thickBot="1">
      <c r="P179" s="2976">
        <v>176</v>
      </c>
      <c r="Q179" s="2977" t="s">
        <v>3196</v>
      </c>
      <c r="R179" s="2977">
        <v>1702</v>
      </c>
    </row>
    <row r="180" spans="16:18" ht="27.75" thickBot="1">
      <c r="P180" s="2976">
        <v>177</v>
      </c>
      <c r="Q180" s="2977" t="s">
        <v>3196</v>
      </c>
      <c r="R180" s="2977">
        <v>1703</v>
      </c>
    </row>
    <row r="181" spans="16:18" ht="27.75" thickBot="1">
      <c r="P181" s="2976">
        <v>178</v>
      </c>
      <c r="Q181" s="2977" t="s">
        <v>3196</v>
      </c>
      <c r="R181" s="2977">
        <v>1704</v>
      </c>
    </row>
    <row r="182" spans="16:18" ht="27.75" thickBot="1">
      <c r="P182" s="2976">
        <v>179</v>
      </c>
      <c r="Q182" s="2977" t="s">
        <v>3197</v>
      </c>
      <c r="R182" s="2977">
        <v>101</v>
      </c>
    </row>
    <row r="183" spans="16:18" ht="27.75" thickBot="1">
      <c r="P183" s="2976">
        <v>180</v>
      </c>
      <c r="Q183" s="2977" t="s">
        <v>3197</v>
      </c>
      <c r="R183" s="2977">
        <v>102</v>
      </c>
    </row>
    <row r="184" spans="16:18" ht="27.75" thickBot="1">
      <c r="P184" s="2976">
        <v>181</v>
      </c>
      <c r="Q184" s="2977" t="s">
        <v>3197</v>
      </c>
      <c r="R184" s="2977">
        <v>201</v>
      </c>
    </row>
    <row r="185" spans="16:18" ht="27.75" thickBot="1">
      <c r="P185" s="2976">
        <v>182</v>
      </c>
      <c r="Q185" s="2977" t="s">
        <v>3197</v>
      </c>
      <c r="R185" s="2977">
        <v>202</v>
      </c>
    </row>
    <row r="186" spans="16:18" ht="27.75" thickBot="1">
      <c r="P186" s="2976">
        <v>183</v>
      </c>
      <c r="Q186" s="2977" t="s">
        <v>3197</v>
      </c>
      <c r="R186" s="2977">
        <v>301</v>
      </c>
    </row>
    <row r="187" spans="16:18" ht="27.75" thickBot="1">
      <c r="P187" s="2976">
        <v>184</v>
      </c>
      <c r="Q187" s="2977" t="s">
        <v>3197</v>
      </c>
      <c r="R187" s="2977">
        <v>302</v>
      </c>
    </row>
    <row r="188" spans="16:18" ht="27.75" thickBot="1">
      <c r="P188" s="2976">
        <v>185</v>
      </c>
      <c r="Q188" s="2977" t="s">
        <v>3197</v>
      </c>
      <c r="R188" s="2977">
        <v>401</v>
      </c>
    </row>
    <row r="189" spans="16:18" ht="27.75" thickBot="1">
      <c r="P189" s="2976">
        <v>186</v>
      </c>
      <c r="Q189" s="2977" t="s">
        <v>3197</v>
      </c>
      <c r="R189" s="2977">
        <v>402</v>
      </c>
    </row>
    <row r="190" spans="16:18" ht="27.75" thickBot="1">
      <c r="P190" s="2976">
        <v>187</v>
      </c>
      <c r="Q190" s="2977" t="s">
        <v>3197</v>
      </c>
      <c r="R190" s="2977">
        <v>403</v>
      </c>
    </row>
    <row r="191" spans="16:18" ht="27.75" thickBot="1">
      <c r="P191" s="2976">
        <v>188</v>
      </c>
      <c r="Q191" s="2977" t="s">
        <v>3197</v>
      </c>
      <c r="R191" s="2977">
        <v>404</v>
      </c>
    </row>
    <row r="192" spans="16:18" ht="27.75" thickBot="1">
      <c r="P192" s="2976">
        <v>189</v>
      </c>
      <c r="Q192" s="2977" t="s">
        <v>3197</v>
      </c>
      <c r="R192" s="2977">
        <v>501</v>
      </c>
    </row>
    <row r="193" spans="16:18" ht="27.75" thickBot="1">
      <c r="P193" s="2976">
        <v>190</v>
      </c>
      <c r="Q193" s="2977" t="s">
        <v>3197</v>
      </c>
      <c r="R193" s="2977">
        <v>502</v>
      </c>
    </row>
    <row r="194" spans="16:18" ht="27.75" thickBot="1">
      <c r="P194" s="2976">
        <v>191</v>
      </c>
      <c r="Q194" s="2977" t="s">
        <v>3197</v>
      </c>
      <c r="R194" s="2977">
        <v>503</v>
      </c>
    </row>
    <row r="195" spans="16:18" ht="27.75" thickBot="1">
      <c r="P195" s="2976">
        <v>192</v>
      </c>
      <c r="Q195" s="2977" t="s">
        <v>3197</v>
      </c>
      <c r="R195" s="2977">
        <v>601</v>
      </c>
    </row>
    <row r="196" spans="16:18" ht="27.75" thickBot="1">
      <c r="P196" s="2976">
        <v>193</v>
      </c>
      <c r="Q196" s="2977" t="s">
        <v>3197</v>
      </c>
      <c r="R196" s="2977">
        <v>602</v>
      </c>
    </row>
    <row r="197" spans="16:18" ht="27.75" thickBot="1">
      <c r="P197" s="2976">
        <v>194</v>
      </c>
      <c r="Q197" s="2977" t="s">
        <v>3197</v>
      </c>
      <c r="R197" s="2977">
        <v>603</v>
      </c>
    </row>
    <row r="198" spans="16:18" ht="27.75" thickBot="1">
      <c r="P198" s="2976">
        <v>195</v>
      </c>
      <c r="Q198" s="2977" t="s">
        <v>3197</v>
      </c>
      <c r="R198" s="2977">
        <v>701</v>
      </c>
    </row>
    <row r="199" spans="16:18" ht="27.75" thickBot="1">
      <c r="P199" s="2976">
        <v>196</v>
      </c>
      <c r="Q199" s="2977" t="s">
        <v>3197</v>
      </c>
      <c r="R199" s="2977">
        <v>702</v>
      </c>
    </row>
    <row r="200" spans="16:18" ht="27.75" thickBot="1">
      <c r="P200" s="2976">
        <v>197</v>
      </c>
      <c r="Q200" s="2977" t="s">
        <v>3197</v>
      </c>
      <c r="R200" s="2977">
        <v>703</v>
      </c>
    </row>
    <row r="201" spans="16:18" ht="27.75" thickBot="1">
      <c r="P201" s="2976">
        <v>198</v>
      </c>
      <c r="Q201" s="2977" t="s">
        <v>3197</v>
      </c>
      <c r="R201" s="2977">
        <v>704</v>
      </c>
    </row>
    <row r="202" spans="16:18" ht="27.75" thickBot="1">
      <c r="P202" s="2976">
        <v>199</v>
      </c>
      <c r="Q202" s="2977" t="s">
        <v>3197</v>
      </c>
      <c r="R202" s="2977">
        <v>801</v>
      </c>
    </row>
    <row r="203" spans="16:18" ht="27.75" thickBot="1">
      <c r="P203" s="2976">
        <v>200</v>
      </c>
      <c r="Q203" s="2977" t="s">
        <v>3197</v>
      </c>
      <c r="R203" s="2977">
        <v>803</v>
      </c>
    </row>
    <row r="204" spans="16:18" ht="27.75" thickBot="1">
      <c r="P204" s="2976">
        <v>201</v>
      </c>
      <c r="Q204" s="2977" t="s">
        <v>3197</v>
      </c>
      <c r="R204" s="2977">
        <v>901</v>
      </c>
    </row>
    <row r="205" spans="16:18" ht="27.75" thickBot="1">
      <c r="P205" s="2976">
        <v>202</v>
      </c>
      <c r="Q205" s="2977" t="s">
        <v>3197</v>
      </c>
      <c r="R205" s="2977">
        <v>902</v>
      </c>
    </row>
    <row r="206" spans="16:18" ht="27.75" thickBot="1">
      <c r="P206" s="2976">
        <v>203</v>
      </c>
      <c r="Q206" s="2977" t="s">
        <v>3197</v>
      </c>
      <c r="R206" s="2977">
        <v>903</v>
      </c>
    </row>
    <row r="207" spans="16:18" ht="27.75" thickBot="1">
      <c r="P207" s="2976">
        <v>204</v>
      </c>
      <c r="Q207" s="2977" t="s">
        <v>3197</v>
      </c>
      <c r="R207" s="2977">
        <v>904</v>
      </c>
    </row>
    <row r="208" spans="16:18" ht="27.75" thickBot="1">
      <c r="P208" s="2976">
        <v>205</v>
      </c>
      <c r="Q208" s="2977" t="s">
        <v>3197</v>
      </c>
      <c r="R208" s="2977">
        <v>1001</v>
      </c>
    </row>
    <row r="209" spans="16:18" ht="27.75" thickBot="1">
      <c r="P209" s="2976">
        <v>206</v>
      </c>
      <c r="Q209" s="2977" t="s">
        <v>3197</v>
      </c>
      <c r="R209" s="2977">
        <v>1002</v>
      </c>
    </row>
    <row r="210" spans="16:18" ht="27.75" thickBot="1">
      <c r="P210" s="2976">
        <v>207</v>
      </c>
      <c r="Q210" s="2977" t="s">
        <v>3197</v>
      </c>
      <c r="R210" s="2977">
        <v>1003</v>
      </c>
    </row>
    <row r="211" spans="16:18" ht="27.75" thickBot="1">
      <c r="P211" s="2976">
        <v>208</v>
      </c>
      <c r="Q211" s="2977" t="s">
        <v>3197</v>
      </c>
      <c r="R211" s="2977">
        <v>1101</v>
      </c>
    </row>
    <row r="212" spans="16:18" ht="27.75" thickBot="1">
      <c r="P212" s="2976">
        <v>209</v>
      </c>
      <c r="Q212" s="2977" t="s">
        <v>3197</v>
      </c>
      <c r="R212" s="2977">
        <v>1102</v>
      </c>
    </row>
    <row r="213" spans="16:18" ht="27.75" thickBot="1">
      <c r="P213" s="2976">
        <v>210</v>
      </c>
      <c r="Q213" s="2977" t="s">
        <v>3197</v>
      </c>
      <c r="R213" s="2977">
        <v>1103</v>
      </c>
    </row>
    <row r="214" spans="16:18" ht="27.75" thickBot="1">
      <c r="P214" s="2976">
        <v>211</v>
      </c>
      <c r="Q214" s="2977" t="s">
        <v>3197</v>
      </c>
      <c r="R214" s="2977">
        <v>1104</v>
      </c>
    </row>
    <row r="215" spans="16:18" ht="27.75" thickBot="1">
      <c r="P215" s="2976">
        <v>212</v>
      </c>
      <c r="Q215" s="2977" t="s">
        <v>3197</v>
      </c>
      <c r="R215" s="2977">
        <v>1201</v>
      </c>
    </row>
    <row r="216" spans="16:18" ht="27.75" thickBot="1">
      <c r="P216" s="2976">
        <v>213</v>
      </c>
      <c r="Q216" s="2977" t="s">
        <v>3197</v>
      </c>
      <c r="R216" s="2977">
        <v>1202</v>
      </c>
    </row>
    <row r="217" spans="16:18" ht="27.75" thickBot="1">
      <c r="P217" s="2976">
        <v>214</v>
      </c>
      <c r="Q217" s="2977" t="s">
        <v>3197</v>
      </c>
      <c r="R217" s="2977">
        <v>1203</v>
      </c>
    </row>
    <row r="218" spans="16:18" ht="27.75" thickBot="1">
      <c r="P218" s="2976">
        <v>215</v>
      </c>
      <c r="Q218" s="2977" t="s">
        <v>3197</v>
      </c>
      <c r="R218" s="2977">
        <v>1204</v>
      </c>
    </row>
    <row r="219" spans="16:18" ht="27.75" thickBot="1">
      <c r="P219" s="2976">
        <v>216</v>
      </c>
      <c r="Q219" s="2977" t="s">
        <v>3197</v>
      </c>
      <c r="R219" s="2977">
        <v>1301</v>
      </c>
    </row>
    <row r="220" spans="16:18" ht="27.75" thickBot="1">
      <c r="P220" s="2976">
        <v>217</v>
      </c>
      <c r="Q220" s="2977" t="s">
        <v>3197</v>
      </c>
      <c r="R220" s="2977">
        <v>1302</v>
      </c>
    </row>
    <row r="221" spans="16:18" ht="27.75" thickBot="1">
      <c r="P221" s="2976">
        <v>218</v>
      </c>
      <c r="Q221" s="2977" t="s">
        <v>3197</v>
      </c>
      <c r="R221" s="2977">
        <v>1303</v>
      </c>
    </row>
    <row r="222" spans="16:18" ht="27.75" thickBot="1">
      <c r="P222" s="2976">
        <v>219</v>
      </c>
      <c r="Q222" s="2977" t="s">
        <v>3197</v>
      </c>
      <c r="R222" s="2977">
        <v>1304</v>
      </c>
    </row>
    <row r="223" spans="16:18" ht="27.75" thickBot="1">
      <c r="P223" s="2976">
        <v>220</v>
      </c>
      <c r="Q223" s="2977" t="s">
        <v>3197</v>
      </c>
      <c r="R223" s="2977">
        <v>1401</v>
      </c>
    </row>
    <row r="224" spans="16:18" ht="27.75" thickBot="1">
      <c r="P224" s="2976">
        <v>221</v>
      </c>
      <c r="Q224" s="2977" t="s">
        <v>3197</v>
      </c>
      <c r="R224" s="2977">
        <v>1402</v>
      </c>
    </row>
    <row r="225" spans="16:21" ht="27.75" thickBot="1">
      <c r="P225" s="2976">
        <v>222</v>
      </c>
      <c r="Q225" s="2977" t="s">
        <v>3197</v>
      </c>
      <c r="R225" s="2977">
        <v>1403</v>
      </c>
    </row>
    <row r="226" spans="16:21" ht="27.75" thickBot="1">
      <c r="P226" s="2976">
        <v>223</v>
      </c>
      <c r="Q226" s="2977" t="s">
        <v>3197</v>
      </c>
      <c r="R226" s="2977">
        <v>1404</v>
      </c>
    </row>
    <row r="227" spans="16:21" ht="27.75" thickBot="1">
      <c r="P227" s="2976">
        <v>224</v>
      </c>
      <c r="Q227" s="2977" t="s">
        <v>3197</v>
      </c>
      <c r="R227" s="2977">
        <v>1501</v>
      </c>
    </row>
    <row r="228" spans="16:21" ht="27.75" thickBot="1">
      <c r="P228" s="2976">
        <v>225</v>
      </c>
      <c r="Q228" s="2977" t="s">
        <v>3197</v>
      </c>
      <c r="R228" s="2977">
        <v>1502</v>
      </c>
    </row>
    <row r="229" spans="16:21" ht="27.75" thickBot="1">
      <c r="P229" s="2976">
        <v>226</v>
      </c>
      <c r="Q229" s="2977" t="s">
        <v>3197</v>
      </c>
      <c r="R229" s="2977">
        <v>1503</v>
      </c>
    </row>
    <row r="230" spans="16:21" ht="27.75" thickBot="1">
      <c r="P230" s="2976">
        <v>227</v>
      </c>
      <c r="Q230" s="2977" t="s">
        <v>3197</v>
      </c>
      <c r="R230" s="2977">
        <v>1504</v>
      </c>
    </row>
    <row r="231" spans="16:21" ht="27.75" thickBot="1">
      <c r="P231" s="2976">
        <v>228</v>
      </c>
      <c r="Q231" s="2977" t="s">
        <v>3197</v>
      </c>
      <c r="R231" s="2977">
        <v>1601</v>
      </c>
    </row>
    <row r="232" spans="16:21" ht="27.75" thickBot="1">
      <c r="P232" s="2976">
        <v>229</v>
      </c>
      <c r="Q232" s="2977" t="s">
        <v>3197</v>
      </c>
      <c r="R232" s="2977">
        <v>1602</v>
      </c>
    </row>
    <row r="233" spans="16:21" ht="27.75" thickBot="1">
      <c r="P233" s="2976">
        <v>230</v>
      </c>
      <c r="Q233" s="2977" t="s">
        <v>3197</v>
      </c>
      <c r="R233" s="2977">
        <v>1603</v>
      </c>
    </row>
    <row r="234" spans="16:21" ht="27.75" thickBot="1">
      <c r="P234" s="2976">
        <v>231</v>
      </c>
      <c r="Q234" s="2977" t="s">
        <v>3197</v>
      </c>
      <c r="R234" s="2977">
        <v>1701</v>
      </c>
    </row>
    <row r="235" spans="16:21" ht="27.75" thickBot="1">
      <c r="P235" s="2976">
        <v>232</v>
      </c>
      <c r="Q235" s="2977" t="s">
        <v>3197</v>
      </c>
      <c r="R235" s="2977">
        <v>1703</v>
      </c>
      <c r="T235" s="2943" t="s">
        <v>3229</v>
      </c>
    </row>
    <row r="236" spans="16:21" ht="27.75" thickBot="1">
      <c r="P236" s="2976">
        <v>233</v>
      </c>
      <c r="Q236" s="2977" t="s">
        <v>3198</v>
      </c>
      <c r="R236" s="2977">
        <v>101</v>
      </c>
      <c r="T236" s="2943" t="s">
        <v>3227</v>
      </c>
      <c r="U236">
        <v>77.02</v>
      </c>
    </row>
    <row r="237" spans="16:21" ht="27.75" thickBot="1">
      <c r="P237" s="2976">
        <v>234</v>
      </c>
      <c r="Q237" s="2977" t="s">
        <v>3198</v>
      </c>
      <c r="R237" s="2977">
        <v>102</v>
      </c>
    </row>
    <row r="238" spans="16:21" ht="27.75" thickBot="1">
      <c r="P238" s="2976">
        <v>235</v>
      </c>
      <c r="Q238" s="2977" t="s">
        <v>3198</v>
      </c>
      <c r="R238" s="2977">
        <v>201</v>
      </c>
    </row>
    <row r="239" spans="16:21" ht="27.75" thickBot="1">
      <c r="P239" s="2976">
        <v>236</v>
      </c>
      <c r="Q239" s="2977" t="s">
        <v>3198</v>
      </c>
      <c r="R239" s="2977">
        <v>202</v>
      </c>
      <c r="T239" s="2943" t="s">
        <v>3223</v>
      </c>
    </row>
    <row r="240" spans="16:21" ht="27.75" thickBot="1">
      <c r="P240" s="2976">
        <v>237</v>
      </c>
      <c r="Q240" s="2977" t="s">
        <v>3198</v>
      </c>
      <c r="R240" s="2977">
        <v>302</v>
      </c>
      <c r="T240" s="2943" t="s">
        <v>3224</v>
      </c>
      <c r="U240">
        <v>77.02</v>
      </c>
    </row>
    <row r="241" spans="16:18" ht="27.75" thickBot="1">
      <c r="P241" s="2976">
        <v>238</v>
      </c>
      <c r="Q241" s="2977" t="s">
        <v>3198</v>
      </c>
      <c r="R241" s="2977">
        <v>303</v>
      </c>
    </row>
    <row r="242" spans="16:18" ht="27.75" thickBot="1">
      <c r="P242" s="2976">
        <v>239</v>
      </c>
      <c r="Q242" s="2977" t="s">
        <v>3198</v>
      </c>
      <c r="R242" s="2977">
        <v>304</v>
      </c>
    </row>
    <row r="243" spans="16:18" ht="27.75" thickBot="1">
      <c r="P243" s="2976">
        <v>240</v>
      </c>
      <c r="Q243" s="2977" t="s">
        <v>3198</v>
      </c>
      <c r="R243" s="2977">
        <v>402</v>
      </c>
    </row>
    <row r="244" spans="16:18" ht="27.75" thickBot="1">
      <c r="P244" s="2976">
        <v>241</v>
      </c>
      <c r="Q244" s="2977" t="s">
        <v>3198</v>
      </c>
      <c r="R244" s="2977">
        <v>403</v>
      </c>
    </row>
    <row r="245" spans="16:18" ht="27.75" thickBot="1">
      <c r="P245" s="2976">
        <v>242</v>
      </c>
      <c r="Q245" s="2977" t="s">
        <v>3198</v>
      </c>
      <c r="R245" s="2977">
        <v>501</v>
      </c>
    </row>
    <row r="246" spans="16:18" ht="27.75" thickBot="1">
      <c r="P246" s="2976">
        <v>243</v>
      </c>
      <c r="Q246" s="2977" t="s">
        <v>3198</v>
      </c>
      <c r="R246" s="2977">
        <v>502</v>
      </c>
    </row>
    <row r="247" spans="16:18" ht="27.75" thickBot="1">
      <c r="P247" s="2976">
        <v>244</v>
      </c>
      <c r="Q247" s="2977" t="s">
        <v>3198</v>
      </c>
      <c r="R247" s="2977">
        <v>503</v>
      </c>
    </row>
    <row r="248" spans="16:18" ht="27.75" thickBot="1">
      <c r="P248" s="2976">
        <v>245</v>
      </c>
      <c r="Q248" s="2977" t="s">
        <v>3198</v>
      </c>
      <c r="R248" s="2977">
        <v>504</v>
      </c>
    </row>
    <row r="249" spans="16:18" ht="27.75" thickBot="1">
      <c r="P249" s="2976">
        <v>246</v>
      </c>
      <c r="Q249" s="2977" t="s">
        <v>3198</v>
      </c>
      <c r="R249" s="2977">
        <v>601</v>
      </c>
    </row>
    <row r="250" spans="16:18" ht="27.75" thickBot="1">
      <c r="P250" s="2976">
        <v>247</v>
      </c>
      <c r="Q250" s="2977" t="s">
        <v>3198</v>
      </c>
      <c r="R250" s="2977">
        <v>602</v>
      </c>
    </row>
    <row r="251" spans="16:18" ht="27.75" thickBot="1">
      <c r="P251" s="2976">
        <v>248</v>
      </c>
      <c r="Q251" s="2977" t="s">
        <v>3198</v>
      </c>
      <c r="R251" s="2977">
        <v>603</v>
      </c>
    </row>
    <row r="252" spans="16:18" ht="27.75" thickBot="1">
      <c r="P252" s="2976">
        <v>249</v>
      </c>
      <c r="Q252" s="2977" t="s">
        <v>3198</v>
      </c>
      <c r="R252" s="2977">
        <v>701</v>
      </c>
    </row>
    <row r="253" spans="16:18" ht="27.75" thickBot="1">
      <c r="P253" s="2976">
        <v>250</v>
      </c>
      <c r="Q253" s="2977" t="s">
        <v>3198</v>
      </c>
      <c r="R253" s="2977">
        <v>702</v>
      </c>
    </row>
    <row r="254" spans="16:18" ht="27.75" thickBot="1">
      <c r="P254" s="2976">
        <v>251</v>
      </c>
      <c r="Q254" s="2977" t="s">
        <v>3198</v>
      </c>
      <c r="R254" s="2977">
        <v>703</v>
      </c>
    </row>
    <row r="255" spans="16:18" ht="27.75" thickBot="1">
      <c r="P255" s="2976">
        <v>252</v>
      </c>
      <c r="Q255" s="2977" t="s">
        <v>3198</v>
      </c>
      <c r="R255" s="2977">
        <v>704</v>
      </c>
    </row>
    <row r="256" spans="16:18" ht="27.75" thickBot="1">
      <c r="P256" s="2976">
        <v>253</v>
      </c>
      <c r="Q256" s="2977" t="s">
        <v>3198</v>
      </c>
      <c r="R256" s="2977">
        <v>801</v>
      </c>
    </row>
    <row r="257" spans="16:18" ht="27.75" thickBot="1">
      <c r="P257" s="2976">
        <v>254</v>
      </c>
      <c r="Q257" s="2977" t="s">
        <v>3198</v>
      </c>
      <c r="R257" s="2977">
        <v>802</v>
      </c>
    </row>
    <row r="258" spans="16:18" ht="27.75" thickBot="1">
      <c r="P258" s="2976">
        <v>255</v>
      </c>
      <c r="Q258" s="2977" t="s">
        <v>3198</v>
      </c>
      <c r="R258" s="2977">
        <v>803</v>
      </c>
    </row>
    <row r="259" spans="16:18" ht="27.75" thickBot="1">
      <c r="P259" s="2976">
        <v>256</v>
      </c>
      <c r="Q259" s="2977" t="s">
        <v>3198</v>
      </c>
      <c r="R259" s="2977">
        <v>804</v>
      </c>
    </row>
    <row r="260" spans="16:18" ht="27.75" thickBot="1">
      <c r="P260" s="2976">
        <v>257</v>
      </c>
      <c r="Q260" s="2977" t="s">
        <v>3198</v>
      </c>
      <c r="R260" s="2977">
        <v>901</v>
      </c>
    </row>
    <row r="261" spans="16:18" ht="27.75" thickBot="1">
      <c r="P261" s="2976">
        <v>258</v>
      </c>
      <c r="Q261" s="2977" t="s">
        <v>3198</v>
      </c>
      <c r="R261" s="2977">
        <v>902</v>
      </c>
    </row>
    <row r="262" spans="16:18" ht="27.75" thickBot="1">
      <c r="P262" s="2976">
        <v>259</v>
      </c>
      <c r="Q262" s="2977" t="s">
        <v>3198</v>
      </c>
      <c r="R262" s="2977">
        <v>903</v>
      </c>
    </row>
    <row r="263" spans="16:18" ht="27.75" thickBot="1">
      <c r="P263" s="2976">
        <v>260</v>
      </c>
      <c r="Q263" s="2977" t="s">
        <v>3198</v>
      </c>
      <c r="R263" s="2977">
        <v>904</v>
      </c>
    </row>
    <row r="264" spans="16:18" ht="27.75" thickBot="1">
      <c r="P264" s="2976">
        <v>261</v>
      </c>
      <c r="Q264" s="2977" t="s">
        <v>3198</v>
      </c>
      <c r="R264" s="2977">
        <v>1001</v>
      </c>
    </row>
    <row r="265" spans="16:18" ht="27.75" thickBot="1">
      <c r="P265" s="2976">
        <v>262</v>
      </c>
      <c r="Q265" s="2977" t="s">
        <v>3198</v>
      </c>
      <c r="R265" s="2977">
        <v>1002</v>
      </c>
    </row>
    <row r="266" spans="16:18" ht="27.75" thickBot="1">
      <c r="P266" s="2976">
        <v>263</v>
      </c>
      <c r="Q266" s="2977" t="s">
        <v>3198</v>
      </c>
      <c r="R266" s="2977">
        <v>1003</v>
      </c>
    </row>
    <row r="267" spans="16:18" ht="27.75" thickBot="1">
      <c r="P267" s="2976">
        <v>264</v>
      </c>
      <c r="Q267" s="2977" t="s">
        <v>3198</v>
      </c>
      <c r="R267" s="2977">
        <v>1004</v>
      </c>
    </row>
    <row r="268" spans="16:18" ht="27.75" thickBot="1">
      <c r="P268" s="2976">
        <v>265</v>
      </c>
      <c r="Q268" s="2977" t="s">
        <v>3198</v>
      </c>
      <c r="R268" s="2977">
        <v>1101</v>
      </c>
    </row>
    <row r="269" spans="16:18" ht="27.75" thickBot="1">
      <c r="P269" s="2976">
        <v>266</v>
      </c>
      <c r="Q269" s="2977" t="s">
        <v>3198</v>
      </c>
      <c r="R269" s="2977">
        <v>1102</v>
      </c>
    </row>
    <row r="270" spans="16:18" ht="27.75" thickBot="1">
      <c r="P270" s="2976">
        <v>267</v>
      </c>
      <c r="Q270" s="2977" t="s">
        <v>3198</v>
      </c>
      <c r="R270" s="2977">
        <v>1103</v>
      </c>
    </row>
    <row r="271" spans="16:18" ht="27.75" thickBot="1">
      <c r="P271" s="2976">
        <v>268</v>
      </c>
      <c r="Q271" s="2977" t="s">
        <v>3198</v>
      </c>
      <c r="R271" s="2977">
        <v>1104</v>
      </c>
    </row>
    <row r="272" spans="16:18" ht="27.75" thickBot="1">
      <c r="P272" s="2976">
        <v>269</v>
      </c>
      <c r="Q272" s="2977" t="s">
        <v>3198</v>
      </c>
      <c r="R272" s="2977">
        <v>1201</v>
      </c>
    </row>
    <row r="273" spans="16:18" ht="27.75" thickBot="1">
      <c r="P273" s="2976">
        <v>270</v>
      </c>
      <c r="Q273" s="2977" t="s">
        <v>3198</v>
      </c>
      <c r="R273" s="2977">
        <v>1202</v>
      </c>
    </row>
    <row r="274" spans="16:18" ht="27.75" thickBot="1">
      <c r="P274" s="2976">
        <v>271</v>
      </c>
      <c r="Q274" s="2977" t="s">
        <v>3198</v>
      </c>
      <c r="R274" s="2977">
        <v>1203</v>
      </c>
    </row>
    <row r="275" spans="16:18" ht="27.75" thickBot="1">
      <c r="P275" s="2976">
        <v>272</v>
      </c>
      <c r="Q275" s="2977" t="s">
        <v>3198</v>
      </c>
      <c r="R275" s="2977">
        <v>1204</v>
      </c>
    </row>
    <row r="276" spans="16:18" ht="27.75" thickBot="1">
      <c r="P276" s="2976">
        <v>273</v>
      </c>
      <c r="Q276" s="2977" t="s">
        <v>3198</v>
      </c>
      <c r="R276" s="2977">
        <v>1301</v>
      </c>
    </row>
    <row r="277" spans="16:18" ht="27.75" thickBot="1">
      <c r="P277" s="2976">
        <v>274</v>
      </c>
      <c r="Q277" s="2977" t="s">
        <v>3198</v>
      </c>
      <c r="R277" s="2977">
        <v>1302</v>
      </c>
    </row>
    <row r="278" spans="16:18" ht="27.75" thickBot="1">
      <c r="P278" s="2976">
        <v>275</v>
      </c>
      <c r="Q278" s="2977" t="s">
        <v>3198</v>
      </c>
      <c r="R278" s="2977">
        <v>1303</v>
      </c>
    </row>
    <row r="279" spans="16:18" ht="27.75" thickBot="1">
      <c r="P279" s="2976">
        <v>276</v>
      </c>
      <c r="Q279" s="2977" t="s">
        <v>3198</v>
      </c>
      <c r="R279" s="2977">
        <v>1304</v>
      </c>
    </row>
    <row r="280" spans="16:18" ht="27.75" thickBot="1">
      <c r="P280" s="2976">
        <v>277</v>
      </c>
      <c r="Q280" s="2977" t="s">
        <v>3198</v>
      </c>
      <c r="R280" s="2977">
        <v>1401</v>
      </c>
    </row>
    <row r="281" spans="16:18" ht="27.75" thickBot="1">
      <c r="P281" s="2976">
        <v>278</v>
      </c>
      <c r="Q281" s="2977" t="s">
        <v>3198</v>
      </c>
      <c r="R281" s="2977">
        <v>1402</v>
      </c>
    </row>
    <row r="282" spans="16:18" ht="27.75" thickBot="1">
      <c r="P282" s="2976">
        <v>279</v>
      </c>
      <c r="Q282" s="2977" t="s">
        <v>3198</v>
      </c>
      <c r="R282" s="2977">
        <v>1403</v>
      </c>
    </row>
    <row r="283" spans="16:18" ht="27.75" thickBot="1">
      <c r="P283" s="2976">
        <v>280</v>
      </c>
      <c r="Q283" s="2977" t="s">
        <v>3198</v>
      </c>
      <c r="R283" s="2977">
        <v>1404</v>
      </c>
    </row>
    <row r="284" spans="16:18" ht="27.75" thickBot="1">
      <c r="P284" s="2976">
        <v>281</v>
      </c>
      <c r="Q284" s="2977" t="s">
        <v>3198</v>
      </c>
      <c r="R284" s="2977">
        <v>1501</v>
      </c>
    </row>
    <row r="285" spans="16:18" ht="27.75" thickBot="1">
      <c r="P285" s="2976">
        <v>282</v>
      </c>
      <c r="Q285" s="2977" t="s">
        <v>3198</v>
      </c>
      <c r="R285" s="2977">
        <v>1502</v>
      </c>
    </row>
    <row r="286" spans="16:18" ht="27.75" thickBot="1">
      <c r="P286" s="2976">
        <v>283</v>
      </c>
      <c r="Q286" s="2977" t="s">
        <v>3198</v>
      </c>
      <c r="R286" s="2977">
        <v>1503</v>
      </c>
    </row>
    <row r="287" spans="16:18" ht="27.75" thickBot="1">
      <c r="P287" s="2976">
        <v>284</v>
      </c>
      <c r="Q287" s="2977" t="s">
        <v>3198</v>
      </c>
      <c r="R287" s="2977">
        <v>1504</v>
      </c>
    </row>
    <row r="288" spans="16:18" ht="27.75" thickBot="1">
      <c r="P288" s="2976">
        <v>285</v>
      </c>
      <c r="Q288" s="2977" t="s">
        <v>3198</v>
      </c>
      <c r="R288" s="2977">
        <v>1601</v>
      </c>
    </row>
    <row r="289" spans="16:21" ht="27.75" thickBot="1">
      <c r="P289" s="2976">
        <v>286</v>
      </c>
      <c r="Q289" s="2977" t="s">
        <v>3198</v>
      </c>
      <c r="R289" s="2977">
        <v>1602</v>
      </c>
    </row>
    <row r="290" spans="16:21" ht="27.75" thickBot="1">
      <c r="P290" s="2976">
        <v>287</v>
      </c>
      <c r="Q290" s="2977" t="s">
        <v>3198</v>
      </c>
      <c r="R290" s="2977">
        <v>1603</v>
      </c>
    </row>
    <row r="291" spans="16:21" ht="27.75" thickBot="1">
      <c r="P291" s="2976">
        <v>288</v>
      </c>
      <c r="Q291" s="2977" t="s">
        <v>3198</v>
      </c>
      <c r="R291" s="2977">
        <v>1604</v>
      </c>
    </row>
    <row r="292" spans="16:21" ht="27.75" thickBot="1">
      <c r="P292" s="2976">
        <v>289</v>
      </c>
      <c r="Q292" s="2977" t="s">
        <v>3198</v>
      </c>
      <c r="R292" s="2977">
        <v>1701</v>
      </c>
    </row>
    <row r="293" spans="16:21" ht="27.75" thickBot="1">
      <c r="P293" s="2976">
        <v>290</v>
      </c>
      <c r="Q293" s="2977" t="s">
        <v>3198</v>
      </c>
      <c r="R293" s="2977">
        <v>1702</v>
      </c>
    </row>
    <row r="294" spans="16:21" ht="27.75" thickBot="1">
      <c r="P294" s="2976">
        <v>291</v>
      </c>
      <c r="Q294" s="2977" t="s">
        <v>3198</v>
      </c>
      <c r="R294" s="2977">
        <v>1703</v>
      </c>
      <c r="T294" s="2943" t="s">
        <v>3228</v>
      </c>
      <c r="U294">
        <v>77.02</v>
      </c>
    </row>
    <row r="295" spans="16:21" ht="27.75" thickBot="1">
      <c r="P295" s="2976">
        <v>292</v>
      </c>
      <c r="Q295" s="2977" t="s">
        <v>3199</v>
      </c>
      <c r="R295" s="2977">
        <v>101</v>
      </c>
    </row>
    <row r="296" spans="16:21" ht="27.75" thickBot="1">
      <c r="P296" s="2976">
        <v>293</v>
      </c>
      <c r="Q296" s="2977" t="s">
        <v>3199</v>
      </c>
      <c r="R296" s="2977">
        <v>102</v>
      </c>
    </row>
    <row r="297" spans="16:21" ht="27.75" thickBot="1">
      <c r="P297" s="2976">
        <v>294</v>
      </c>
      <c r="Q297" s="2977" t="s">
        <v>3199</v>
      </c>
      <c r="R297" s="2977">
        <v>201</v>
      </c>
    </row>
    <row r="298" spans="16:21" ht="27.75" thickBot="1">
      <c r="P298" s="2976">
        <v>295</v>
      </c>
      <c r="Q298" s="2977" t="s">
        <v>3199</v>
      </c>
      <c r="R298" s="2977">
        <v>202</v>
      </c>
    </row>
    <row r="299" spans="16:21" ht="27.75" thickBot="1">
      <c r="P299" s="2976">
        <v>296</v>
      </c>
      <c r="Q299" s="2977" t="s">
        <v>3199</v>
      </c>
      <c r="R299" s="2977">
        <v>302</v>
      </c>
      <c r="T299" s="2943" t="s">
        <v>3225</v>
      </c>
    </row>
    <row r="300" spans="16:21" ht="27.75" thickBot="1">
      <c r="P300" s="2976">
        <v>297</v>
      </c>
      <c r="Q300" s="2977" t="s">
        <v>3199</v>
      </c>
      <c r="R300" s="2977">
        <v>303</v>
      </c>
      <c r="T300" s="2943" t="s">
        <v>3226</v>
      </c>
      <c r="U300">
        <v>77.86</v>
      </c>
    </row>
    <row r="301" spans="16:21" ht="27.75" thickBot="1">
      <c r="P301" s="2976">
        <v>298</v>
      </c>
      <c r="Q301" s="2977" t="s">
        <v>3199</v>
      </c>
      <c r="R301" s="2977">
        <v>304</v>
      </c>
    </row>
    <row r="302" spans="16:21" ht="27.75" thickBot="1">
      <c r="P302" s="2976">
        <v>299</v>
      </c>
      <c r="Q302" s="2977" t="s">
        <v>3199</v>
      </c>
      <c r="R302" s="2977">
        <v>401</v>
      </c>
    </row>
    <row r="303" spans="16:21" ht="27.75" thickBot="1">
      <c r="P303" s="2976">
        <v>300</v>
      </c>
      <c r="Q303" s="2977" t="s">
        <v>3199</v>
      </c>
      <c r="R303" s="2977">
        <v>402</v>
      </c>
    </row>
    <row r="304" spans="16:21" ht="27.75" thickBot="1">
      <c r="P304" s="2976">
        <v>301</v>
      </c>
      <c r="Q304" s="2977" t="s">
        <v>3199</v>
      </c>
      <c r="R304" s="2977">
        <v>403</v>
      </c>
    </row>
    <row r="305" spans="16:18" ht="27.75" thickBot="1">
      <c r="P305" s="2976">
        <v>302</v>
      </c>
      <c r="Q305" s="2977" t="s">
        <v>3199</v>
      </c>
      <c r="R305" s="2977">
        <v>501</v>
      </c>
    </row>
    <row r="306" spans="16:18" ht="27.75" thickBot="1">
      <c r="P306" s="2976">
        <v>303</v>
      </c>
      <c r="Q306" s="2977" t="s">
        <v>3199</v>
      </c>
      <c r="R306" s="2977">
        <v>502</v>
      </c>
    </row>
    <row r="307" spans="16:18" ht="27.75" thickBot="1">
      <c r="P307" s="2976">
        <v>304</v>
      </c>
      <c r="Q307" s="2977" t="s">
        <v>3199</v>
      </c>
      <c r="R307" s="2977">
        <v>601</v>
      </c>
    </row>
    <row r="308" spans="16:18" ht="27.75" thickBot="1">
      <c r="P308" s="2976">
        <v>305</v>
      </c>
      <c r="Q308" s="2977" t="s">
        <v>3199</v>
      </c>
      <c r="R308" s="2977">
        <v>602</v>
      </c>
    </row>
    <row r="309" spans="16:18" ht="27.75" thickBot="1">
      <c r="P309" s="2976">
        <v>306</v>
      </c>
      <c r="Q309" s="2977" t="s">
        <v>3199</v>
      </c>
      <c r="R309" s="2977">
        <v>603</v>
      </c>
    </row>
    <row r="310" spans="16:18" ht="27.75" thickBot="1">
      <c r="P310" s="2976">
        <v>307</v>
      </c>
      <c r="Q310" s="2977" t="s">
        <v>3199</v>
      </c>
      <c r="R310" s="2977">
        <v>604</v>
      </c>
    </row>
    <row r="311" spans="16:18" ht="27.75" thickBot="1">
      <c r="P311" s="2976">
        <v>308</v>
      </c>
      <c r="Q311" s="2977" t="s">
        <v>3199</v>
      </c>
      <c r="R311" s="2977">
        <v>701</v>
      </c>
    </row>
    <row r="312" spans="16:18" ht="27.75" thickBot="1">
      <c r="P312" s="2976">
        <v>309</v>
      </c>
      <c r="Q312" s="2977" t="s">
        <v>3199</v>
      </c>
      <c r="R312" s="2977">
        <v>702</v>
      </c>
    </row>
    <row r="313" spans="16:18" ht="27.75" thickBot="1">
      <c r="P313" s="2976">
        <v>310</v>
      </c>
      <c r="Q313" s="2977" t="s">
        <v>3199</v>
      </c>
      <c r="R313" s="2977">
        <v>703</v>
      </c>
    </row>
    <row r="314" spans="16:18" ht="27.75" thickBot="1">
      <c r="P314" s="2976">
        <v>311</v>
      </c>
      <c r="Q314" s="2977" t="s">
        <v>3199</v>
      </c>
      <c r="R314" s="2977">
        <v>704</v>
      </c>
    </row>
    <row r="315" spans="16:18" ht="27.75" thickBot="1">
      <c r="P315" s="2976">
        <v>312</v>
      </c>
      <c r="Q315" s="2977" t="s">
        <v>3199</v>
      </c>
      <c r="R315" s="2977">
        <v>801</v>
      </c>
    </row>
    <row r="316" spans="16:18" ht="27.75" thickBot="1">
      <c r="P316" s="2976">
        <v>313</v>
      </c>
      <c r="Q316" s="2977" t="s">
        <v>3199</v>
      </c>
      <c r="R316" s="2977">
        <v>802</v>
      </c>
    </row>
    <row r="317" spans="16:18" ht="27.75" thickBot="1">
      <c r="P317" s="2976">
        <v>314</v>
      </c>
      <c r="Q317" s="2977" t="s">
        <v>3199</v>
      </c>
      <c r="R317" s="2977">
        <v>803</v>
      </c>
    </row>
    <row r="318" spans="16:18" ht="27.75" thickBot="1">
      <c r="P318" s="2976">
        <v>315</v>
      </c>
      <c r="Q318" s="2977" t="s">
        <v>3199</v>
      </c>
      <c r="R318" s="2977">
        <v>804</v>
      </c>
    </row>
    <row r="319" spans="16:18" ht="27.75" thickBot="1">
      <c r="P319" s="2976">
        <v>316</v>
      </c>
      <c r="Q319" s="2977" t="s">
        <v>3199</v>
      </c>
      <c r="R319" s="2977">
        <v>901</v>
      </c>
    </row>
    <row r="320" spans="16:18" ht="27.75" thickBot="1">
      <c r="P320" s="2976">
        <v>317</v>
      </c>
      <c r="Q320" s="2977" t="s">
        <v>3199</v>
      </c>
      <c r="R320" s="2977">
        <v>902</v>
      </c>
    </row>
    <row r="321" spans="16:18" ht="27.75" thickBot="1">
      <c r="P321" s="2976">
        <v>318</v>
      </c>
      <c r="Q321" s="2977" t="s">
        <v>3199</v>
      </c>
      <c r="R321" s="2977">
        <v>903</v>
      </c>
    </row>
    <row r="322" spans="16:18" ht="27.75" thickBot="1">
      <c r="P322" s="2976">
        <v>319</v>
      </c>
      <c r="Q322" s="2977" t="s">
        <v>3199</v>
      </c>
      <c r="R322" s="2977">
        <v>904</v>
      </c>
    </row>
    <row r="323" spans="16:18" ht="27.75" thickBot="1">
      <c r="P323" s="2976">
        <v>320</v>
      </c>
      <c r="Q323" s="2977" t="s">
        <v>3199</v>
      </c>
      <c r="R323" s="2977">
        <v>1001</v>
      </c>
    </row>
    <row r="324" spans="16:18" ht="27.75" thickBot="1">
      <c r="P324" s="2976">
        <v>321</v>
      </c>
      <c r="Q324" s="2977" t="s">
        <v>3199</v>
      </c>
      <c r="R324" s="2977">
        <v>1002</v>
      </c>
    </row>
    <row r="325" spans="16:18" ht="27.75" thickBot="1">
      <c r="P325" s="2976">
        <v>322</v>
      </c>
      <c r="Q325" s="2977" t="s">
        <v>3199</v>
      </c>
      <c r="R325" s="2977">
        <v>1003</v>
      </c>
    </row>
    <row r="326" spans="16:18" ht="27.75" thickBot="1">
      <c r="P326" s="2976">
        <v>323</v>
      </c>
      <c r="Q326" s="2977" t="s">
        <v>3199</v>
      </c>
      <c r="R326" s="2977">
        <v>1004</v>
      </c>
    </row>
    <row r="327" spans="16:18" ht="27.75" thickBot="1">
      <c r="P327" s="2976">
        <v>324</v>
      </c>
      <c r="Q327" s="2977" t="s">
        <v>3199</v>
      </c>
      <c r="R327" s="2977">
        <v>1101</v>
      </c>
    </row>
    <row r="328" spans="16:18" ht="27.75" thickBot="1">
      <c r="P328" s="2976">
        <v>325</v>
      </c>
      <c r="Q328" s="2977" t="s">
        <v>3199</v>
      </c>
      <c r="R328" s="2977">
        <v>1102</v>
      </c>
    </row>
    <row r="329" spans="16:18" ht="27.75" thickBot="1">
      <c r="P329" s="2976">
        <v>326</v>
      </c>
      <c r="Q329" s="2977" t="s">
        <v>3199</v>
      </c>
      <c r="R329" s="2977">
        <v>1103</v>
      </c>
    </row>
    <row r="330" spans="16:18" ht="27.75" thickBot="1">
      <c r="P330" s="2976">
        <v>327</v>
      </c>
      <c r="Q330" s="2977" t="s">
        <v>3199</v>
      </c>
      <c r="R330" s="2977">
        <v>1104</v>
      </c>
    </row>
    <row r="331" spans="16:18" ht="27.75" thickBot="1">
      <c r="P331" s="2976">
        <v>328</v>
      </c>
      <c r="Q331" s="2977" t="s">
        <v>3199</v>
      </c>
      <c r="R331" s="2977">
        <v>1201</v>
      </c>
    </row>
    <row r="332" spans="16:18" ht="27.75" thickBot="1">
      <c r="P332" s="2976">
        <v>329</v>
      </c>
      <c r="Q332" s="2977" t="s">
        <v>3199</v>
      </c>
      <c r="R332" s="2977">
        <v>1202</v>
      </c>
    </row>
    <row r="333" spans="16:18" ht="27.75" thickBot="1">
      <c r="P333" s="2976">
        <v>330</v>
      </c>
      <c r="Q333" s="2977" t="s">
        <v>3199</v>
      </c>
      <c r="R333" s="2977">
        <v>1203</v>
      </c>
    </row>
    <row r="334" spans="16:18" ht="27.75" thickBot="1">
      <c r="P334" s="2976">
        <v>331</v>
      </c>
      <c r="Q334" s="2977" t="s">
        <v>3199</v>
      </c>
      <c r="R334" s="2977">
        <v>1204</v>
      </c>
    </row>
    <row r="335" spans="16:18" ht="27.75" thickBot="1">
      <c r="P335" s="2976">
        <v>332</v>
      </c>
      <c r="Q335" s="2977" t="s">
        <v>3199</v>
      </c>
      <c r="R335" s="2977">
        <v>1301</v>
      </c>
    </row>
    <row r="336" spans="16:18" ht="27.75" thickBot="1">
      <c r="P336" s="2976">
        <v>333</v>
      </c>
      <c r="Q336" s="2977" t="s">
        <v>3199</v>
      </c>
      <c r="R336" s="2977">
        <v>1302</v>
      </c>
    </row>
    <row r="337" spans="16:21" ht="27.75" thickBot="1">
      <c r="P337" s="2976">
        <v>334</v>
      </c>
      <c r="Q337" s="2977" t="s">
        <v>3199</v>
      </c>
      <c r="R337" s="2977">
        <v>1303</v>
      </c>
    </row>
    <row r="338" spans="16:21" ht="27.75" thickBot="1">
      <c r="P338" s="2976">
        <v>335</v>
      </c>
      <c r="Q338" s="2977" t="s">
        <v>3199</v>
      </c>
      <c r="R338" s="2977">
        <v>1304</v>
      </c>
    </row>
    <row r="339" spans="16:21" ht="27.75" thickBot="1">
      <c r="P339" s="2976">
        <v>336</v>
      </c>
      <c r="Q339" s="2977" t="s">
        <v>3199</v>
      </c>
      <c r="R339" s="2977">
        <v>1403</v>
      </c>
    </row>
    <row r="340" spans="16:21" ht="27.75" thickBot="1">
      <c r="P340" s="2976">
        <v>337</v>
      </c>
      <c r="Q340" s="2977" t="s">
        <v>3199</v>
      </c>
      <c r="R340" s="2977">
        <v>1501</v>
      </c>
    </row>
    <row r="341" spans="16:21" ht="27.75" thickBot="1">
      <c r="P341" s="2976">
        <v>338</v>
      </c>
      <c r="Q341" s="2977" t="s">
        <v>3199</v>
      </c>
      <c r="R341" s="2977">
        <v>1502</v>
      </c>
    </row>
    <row r="342" spans="16:21" ht="27.75" thickBot="1">
      <c r="P342" s="2976">
        <v>339</v>
      </c>
      <c r="Q342" s="2977" t="s">
        <v>3199</v>
      </c>
      <c r="R342" s="2977">
        <v>1503</v>
      </c>
    </row>
    <row r="343" spans="16:21" ht="27.75" thickBot="1">
      <c r="P343" s="2976">
        <v>340</v>
      </c>
      <c r="Q343" s="2977" t="s">
        <v>3199</v>
      </c>
      <c r="R343" s="2977">
        <v>1504</v>
      </c>
    </row>
    <row r="344" spans="16:21" ht="27.75" thickBot="1">
      <c r="P344" s="2976">
        <v>341</v>
      </c>
      <c r="Q344" s="2977" t="s">
        <v>3199</v>
      </c>
      <c r="R344" s="2977">
        <v>1601</v>
      </c>
    </row>
    <row r="345" spans="16:21" ht="27.75" thickBot="1">
      <c r="P345" s="2976">
        <v>342</v>
      </c>
      <c r="Q345" s="2977" t="s">
        <v>3199</v>
      </c>
      <c r="R345" s="2977">
        <v>1602</v>
      </c>
    </row>
    <row r="346" spans="16:21" ht="27.75" thickBot="1">
      <c r="P346" s="2976">
        <v>343</v>
      </c>
      <c r="Q346" s="2977" t="s">
        <v>3199</v>
      </c>
      <c r="R346" s="2977">
        <v>1603</v>
      </c>
    </row>
    <row r="347" spans="16:21" ht="27.75" thickBot="1">
      <c r="P347" s="2976">
        <v>344</v>
      </c>
      <c r="Q347" s="2977" t="s">
        <v>3199</v>
      </c>
      <c r="R347" s="2977">
        <v>1604</v>
      </c>
    </row>
    <row r="348" spans="16:21" ht="27.75" thickBot="1">
      <c r="P348" s="2976">
        <v>345</v>
      </c>
      <c r="Q348" s="2977" t="s">
        <v>3199</v>
      </c>
      <c r="R348" s="2977">
        <v>1701</v>
      </c>
    </row>
    <row r="349" spans="16:21" ht="27.75" thickBot="1">
      <c r="P349" s="2976">
        <v>346</v>
      </c>
      <c r="Q349" s="2977" t="s">
        <v>3199</v>
      </c>
      <c r="R349" s="2977">
        <v>1702</v>
      </c>
    </row>
    <row r="350" spans="16:21" ht="27.75" thickBot="1">
      <c r="P350" s="2976">
        <v>347</v>
      </c>
      <c r="Q350" s="2977" t="s">
        <v>3199</v>
      </c>
      <c r="R350" s="2977">
        <v>1703</v>
      </c>
      <c r="T350" s="2943" t="s">
        <v>3227</v>
      </c>
      <c r="U350">
        <v>77.02</v>
      </c>
    </row>
    <row r="351" spans="16:21" ht="27.75" thickBot="1">
      <c r="P351" s="2976">
        <v>348</v>
      </c>
      <c r="Q351" s="2977" t="s">
        <v>3200</v>
      </c>
      <c r="R351" s="2977"/>
      <c r="S351">
        <v>151.37</v>
      </c>
    </row>
    <row r="352" spans="16:21" ht="27.75" thickBot="1">
      <c r="P352" s="2976">
        <v>349</v>
      </c>
      <c r="Q352" s="2977" t="s">
        <v>3201</v>
      </c>
      <c r="R352" s="2977"/>
      <c r="S352">
        <v>140.44999999999999</v>
      </c>
    </row>
    <row r="353" spans="16:21" ht="27.75" thickBot="1">
      <c r="P353" s="2976">
        <v>350</v>
      </c>
      <c r="Q353" s="2977" t="s">
        <v>3202</v>
      </c>
      <c r="R353" s="2977"/>
      <c r="S353">
        <v>173.35</v>
      </c>
    </row>
    <row r="354" spans="16:21" ht="27.75" thickBot="1">
      <c r="P354" s="2976">
        <v>351</v>
      </c>
      <c r="Q354" s="2977" t="s">
        <v>3203</v>
      </c>
      <c r="R354" s="2977"/>
      <c r="S354">
        <v>114.71</v>
      </c>
    </row>
    <row r="355" spans="16:21" ht="27.75" thickBot="1">
      <c r="P355" s="2976">
        <v>352</v>
      </c>
      <c r="Q355" s="2977" t="s">
        <v>3204</v>
      </c>
      <c r="R355" s="2977"/>
      <c r="S355">
        <v>152.02000000000001</v>
      </c>
    </row>
    <row r="356" spans="16:21" ht="27.75" thickBot="1">
      <c r="P356" s="2976">
        <v>353</v>
      </c>
      <c r="Q356" s="2977" t="s">
        <v>3205</v>
      </c>
      <c r="R356" s="2977"/>
      <c r="S356">
        <v>115.36</v>
      </c>
    </row>
    <row r="357" spans="16:21" ht="27.75" thickBot="1">
      <c r="P357" s="2976">
        <v>354</v>
      </c>
      <c r="Q357" s="2977" t="s">
        <v>3206</v>
      </c>
      <c r="R357" s="2977"/>
      <c r="S357">
        <v>115.36</v>
      </c>
    </row>
    <row r="358" spans="16:21" ht="27.75" thickBot="1">
      <c r="P358" s="2976">
        <v>355</v>
      </c>
      <c r="Q358" s="2977" t="s">
        <v>3207</v>
      </c>
      <c r="R358" s="2977"/>
      <c r="S358">
        <v>115.12</v>
      </c>
    </row>
    <row r="359" spans="16:21" ht="27.75" thickBot="1">
      <c r="P359" s="2976">
        <v>356</v>
      </c>
      <c r="Q359" s="2977" t="s">
        <v>3208</v>
      </c>
      <c r="R359" s="2977"/>
      <c r="S359">
        <v>152.02000000000001</v>
      </c>
    </row>
    <row r="360" spans="16:21" ht="27.75" thickBot="1">
      <c r="P360" s="2976">
        <v>357</v>
      </c>
      <c r="Q360" s="2977" t="s">
        <v>3209</v>
      </c>
      <c r="R360" s="2977"/>
      <c r="S360">
        <v>152.02000000000001</v>
      </c>
    </row>
    <row r="361" spans="16:21" ht="27.75" thickBot="1">
      <c r="P361" s="2976">
        <v>358</v>
      </c>
      <c r="Q361" s="2977" t="s">
        <v>3210</v>
      </c>
      <c r="R361" s="2977"/>
      <c r="S361">
        <v>172.7</v>
      </c>
    </row>
    <row r="362" spans="16:21" ht="27.75" thickBot="1">
      <c r="P362" s="2976">
        <v>359</v>
      </c>
      <c r="Q362" s="2977" t="s">
        <v>3211</v>
      </c>
      <c r="R362" s="2977"/>
      <c r="S362">
        <v>150.72</v>
      </c>
    </row>
    <row r="363" spans="16:21" ht="27.75" thickBot="1">
      <c r="P363" s="2976">
        <v>360</v>
      </c>
      <c r="Q363" s="2977" t="s">
        <v>3212</v>
      </c>
      <c r="R363" s="2977"/>
      <c r="S363">
        <v>150.72</v>
      </c>
    </row>
    <row r="364" spans="16:21" ht="27.75" thickBot="1">
      <c r="P364" s="2976">
        <v>361</v>
      </c>
      <c r="Q364" s="2977" t="s">
        <v>3213</v>
      </c>
      <c r="R364" s="2977"/>
      <c r="S364">
        <v>150.72</v>
      </c>
    </row>
    <row r="365" spans="16:21" ht="27.75" thickBot="1">
      <c r="P365" s="2976">
        <v>362</v>
      </c>
      <c r="Q365" s="2977" t="s">
        <v>3214</v>
      </c>
      <c r="R365" s="2977"/>
      <c r="S365">
        <v>151.29</v>
      </c>
    </row>
    <row r="366" spans="16:21" ht="27.75" thickBot="1">
      <c r="P366" s="2976">
        <v>363</v>
      </c>
      <c r="Q366" s="2977" t="s">
        <v>3215</v>
      </c>
      <c r="R366" s="2977"/>
      <c r="S366">
        <v>140.44999999999999</v>
      </c>
      <c r="T366" s="2943" t="s">
        <v>3231</v>
      </c>
      <c r="U366" s="2943" t="s">
        <v>3230</v>
      </c>
    </row>
    <row r="367" spans="16:21">
      <c r="R367" s="2943" t="s">
        <v>3232</v>
      </c>
      <c r="S367">
        <f>SUM(S351:S366)</f>
        <v>2298.38</v>
      </c>
      <c r="T367">
        <f>E3+E4+E5-U367</f>
        <v>38065.799999999996</v>
      </c>
      <c r="U367">
        <f>SUM(U1:U365)</f>
        <v>617.31999999999994</v>
      </c>
    </row>
  </sheetData>
  <phoneticPr fontId="14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tabSelected="1" view="pageBreakPreview" zoomScale="90" zoomScaleNormal="100" zoomScaleSheetLayoutView="90" workbookViewId="0">
      <selection activeCell="L4" sqref="L4"/>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8" customWidth="1"/>
    <col min="10" max="10" width="10" style="2035" customWidth="1"/>
    <col min="11" max="11" width="10" style="2159" customWidth="1"/>
    <col min="12" max="13" width="10" style="2160" customWidth="1"/>
    <col min="14" max="14" width="10" style="2035" customWidth="1"/>
    <col min="15" max="15" width="10" style="2158" customWidth="1"/>
    <col min="16" max="17" width="10" style="2035"/>
    <col min="18" max="18" width="10" style="2035" customWidth="1"/>
    <col min="19" max="16384" width="10" style="2035"/>
  </cols>
  <sheetData>
    <row r="1" spans="1:19" ht="38.25" customHeight="1" thickBot="1">
      <c r="A1" s="2028" t="s">
        <v>1776</v>
      </c>
      <c r="B1" s="3029" t="str">
        <f>IF(B10="北京市","北京市",C10)&amp;F10&amp;IF(结果表!G1="在建","出让国有建设用地使用权及在建建筑物",IF(结果表!G1="土地","出让国有建设用地使用权",))&amp;B9&amp;"预评估"</f>
        <v>上海市崇明区长兴镇14街坊82/4丘出让国有建设用地使用权及在建建筑物房地产抵押价值预评估</v>
      </c>
      <c r="C1" s="3030"/>
      <c r="D1" s="3030"/>
      <c r="E1" s="3030"/>
      <c r="F1" s="3030"/>
      <c r="G1" s="3030"/>
      <c r="H1" s="3030"/>
      <c r="I1" s="3031"/>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上海市崇明区长兴镇14街坊82/4丘出让国有建设用地使用权及在建建筑物房地产抵押价值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上海市崇明区长兴镇14街坊82/4丘出让国有建设用地使用权及在建建筑物房地产</v>
      </c>
    </row>
    <row r="3" spans="1:19" ht="18" customHeight="1">
      <c r="A3" s="2038" t="s">
        <v>1778</v>
      </c>
      <c r="B3" s="2039">
        <v>43202</v>
      </c>
      <c r="C3" s="2040" t="s">
        <v>1779</v>
      </c>
      <c r="D3" s="2039">
        <v>43202</v>
      </c>
      <c r="E3" s="2029"/>
      <c r="F3" s="2029"/>
      <c r="G3" s="2029"/>
      <c r="H3" s="2029"/>
      <c r="I3" s="2029"/>
      <c r="J3" s="2029"/>
      <c r="K3" s="2030"/>
      <c r="L3" s="2031"/>
      <c r="M3" s="2031"/>
      <c r="N3" s="2032"/>
      <c r="O3" s="2033"/>
      <c r="P3" s="2032"/>
      <c r="Q3" s="2032"/>
      <c r="R3" s="2032"/>
      <c r="S3" s="2034"/>
    </row>
    <row r="4" spans="1:19" ht="18" customHeight="1" thickBot="1">
      <c r="A4" s="2041" t="s">
        <v>1780</v>
      </c>
      <c r="B4" s="2042" t="s">
        <v>3051</v>
      </c>
      <c r="C4" s="1040">
        <f ca="1">SUMIF(注册房地产估价师,B4,估价师及机构信息!B3:B24)</f>
        <v>1120070131</v>
      </c>
      <c r="D4" s="2042" t="s">
        <v>3052</v>
      </c>
      <c r="E4" s="1041">
        <f ca="1">SUMIF(注册房地产估价师,D4,估价师及机构信息!B3:B24)</f>
        <v>1120050019</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郑燚（注册号：1120070131)、王鹏（注册号：1120050019)</v>
      </c>
      <c r="L4" s="2031"/>
      <c r="M4" s="2031"/>
      <c r="N4" s="2032"/>
      <c r="O4" s="2033"/>
      <c r="P4" s="2032"/>
      <c r="Q4" s="2032"/>
      <c r="R4" s="2032"/>
      <c r="S4" s="2034"/>
    </row>
    <row r="5" spans="1:19" ht="18" customHeight="1" thickTop="1">
      <c r="A5" s="2047" t="s">
        <v>1781</v>
      </c>
      <c r="B5" s="2950" t="s">
        <v>3081</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951" t="s">
        <v>3082</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950" t="s">
        <v>3081</v>
      </c>
      <c r="C7" s="2051"/>
      <c r="D7" s="2052"/>
      <c r="E7" s="2037"/>
      <c r="F7" s="2045"/>
      <c r="G7" s="2045"/>
      <c r="H7" s="2045"/>
      <c r="I7" s="2045"/>
      <c r="J7" s="2045"/>
      <c r="K7" s="2054"/>
      <c r="L7" s="2031"/>
      <c r="M7" s="2031"/>
      <c r="N7" s="2032"/>
      <c r="O7" s="2033"/>
      <c r="P7" s="2032"/>
      <c r="Q7" s="2032"/>
      <c r="R7" s="2032"/>
    </row>
    <row r="8" spans="1:19" ht="18" customHeight="1">
      <c r="A8" s="2050" t="s">
        <v>1784</v>
      </c>
      <c r="B8" s="2055" t="s">
        <v>3053</v>
      </c>
      <c r="C8" s="2056"/>
      <c r="D8" s="3032" t="s">
        <v>1785</v>
      </c>
      <c r="E8" s="2057" t="s">
        <v>3054</v>
      </c>
      <c r="F8" s="2058"/>
      <c r="G8" s="2029"/>
      <c r="H8" s="2029"/>
      <c r="I8" s="2029"/>
      <c r="J8" s="2045"/>
      <c r="K8" s="2046"/>
      <c r="L8" s="2031"/>
      <c r="M8" s="2031"/>
      <c r="N8" s="2032"/>
      <c r="O8" s="2033"/>
      <c r="P8" s="2032"/>
      <c r="Q8" s="2032"/>
      <c r="R8" s="2032"/>
    </row>
    <row r="9" spans="1:19" ht="18" customHeight="1" thickBot="1">
      <c r="A9" s="2043" t="s">
        <v>1786</v>
      </c>
      <c r="B9" s="2059" t="s">
        <v>3054</v>
      </c>
      <c r="C9" s="2060"/>
      <c r="D9" s="3033"/>
      <c r="E9" s="2059"/>
      <c r="F9" s="2061"/>
      <c r="G9" s="2062"/>
      <c r="H9" s="2062"/>
      <c r="I9" s="2062"/>
      <c r="J9" s="2045"/>
      <c r="K9" s="2054"/>
      <c r="L9" s="2031"/>
      <c r="M9" s="2031"/>
      <c r="N9" s="2032"/>
      <c r="O9" s="2033"/>
      <c r="P9" s="2032"/>
      <c r="Q9" s="2032"/>
      <c r="R9" s="2032"/>
    </row>
    <row r="10" spans="1:19" ht="18" customHeight="1" thickTop="1">
      <c r="A10" s="2063" t="s">
        <v>1787</v>
      </c>
      <c r="B10" s="2064" t="s">
        <v>3055</v>
      </c>
      <c r="C10" s="2949" t="s">
        <v>3080</v>
      </c>
      <c r="D10" s="2049"/>
      <c r="E10" s="2065" t="s">
        <v>1788</v>
      </c>
      <c r="F10" s="2066" t="s">
        <v>3295</v>
      </c>
      <c r="G10" s="2067"/>
      <c r="H10" s="2068"/>
      <c r="I10" s="2049"/>
      <c r="J10" s="2045"/>
      <c r="K10" s="2054"/>
      <c r="L10" s="2031"/>
      <c r="M10" s="2031"/>
      <c r="N10" s="2032"/>
      <c r="O10" s="2033"/>
      <c r="P10" s="2032"/>
      <c r="Q10" s="2032"/>
      <c r="R10" s="2032"/>
    </row>
    <row r="11" spans="1:19" ht="18" customHeight="1">
      <c r="A11" s="2069" t="s">
        <v>1789</v>
      </c>
      <c r="B11" s="2070" t="s">
        <v>3050</v>
      </c>
      <c r="C11" s="2950" t="s">
        <v>3081</v>
      </c>
      <c r="D11" s="2071"/>
      <c r="E11" s="2045"/>
      <c r="F11" s="2045"/>
      <c r="G11" s="2045"/>
      <c r="H11" s="2045"/>
      <c r="I11" s="2045"/>
      <c r="J11" s="2045"/>
      <c r="K11" s="2054"/>
      <c r="L11" s="2031"/>
      <c r="M11" s="2031"/>
      <c r="N11" s="2032"/>
      <c r="O11" s="2033"/>
      <c r="P11" s="2032"/>
      <c r="Q11" s="2032"/>
      <c r="R11" s="2032"/>
    </row>
    <row r="12" spans="1:19" ht="18" customHeight="1">
      <c r="A12" s="2072" t="s">
        <v>1790</v>
      </c>
      <c r="B12" s="2070" t="s">
        <v>3049</v>
      </c>
      <c r="C12" s="2073" t="s">
        <v>1791</v>
      </c>
      <c r="D12" s="2074" t="s">
        <v>1792</v>
      </c>
      <c r="E12" s="2074" t="s">
        <v>1793</v>
      </c>
      <c r="F12" s="2074" t="s">
        <v>1794</v>
      </c>
      <c r="G12" s="2074" t="s">
        <v>1795</v>
      </c>
      <c r="H12" s="2074" t="s">
        <v>1796</v>
      </c>
      <c r="I12" s="2074" t="s">
        <v>1797</v>
      </c>
      <c r="J12" s="2045"/>
      <c r="K12" s="2054"/>
      <c r="L12" s="2031"/>
      <c r="M12" s="2031"/>
      <c r="N12" s="2032"/>
      <c r="O12" s="2033"/>
      <c r="P12" s="2032"/>
      <c r="Q12" s="2032"/>
      <c r="R12" s="2032"/>
    </row>
    <row r="13" spans="1:19" ht="18" customHeight="1">
      <c r="A13" s="2075"/>
      <c r="B13" s="2076"/>
      <c r="C13" s="2077" t="s">
        <v>1798</v>
      </c>
      <c r="D13" s="2078">
        <v>68227</v>
      </c>
      <c r="E13" s="2078">
        <v>57270</v>
      </c>
      <c r="F13" s="2078">
        <v>60922</v>
      </c>
      <c r="G13" s="2078">
        <v>60922</v>
      </c>
      <c r="H13" s="2078"/>
      <c r="I13" s="1050"/>
      <c r="J13" s="2045"/>
      <c r="K13" s="2054"/>
      <c r="L13" s="2031"/>
      <c r="M13" s="2031"/>
      <c r="N13" s="2032"/>
      <c r="O13" s="2033"/>
      <c r="P13" s="2032"/>
      <c r="Q13" s="2032"/>
      <c r="R13" s="2032"/>
    </row>
    <row r="14" spans="1:19" ht="18" customHeight="1">
      <c r="A14" s="2075"/>
      <c r="B14" s="2076"/>
      <c r="C14" s="2077" t="s">
        <v>1799</v>
      </c>
      <c r="D14" s="1053">
        <v>70</v>
      </c>
      <c r="E14" s="1053">
        <v>40</v>
      </c>
      <c r="F14" s="1053">
        <v>50</v>
      </c>
      <c r="G14" s="1053">
        <v>50</v>
      </c>
      <c r="H14" s="1053"/>
      <c r="I14" s="1053"/>
      <c r="J14" s="2045"/>
      <c r="K14" s="2079"/>
      <c r="L14" s="2031"/>
      <c r="M14" s="2031"/>
      <c r="N14" s="2032"/>
      <c r="O14" s="2033"/>
      <c r="P14" s="2032"/>
      <c r="Q14" s="2032"/>
      <c r="R14" s="2032"/>
    </row>
    <row r="15" spans="1:19" ht="18" customHeight="1">
      <c r="A15" s="2063"/>
      <c r="B15" s="2080"/>
      <c r="C15" s="2077" t="s">
        <v>1800</v>
      </c>
      <c r="D15" s="1052">
        <f>IF(B12="出让",IF(D13="","",ROUNDDOWN(MIN((D13-$D$3)/365,D14),2)),D14)</f>
        <v>68.56</v>
      </c>
      <c r="E15" s="1052">
        <f>IF(B12="出让",IF(E13="","",ROUNDDOWN(MIN((E13-$D$3)/365,E14),2)),E14)</f>
        <v>38.54</v>
      </c>
      <c r="F15" s="1052">
        <f>IF(B12="出让",IF(F13="","",ROUNDDOWN(MIN((F13-$D$3)/365,F14),2)),F14)</f>
        <v>48.54</v>
      </c>
      <c r="G15" s="1052">
        <f>IF(B12="出让",IF(G13="","",ROUNDDOWN(MIN((G13-$D$3)/365,G14),2)),G14)</f>
        <v>48.54</v>
      </c>
      <c r="H15" s="1052" t="str">
        <f>IF(B12="出让",IF(H13="","",ROUNDDOWN(MIN((H13-$D$3)/365,H14),2)),H14)</f>
        <v/>
      </c>
      <c r="I15" s="1052" t="str">
        <f>IF(B12="出让",IF(I13="","",ROUNDDOWN(MIN((I13-$D$3)/365,I14),2)),I14)</f>
        <v/>
      </c>
      <c r="J15" s="2045"/>
      <c r="K15" s="2081"/>
      <c r="L15" s="2082"/>
      <c r="M15" s="2082"/>
      <c r="N15" s="2083"/>
      <c r="O15" s="2082"/>
      <c r="P15" s="2083"/>
      <c r="Q15" s="2032"/>
      <c r="R15" s="2032"/>
    </row>
    <row r="16" spans="1:19" ht="30.75" customHeight="1">
      <c r="A16" s="2065" t="s">
        <v>1801</v>
      </c>
      <c r="B16" s="3039"/>
      <c r="C16" s="3040"/>
      <c r="D16" s="3041"/>
      <c r="E16" s="2084" t="s">
        <v>1802</v>
      </c>
      <c r="F16" s="3042"/>
      <c r="G16" s="3043"/>
      <c r="H16" s="3043"/>
      <c r="I16" s="3044"/>
      <c r="J16" s="2032"/>
      <c r="K16" s="2081"/>
      <c r="L16" s="2082"/>
      <c r="M16" s="2082"/>
      <c r="N16" s="2083"/>
      <c r="O16" s="2082"/>
      <c r="P16" s="2083"/>
      <c r="Q16" s="2032"/>
      <c r="R16" s="2032"/>
    </row>
    <row r="17" spans="1:22" ht="18" customHeight="1">
      <c r="A17" s="2085" t="s">
        <v>1803</v>
      </c>
      <c r="B17" s="2038" t="s">
        <v>1804</v>
      </c>
      <c r="C17" s="1057">
        <f>'数据-汇总表'!E3</f>
        <v>187098.36000000002</v>
      </c>
      <c r="D17" s="2086" t="s">
        <v>1805</v>
      </c>
      <c r="E17" s="3045" t="s">
        <v>1806</v>
      </c>
      <c r="F17" s="3046"/>
      <c r="G17" s="3046"/>
      <c r="H17" s="3046"/>
      <c r="I17" s="3047"/>
      <c r="J17" s="2032"/>
      <c r="K17" s="2087"/>
      <c r="L17" s="2082"/>
      <c r="M17" s="2082"/>
      <c r="N17" s="2083"/>
      <c r="O17" s="2082"/>
      <c r="P17" s="2083"/>
      <c r="Q17" s="2032"/>
      <c r="R17" s="2032"/>
      <c r="S17" s="2032"/>
      <c r="T17" s="2032"/>
      <c r="U17" s="2032"/>
      <c r="V17" s="2032"/>
    </row>
    <row r="18" spans="1:22" ht="36" customHeight="1" thickBot="1">
      <c r="A18" s="2088" t="s">
        <v>1807</v>
      </c>
      <c r="B18" s="2041" t="s">
        <v>1808</v>
      </c>
      <c r="C18" s="1447">
        <f>'数据-汇总表'!D3</f>
        <v>87410.87</v>
      </c>
      <c r="D18" s="2089" t="s">
        <v>1805</v>
      </c>
      <c r="E18" s="3048" t="s">
        <v>3083</v>
      </c>
      <c r="F18" s="3049"/>
      <c r="G18" s="3049"/>
      <c r="H18" s="3049"/>
      <c r="I18" s="3050"/>
      <c r="J18" s="2032"/>
      <c r="K18" s="2087"/>
      <c r="L18" s="2082"/>
      <c r="M18" s="2082"/>
      <c r="N18" s="2083"/>
      <c r="O18" s="2082"/>
      <c r="P18" s="2083"/>
      <c r="Q18" s="2032"/>
      <c r="R18" s="2032"/>
      <c r="S18" s="2032"/>
      <c r="T18" s="2032"/>
      <c r="U18" s="2032"/>
      <c r="V18" s="2032"/>
    </row>
    <row r="19" spans="1:22" ht="37.5" customHeight="1" thickTop="1" thickBot="1">
      <c r="A19" s="373" t="s">
        <v>1809</v>
      </c>
      <c r="B19" s="352" t="s">
        <v>1810</v>
      </c>
      <c r="C19" s="2090"/>
      <c r="D19" s="2091" t="s">
        <v>1811</v>
      </c>
      <c r="E19" s="2092"/>
      <c r="F19" s="2093" t="str">
        <f>IF(AND(C19="是",E19="否"),"是否提供他项权证或相关说明","")</f>
        <v/>
      </c>
      <c r="G19" s="2094"/>
      <c r="H19" s="2045"/>
      <c r="I19" s="2045"/>
      <c r="J19" s="2045"/>
      <c r="K19" s="2054"/>
      <c r="L19" s="2031"/>
      <c r="M19" s="2031"/>
      <c r="N19" s="2083"/>
      <c r="O19" s="2082"/>
      <c r="P19" s="2083"/>
      <c r="Q19" s="2032"/>
      <c r="R19" s="2032"/>
      <c r="S19" s="2032"/>
      <c r="T19" s="2032"/>
      <c r="U19" s="2032"/>
      <c r="V19" s="2032"/>
    </row>
    <row r="20" spans="1:22" ht="18" customHeight="1">
      <c r="A20" s="2095" t="s">
        <v>1812</v>
      </c>
      <c r="B20" s="3035" t="s">
        <v>1813</v>
      </c>
      <c r="C20" s="3036"/>
      <c r="D20" s="3037" t="s">
        <v>1814</v>
      </c>
      <c r="E20" s="3038"/>
      <c r="F20" s="2096" t="s">
        <v>1815</v>
      </c>
      <c r="G20" s="2045"/>
      <c r="H20" s="2045"/>
      <c r="I20" s="2045"/>
      <c r="J20" s="2045"/>
      <c r="K20" s="3034" t="s">
        <v>1816</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3"/>
      <c r="O20" s="2082"/>
      <c r="P20" s="2083"/>
      <c r="Q20" s="2032"/>
      <c r="R20" s="2032"/>
      <c r="S20" s="2032"/>
      <c r="T20" s="2032"/>
      <c r="U20" s="2032"/>
      <c r="V20" s="2032"/>
    </row>
    <row r="21" spans="1:22" ht="24.75" customHeight="1">
      <c r="A21" s="2095"/>
      <c r="B21" s="2097" t="s">
        <v>1817</v>
      </c>
      <c r="C21" s="2098" t="s">
        <v>1818</v>
      </c>
      <c r="D21" s="2099" t="s">
        <v>1819</v>
      </c>
      <c r="E21" s="2100" t="s">
        <v>1818</v>
      </c>
      <c r="F21" s="2101"/>
      <c r="G21" s="2045"/>
      <c r="H21" s="2045"/>
      <c r="I21" s="2045"/>
      <c r="J21" s="2045"/>
      <c r="K21" s="303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3"/>
      <c r="O21" s="2082"/>
      <c r="P21" s="2083"/>
      <c r="Q21" s="2032"/>
      <c r="R21" s="2032"/>
      <c r="S21" s="2032"/>
      <c r="T21" s="2032"/>
      <c r="U21" s="2032"/>
      <c r="V21" s="2032"/>
    </row>
    <row r="22" spans="1:22" ht="24.75" customHeight="1" thickBot="1">
      <c r="A22" s="2095"/>
      <c r="B22" s="2102" t="s">
        <v>1820</v>
      </c>
      <c r="C22" s="2098" t="s">
        <v>1821</v>
      </c>
      <c r="D22" s="2029"/>
      <c r="E22" s="2029"/>
      <c r="F22" s="2103"/>
      <c r="G22" s="2045"/>
      <c r="H22" s="2045"/>
      <c r="I22" s="2045"/>
      <c r="J22" s="2045"/>
      <c r="K22" s="303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3"/>
      <c r="O22" s="2082"/>
      <c r="P22" s="2083"/>
      <c r="Q22" s="2032"/>
      <c r="R22" s="2032"/>
      <c r="S22" s="2032"/>
      <c r="T22" s="2032"/>
      <c r="U22" s="2032"/>
      <c r="V22" s="2032"/>
    </row>
    <row r="23" spans="1:22" ht="18" customHeight="1">
      <c r="A23" s="2104" t="s">
        <v>1822</v>
      </c>
      <c r="B23" s="183" t="s">
        <v>1823</v>
      </c>
      <c r="C23" s="2105"/>
      <c r="D23" s="2106" t="s">
        <v>1823</v>
      </c>
      <c r="E23" s="2107"/>
      <c r="F23" s="2103"/>
      <c r="G23" s="2045"/>
      <c r="H23" s="2045"/>
      <c r="I23" s="2045"/>
      <c r="J23" s="2045"/>
      <c r="K23" s="2108"/>
      <c r="L23" s="748"/>
      <c r="M23" s="2031"/>
      <c r="N23" s="2083"/>
      <c r="O23" s="2082"/>
      <c r="P23" s="2083"/>
      <c r="Q23" s="2032"/>
      <c r="R23" s="2032"/>
      <c r="S23" s="2032"/>
      <c r="T23" s="2032"/>
      <c r="U23" s="2032"/>
      <c r="V23" s="2032"/>
    </row>
    <row r="24" spans="1:22" ht="18" customHeight="1">
      <c r="A24" s="2109"/>
      <c r="B24" s="183" t="s">
        <v>1824</v>
      </c>
      <c r="C24" s="2110"/>
      <c r="D24" s="2104" t="s">
        <v>1824</v>
      </c>
      <c r="E24" s="2111"/>
      <c r="F24" s="2103"/>
      <c r="G24" s="2045"/>
      <c r="H24" s="2045"/>
      <c r="I24" s="2045"/>
      <c r="J24" s="2045"/>
      <c r="K24" s="2108"/>
      <c r="L24" s="748"/>
      <c r="M24" s="2031"/>
      <c r="N24" s="2083"/>
      <c r="O24" s="2082"/>
      <c r="P24" s="2083"/>
      <c r="Q24" s="2032"/>
      <c r="R24" s="2032"/>
      <c r="S24" s="2032"/>
      <c r="T24" s="2032"/>
      <c r="U24" s="2032"/>
      <c r="V24" s="2032"/>
    </row>
    <row r="25" spans="1:22" ht="18" customHeight="1">
      <c r="A25" s="2109"/>
      <c r="B25" s="183" t="s">
        <v>1825</v>
      </c>
      <c r="C25" s="2110"/>
      <c r="D25" s="2104" t="s">
        <v>1825</v>
      </c>
      <c r="E25" s="2111"/>
      <c r="F25" s="2103"/>
      <c r="G25" s="2045"/>
      <c r="H25" s="2045"/>
      <c r="I25" s="2045"/>
      <c r="J25" s="2045"/>
      <c r="K25" s="2054"/>
      <c r="L25" s="2031"/>
      <c r="M25" s="2031"/>
      <c r="N25" s="2083"/>
      <c r="O25" s="2082"/>
      <c r="P25" s="2083"/>
      <c r="Q25" s="2032"/>
      <c r="R25" s="2032"/>
      <c r="S25" s="2032"/>
      <c r="T25" s="2032"/>
      <c r="U25" s="2032"/>
      <c r="V25" s="2032"/>
    </row>
    <row r="26" spans="1:22" ht="18" customHeight="1" thickBot="1">
      <c r="A26" s="2112"/>
      <c r="B26" s="2113" t="s">
        <v>1826</v>
      </c>
      <c r="C26" s="2114"/>
      <c r="D26" s="2115" t="s">
        <v>1827</v>
      </c>
      <c r="E26" s="2116"/>
      <c r="F26" s="2117"/>
      <c r="G26" s="2062"/>
      <c r="H26" s="2062"/>
      <c r="I26" s="2062"/>
      <c r="J26" s="2045"/>
      <c r="K26" s="2054"/>
      <c r="L26" s="2031"/>
      <c r="M26" s="2031"/>
      <c r="N26" s="2083"/>
      <c r="O26" s="2082"/>
      <c r="P26" s="2083"/>
      <c r="Q26" s="2032"/>
      <c r="R26" s="2032"/>
      <c r="S26" s="2032"/>
      <c r="T26" s="2032"/>
      <c r="U26" s="2032"/>
      <c r="V26" s="2032"/>
    </row>
    <row r="27" spans="1:22" ht="18" customHeight="1" thickTop="1">
      <c r="A27" s="3052" t="s">
        <v>1828</v>
      </c>
      <c r="B27" s="2063" t="s">
        <v>1829</v>
      </c>
      <c r="C27" s="2118"/>
      <c r="D27" s="2119"/>
      <c r="E27" s="2045"/>
      <c r="F27" s="2045"/>
      <c r="G27" s="2045"/>
      <c r="H27" s="2045"/>
      <c r="I27" s="2045"/>
      <c r="J27" s="2032"/>
      <c r="K27" s="2081"/>
      <c r="L27" s="2082"/>
      <c r="M27" s="2082"/>
      <c r="N27" s="2083"/>
      <c r="O27" s="2082"/>
      <c r="P27" s="2083"/>
      <c r="Q27" s="2032"/>
      <c r="R27" s="2032"/>
      <c r="S27" s="2032"/>
      <c r="T27" s="2032"/>
      <c r="U27" s="2032"/>
      <c r="V27" s="2032"/>
    </row>
    <row r="28" spans="1:22" ht="18" customHeight="1">
      <c r="A28" s="3052"/>
      <c r="B28" s="2038" t="s">
        <v>1830</v>
      </c>
      <c r="C28" s="2120"/>
      <c r="D28" s="2121"/>
      <c r="E28" s="2045"/>
      <c r="F28" s="2045"/>
      <c r="G28" s="2045"/>
      <c r="H28" s="2045"/>
      <c r="I28" s="2045"/>
      <c r="J28" s="2032"/>
      <c r="K28" s="2122"/>
      <c r="L28" s="2031"/>
      <c r="M28" s="2031"/>
      <c r="N28" s="2032"/>
      <c r="O28" s="2033"/>
      <c r="P28" s="2032"/>
      <c r="Q28" s="2032"/>
      <c r="R28" s="2032"/>
      <c r="S28" s="2032"/>
      <c r="T28" s="2032"/>
      <c r="U28" s="2032"/>
      <c r="V28" s="2032"/>
    </row>
    <row r="29" spans="1:22" ht="18" customHeight="1">
      <c r="A29" s="3052"/>
      <c r="B29" s="2038" t="s">
        <v>1831</v>
      </c>
      <c r="C29" s="2123"/>
      <c r="D29" s="2124"/>
      <c r="E29" s="2045"/>
      <c r="F29" s="2045"/>
      <c r="G29" s="2045"/>
      <c r="H29" s="2045"/>
      <c r="I29" s="2045"/>
      <c r="J29" s="2032"/>
      <c r="K29" s="2122"/>
      <c r="L29" s="2031"/>
      <c r="M29" s="2031"/>
      <c r="N29" s="2032"/>
      <c r="O29" s="2033"/>
      <c r="P29" s="2032"/>
      <c r="Q29" s="2032"/>
      <c r="R29" s="2032"/>
      <c r="S29" s="2032"/>
      <c r="T29" s="2032"/>
      <c r="U29" s="2032"/>
      <c r="V29" s="2032"/>
    </row>
    <row r="30" spans="1:22" ht="18" customHeight="1">
      <c r="A30" s="3053"/>
      <c r="B30" s="2038" t="s">
        <v>1832</v>
      </c>
      <c r="C30" s="3054"/>
      <c r="D30" s="3055"/>
      <c r="E30" s="2045"/>
      <c r="F30" s="2045"/>
      <c r="G30" s="2045"/>
      <c r="H30" s="2045"/>
      <c r="I30" s="2045"/>
      <c r="J30" s="2032"/>
      <c r="K30" s="2122"/>
      <c r="L30" s="2031"/>
      <c r="M30" s="2031"/>
      <c r="N30" s="2032"/>
      <c r="O30" s="2033"/>
      <c r="P30" s="2032"/>
      <c r="Q30" s="2032"/>
      <c r="R30" s="2032"/>
      <c r="S30" s="2032"/>
      <c r="T30" s="2032"/>
      <c r="U30" s="2032"/>
      <c r="V30" s="2032"/>
    </row>
    <row r="31" spans="1:22" ht="18" customHeight="1">
      <c r="A31" s="3056" t="s">
        <v>1833</v>
      </c>
      <c r="B31" s="2125"/>
      <c r="C31" s="2126" t="str">
        <f>IF(B31="现房","成新及维护状况正常否",IF(B31="在建","工程状态是否正常",IF(B31="土地","是否闲置","-")))</f>
        <v>-</v>
      </c>
      <c r="D31" s="2127"/>
      <c r="E31" s="2128"/>
      <c r="F31" s="2045"/>
      <c r="G31" s="2045"/>
      <c r="H31" s="2045"/>
      <c r="I31" s="2045"/>
      <c r="J31" s="2045"/>
      <c r="K31" s="2053"/>
      <c r="L31" s="2031"/>
      <c r="M31" s="2031"/>
      <c r="N31" s="2032"/>
      <c r="O31" s="2033"/>
      <c r="P31" s="2032"/>
      <c r="Q31" s="2032"/>
      <c r="R31" s="2032"/>
      <c r="S31" s="2032"/>
      <c r="T31" s="2032"/>
      <c r="U31" s="2032"/>
      <c r="V31" s="2032"/>
    </row>
    <row r="32" spans="1:22" ht="18" customHeight="1">
      <c r="A32" s="3057"/>
      <c r="B32" s="2125"/>
      <c r="C32" s="2126" t="str">
        <f>IF(B32="现房","成新及维护状况是否正常",IF(B32="在建","工程状态是否正常",IF(B32="土地","是否闲置","-")))</f>
        <v>-</v>
      </c>
      <c r="D32" s="2127"/>
      <c r="E32" s="2128"/>
      <c r="F32" s="2045"/>
      <c r="G32" s="2045"/>
      <c r="H32" s="2045"/>
      <c r="I32" s="2045"/>
      <c r="J32" s="2045"/>
      <c r="K32" s="2054"/>
      <c r="L32" s="2031"/>
      <c r="M32" s="2031"/>
      <c r="N32" s="2032"/>
      <c r="O32" s="2033"/>
      <c r="P32" s="2032"/>
      <c r="Q32" s="2032"/>
      <c r="R32" s="2032"/>
      <c r="S32" s="2032"/>
      <c r="T32" s="2032"/>
      <c r="U32" s="2032"/>
      <c r="V32" s="2032"/>
    </row>
    <row r="33" spans="1:22" ht="18" customHeight="1">
      <c r="A33" s="3057"/>
      <c r="B33" s="2129"/>
      <c r="C33" s="2069" t="str">
        <f>IF(B33="现房","成新及维护状况是否正常",IF(B33="在建","工程状态是否正常",IF(B33="土地","是否闲置","-")))</f>
        <v>-</v>
      </c>
      <c r="D33" s="2130"/>
      <c r="E33" s="2131"/>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1834</v>
      </c>
      <c r="B34" s="2132"/>
      <c r="C34" s="2132"/>
      <c r="D34" s="2132"/>
      <c r="E34" s="2132"/>
      <c r="F34" s="2132"/>
      <c r="G34" s="2132"/>
      <c r="H34" s="2132"/>
      <c r="I34" s="2045"/>
      <c r="J34" s="2045"/>
      <c r="K34" s="1798">
        <f>COUNTIF(B34:H34,"——")</f>
        <v>0</v>
      </c>
      <c r="L34" s="2073" t="s">
        <v>1835</v>
      </c>
      <c r="M34" s="2073" t="s">
        <v>1836</v>
      </c>
      <c r="N34" s="2073" t="s">
        <v>1837</v>
      </c>
      <c r="O34" s="2073" t="s">
        <v>1838</v>
      </c>
      <c r="P34" s="2073" t="s">
        <v>1839</v>
      </c>
      <c r="Q34" s="2073" t="s">
        <v>1840</v>
      </c>
      <c r="R34" s="2073" t="s">
        <v>1841</v>
      </c>
      <c r="S34" s="3051" t="s">
        <v>1842</v>
      </c>
      <c r="T34" s="2133" t="str">
        <f>NUMBERSTRING(7-K34,1)&amp;"通"</f>
        <v>七通</v>
      </c>
      <c r="U34" s="2032"/>
      <c r="V34" s="2032"/>
    </row>
    <row r="35" spans="1:22" ht="18" customHeight="1">
      <c r="A35" s="2134"/>
      <c r="B35" s="3058" t="s">
        <v>1843</v>
      </c>
      <c r="C35" s="3058"/>
      <c r="D35" s="3058"/>
      <c r="E35" s="3058"/>
      <c r="F35" s="2135" t="str">
        <f>C10</f>
        <v>上海市</v>
      </c>
      <c r="G35" s="2045"/>
      <c r="H35" s="2045"/>
      <c r="I35" s="2045"/>
      <c r="J35" s="2045"/>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1"/>
      <c r="T35" s="48" t="str">
        <f>IF(T34="一通",L35,IF(T34="二通",M35,IF(T34="三通",N35,IF(T34="四通",O35,IF(T34="五通",P35,IF(T34="六通",Q35,R35))))))</f>
        <v>、、、、、、</v>
      </c>
      <c r="U35" s="2032"/>
      <c r="V35" s="2032"/>
    </row>
    <row r="36" spans="1:22" ht="18" customHeight="1">
      <c r="A36" s="2136"/>
      <c r="B36" s="2135" t="s">
        <v>1844</v>
      </c>
      <c r="C36" s="2135" t="s">
        <v>1845</v>
      </c>
      <c r="D36" s="2135" t="s">
        <v>1846</v>
      </c>
      <c r="E36" s="2135" t="s">
        <v>1847</v>
      </c>
      <c r="F36" s="2137"/>
      <c r="G36" s="2045"/>
      <c r="H36" s="2045"/>
      <c r="I36" s="2045"/>
      <c r="J36" s="2045"/>
      <c r="K36" s="2054"/>
      <c r="L36" s="2031"/>
      <c r="M36" s="2031"/>
      <c r="N36" s="2032"/>
      <c r="O36" s="2033"/>
      <c r="P36" s="2032"/>
      <c r="Q36" s="2032"/>
      <c r="R36" s="2032"/>
      <c r="S36" s="2032"/>
      <c r="T36" s="2032"/>
      <c r="U36" s="2032"/>
      <c r="V36" s="2032"/>
    </row>
    <row r="37" spans="1:22" ht="18" customHeight="1">
      <c r="A37" s="2138" t="s">
        <v>1848</v>
      </c>
      <c r="B37" s="2139"/>
      <c r="C37" s="2139"/>
      <c r="D37" s="2139"/>
      <c r="E37" s="2139"/>
      <c r="F37" s="2137"/>
      <c r="G37" s="2045"/>
      <c r="H37" s="2045"/>
      <c r="I37" s="2045"/>
      <c r="J37" s="2045"/>
      <c r="K37" s="2054"/>
      <c r="L37" s="2031"/>
      <c r="M37" s="2031"/>
      <c r="N37" s="2032"/>
      <c r="O37" s="2033"/>
      <c r="P37" s="2032"/>
      <c r="Q37" s="2032"/>
      <c r="R37" s="2032"/>
      <c r="S37" s="2032"/>
      <c r="T37" s="2032"/>
      <c r="U37" s="2032"/>
      <c r="V37" s="2032"/>
    </row>
    <row r="38" spans="1:22" ht="18" customHeight="1" thickBot="1">
      <c r="A38" s="2140" t="s">
        <v>1849</v>
      </c>
      <c r="B38" s="2141"/>
      <c r="C38" s="2141"/>
      <c r="D38" s="2141"/>
      <c r="E38" s="2141"/>
      <c r="F38" s="2142"/>
      <c r="G38" s="2062"/>
      <c r="H38" s="2062"/>
      <c r="I38" s="2062"/>
      <c r="J38" s="2045"/>
      <c r="K38" s="2054"/>
      <c r="L38" s="2031"/>
      <c r="M38" s="2031"/>
      <c r="N38" s="2032"/>
      <c r="O38" s="2033"/>
      <c r="P38" s="2032"/>
      <c r="Q38" s="2032"/>
      <c r="R38" s="2032"/>
      <c r="S38" s="2032"/>
      <c r="T38" s="2032"/>
      <c r="U38" s="2032"/>
      <c r="V38" s="2032"/>
    </row>
    <row r="39" spans="1:22" s="2147" customFormat="1" ht="18" customHeight="1" thickTop="1" thickBot="1">
      <c r="A39" s="2143" t="s">
        <v>1850</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32"/>
      <c r="B40" s="2032"/>
      <c r="C40" s="2032"/>
      <c r="D40" s="2032"/>
      <c r="E40" s="2032"/>
      <c r="F40" s="2032"/>
      <c r="G40" s="2032"/>
      <c r="H40" s="2032"/>
      <c r="I40" s="2148"/>
      <c r="J40" s="2083"/>
      <c r="K40" s="666"/>
      <c r="L40" s="2082"/>
      <c r="M40" s="2082"/>
      <c r="N40" s="2083"/>
      <c r="O40" s="2082"/>
      <c r="P40" s="2032"/>
      <c r="Q40" s="2032"/>
      <c r="R40" s="2032"/>
      <c r="S40" s="2032"/>
      <c r="T40" s="2032"/>
      <c r="U40" s="2032"/>
      <c r="V40" s="2032"/>
    </row>
    <row r="41" spans="1:22" ht="18" customHeight="1">
      <c r="A41" s="8" t="s">
        <v>1851</v>
      </c>
      <c r="B41" s="2149"/>
      <c r="C41" s="2150"/>
      <c r="D41" s="2032"/>
      <c r="E41" s="2032"/>
      <c r="F41" s="2032"/>
      <c r="G41" s="2032"/>
      <c r="H41" s="2032"/>
      <c r="I41" s="2033"/>
      <c r="J41" s="2032"/>
      <c r="K41" s="2122"/>
      <c r="L41" s="2031"/>
      <c r="M41" s="2031"/>
      <c r="N41" s="2032"/>
      <c r="O41" s="2033"/>
      <c r="P41" s="2032"/>
      <c r="Q41" s="2032"/>
      <c r="R41" s="2032"/>
      <c r="S41" s="2032"/>
      <c r="T41" s="2032"/>
      <c r="U41" s="2032"/>
      <c r="V41" s="2032"/>
    </row>
    <row r="42" spans="1:22" ht="18" customHeight="1">
      <c r="A42" s="2073" t="s">
        <v>1852</v>
      </c>
      <c r="B42" s="1798" t="s">
        <v>1853</v>
      </c>
      <c r="C42" s="1798" t="s">
        <v>1854</v>
      </c>
      <c r="D42" s="1798" t="s">
        <v>1855</v>
      </c>
      <c r="E42" s="1798" t="s">
        <v>1856</v>
      </c>
      <c r="F42" s="1798" t="s">
        <v>1857</v>
      </c>
      <c r="G42" s="1798" t="s">
        <v>1858</v>
      </c>
      <c r="H42" s="1798" t="s">
        <v>1859</v>
      </c>
      <c r="I42" s="1798" t="s">
        <v>1860</v>
      </c>
      <c r="J42" s="2151" t="s">
        <v>1861</v>
      </c>
      <c r="K42" s="2074" t="s">
        <v>1862</v>
      </c>
      <c r="L42" s="2074" t="s">
        <v>1863</v>
      </c>
      <c r="M42" s="2074" t="s">
        <v>1864</v>
      </c>
      <c r="N42" s="1798" t="s">
        <v>1865</v>
      </c>
      <c r="O42" s="1798" t="s">
        <v>1866</v>
      </c>
      <c r="P42" s="1798" t="s">
        <v>1867</v>
      </c>
      <c r="Q42" s="2073" t="s">
        <v>1868</v>
      </c>
      <c r="R42" s="2073" t="s">
        <v>1869</v>
      </c>
      <c r="S42" s="2032"/>
      <c r="T42" s="2032"/>
      <c r="U42" s="2032"/>
      <c r="V42" s="2032"/>
    </row>
    <row r="43" spans="1:22" s="2156" customFormat="1" ht="18" customHeight="1">
      <c r="A43" s="2152"/>
      <c r="B43" s="1275"/>
      <c r="C43" s="1275"/>
      <c r="D43" s="1275"/>
      <c r="E43" s="1275"/>
      <c r="F43" s="1275"/>
      <c r="G43" s="1275"/>
      <c r="H43" s="9"/>
      <c r="I43" s="9"/>
      <c r="J43" s="2153"/>
      <c r="K43" s="2154"/>
      <c r="L43" s="2154"/>
      <c r="M43" s="9"/>
      <c r="N43" s="1275"/>
      <c r="O43" s="9"/>
      <c r="P43" s="1275"/>
      <c r="Q43" s="1275"/>
      <c r="R43" s="1275"/>
      <c r="S43" s="2155"/>
      <c r="T43" s="2155"/>
      <c r="U43" s="2155"/>
      <c r="V43" s="2155"/>
    </row>
    <row r="44" spans="1:22" s="2156" customFormat="1" ht="18" customHeight="1">
      <c r="A44" s="2152"/>
      <c r="B44" s="2152"/>
      <c r="C44" s="1275"/>
      <c r="D44" s="1275"/>
      <c r="E44" s="1275"/>
      <c r="F44" s="1275"/>
      <c r="G44" s="1275"/>
      <c r="H44" s="9"/>
      <c r="I44" s="9"/>
      <c r="J44" s="2153"/>
      <c r="K44" s="2154"/>
      <c r="L44" s="2154"/>
      <c r="M44" s="9"/>
      <c r="N44" s="1275"/>
      <c r="O44" s="9"/>
      <c r="P44" s="1275"/>
      <c r="Q44" s="1275"/>
      <c r="R44" s="1275"/>
      <c r="S44" s="2155"/>
      <c r="T44" s="2155"/>
      <c r="U44" s="2155"/>
      <c r="V44" s="2155"/>
    </row>
    <row r="45" spans="1:22" s="2156" customFormat="1" ht="18" customHeight="1">
      <c r="A45" s="2152"/>
      <c r="B45" s="2152"/>
      <c r="C45" s="1275"/>
      <c r="D45" s="1275"/>
      <c r="E45" s="1275"/>
      <c r="F45" s="1275"/>
      <c r="G45" s="1275"/>
      <c r="H45" s="9"/>
      <c r="I45" s="9"/>
      <c r="J45" s="2153"/>
      <c r="K45" s="2154"/>
      <c r="L45" s="2154"/>
      <c r="M45" s="9"/>
      <c r="N45" s="1275"/>
      <c r="O45" s="9"/>
      <c r="P45" s="1275"/>
      <c r="Q45" s="1275"/>
      <c r="R45" s="1275"/>
      <c r="S45" s="2155"/>
      <c r="T45" s="2155"/>
      <c r="U45" s="2155"/>
      <c r="V45" s="2155"/>
    </row>
    <row r="46" spans="1:22" s="2156" customFormat="1" ht="18" customHeight="1">
      <c r="A46" s="2152"/>
      <c r="B46" s="2152"/>
      <c r="C46" s="1275"/>
      <c r="D46" s="1275"/>
      <c r="E46" s="1275"/>
      <c r="F46" s="1275"/>
      <c r="G46" s="1275"/>
      <c r="H46" s="9"/>
      <c r="I46" s="9"/>
      <c r="J46" s="2153"/>
      <c r="K46" s="2154"/>
      <c r="L46" s="2154"/>
      <c r="M46" s="9"/>
      <c r="N46" s="1275"/>
      <c r="O46" s="9"/>
      <c r="P46" s="1275"/>
      <c r="Q46" s="1275"/>
      <c r="R46" s="1275"/>
      <c r="S46" s="2155"/>
      <c r="T46" s="2155"/>
      <c r="U46" s="2155"/>
      <c r="V46" s="2155"/>
    </row>
    <row r="47" spans="1:22" s="2156" customFormat="1" ht="18" customHeight="1">
      <c r="A47" s="2152"/>
      <c r="B47" s="2152"/>
      <c r="C47" s="1275"/>
      <c r="D47" s="1275"/>
      <c r="E47" s="1275"/>
      <c r="F47" s="1275"/>
      <c r="G47" s="1275"/>
      <c r="H47" s="9"/>
      <c r="I47" s="9"/>
      <c r="J47" s="2153"/>
      <c r="K47" s="2154"/>
      <c r="L47" s="2154"/>
      <c r="M47" s="9"/>
      <c r="N47" s="1275"/>
      <c r="O47" s="9"/>
      <c r="P47" s="1275"/>
      <c r="Q47" s="1275"/>
      <c r="R47" s="1275"/>
      <c r="S47" s="2155"/>
      <c r="T47" s="2155"/>
      <c r="U47" s="2155"/>
      <c r="V47" s="2155"/>
    </row>
    <row r="48" spans="1:22" s="2156" customFormat="1" ht="18" customHeight="1">
      <c r="A48" s="2152"/>
      <c r="B48" s="2152"/>
      <c r="C48" s="1275"/>
      <c r="D48" s="1275"/>
      <c r="E48" s="1275"/>
      <c r="F48" s="1275"/>
      <c r="G48" s="1275"/>
      <c r="H48" s="9"/>
      <c r="I48" s="9"/>
      <c r="J48" s="2153"/>
      <c r="K48" s="2154"/>
      <c r="L48" s="2154"/>
      <c r="M48" s="9"/>
      <c r="N48" s="1275"/>
      <c r="O48" s="9"/>
      <c r="P48" s="1275"/>
      <c r="Q48" s="1275"/>
      <c r="R48" s="1275"/>
      <c r="S48" s="2155"/>
      <c r="T48" s="2155"/>
      <c r="U48" s="2155"/>
      <c r="V48" s="2155"/>
    </row>
    <row r="49" spans="1:22" s="2156" customFormat="1" ht="18" customHeight="1">
      <c r="A49" s="2152"/>
      <c r="B49" s="2152"/>
      <c r="C49" s="1275"/>
      <c r="D49" s="1275"/>
      <c r="E49" s="1275"/>
      <c r="F49" s="1275"/>
      <c r="G49" s="1275"/>
      <c r="H49" s="9"/>
      <c r="I49" s="9"/>
      <c r="J49" s="2153"/>
      <c r="K49" s="2154"/>
      <c r="L49" s="2154"/>
      <c r="M49" s="9"/>
      <c r="N49" s="1275"/>
      <c r="O49" s="9"/>
      <c r="P49" s="1275"/>
      <c r="Q49" s="1275"/>
      <c r="R49" s="1275"/>
      <c r="S49" s="2155"/>
      <c r="T49" s="2155"/>
      <c r="U49" s="2155"/>
      <c r="V49" s="2155"/>
    </row>
    <row r="50" spans="1:22" s="2156" customFormat="1" ht="18" customHeight="1">
      <c r="A50" s="2152"/>
      <c r="B50" s="2152"/>
      <c r="C50" s="1275"/>
      <c r="D50" s="1275"/>
      <c r="E50" s="1275"/>
      <c r="F50" s="1275"/>
      <c r="G50" s="1275"/>
      <c r="H50" s="9"/>
      <c r="I50" s="9"/>
      <c r="J50" s="2153"/>
      <c r="K50" s="2154"/>
      <c r="L50" s="2154"/>
      <c r="M50" s="9"/>
      <c r="N50" s="1275"/>
      <c r="O50" s="9"/>
      <c r="P50" s="1275"/>
      <c r="Q50" s="1275"/>
      <c r="R50" s="1275"/>
      <c r="S50" s="2155"/>
      <c r="T50" s="2155"/>
      <c r="U50" s="2155"/>
      <c r="V50" s="2155"/>
    </row>
    <row r="51" spans="1:22" s="2156" customFormat="1" ht="18" customHeight="1">
      <c r="A51" s="2152"/>
      <c r="B51" s="2152"/>
      <c r="C51" s="1275"/>
      <c r="D51" s="1275"/>
      <c r="E51" s="1275"/>
      <c r="F51" s="1275"/>
      <c r="G51" s="1275"/>
      <c r="H51" s="9"/>
      <c r="I51" s="9"/>
      <c r="J51" s="2153"/>
      <c r="K51" s="2154"/>
      <c r="L51" s="2154"/>
      <c r="M51" s="9"/>
      <c r="N51" s="1275"/>
      <c r="O51" s="9"/>
      <c r="P51" s="1275"/>
      <c r="Q51" s="1275"/>
      <c r="R51" s="1275"/>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H13" activePane="bottomRight" state="frozen"/>
      <selection activeCell="C50" sqref="C50"/>
      <selection pane="topRight" activeCell="C50" sqref="C50"/>
      <selection pane="bottomLeft" activeCell="C50" sqref="C50"/>
      <selection pane="bottomRight" activeCell="D22" sqref="D22"/>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1870</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2" t="s">
        <v>1871</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6" customFormat="1" ht="24">
      <c r="A2" s="11" t="s">
        <v>1872</v>
      </c>
      <c r="B2" s="11" t="s">
        <v>1873</v>
      </c>
      <c r="C2" s="11" t="s">
        <v>1874</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72" t="s">
        <v>1875</v>
      </c>
      <c r="AZ2" s="1273" t="s">
        <v>1876</v>
      </c>
      <c r="BA2" s="11" t="s">
        <v>1877</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f>Sheet1!A2</f>
        <v>114854.39999999999</v>
      </c>
      <c r="B3" s="14">
        <f>IF(C3="否",G5-AT5,G5)</f>
        <v>245839.80000000002</v>
      </c>
      <c r="C3" s="2167" t="s">
        <v>3056</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4"/>
      <c r="AZ3" s="1275"/>
      <c r="BA3" s="1276"/>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1878</v>
      </c>
      <c r="B5" s="1806"/>
      <c r="C5" s="1806"/>
      <c r="D5" s="1809"/>
      <c r="E5" s="16" t="s">
        <v>1</v>
      </c>
      <c r="F5" s="16">
        <f>SUM(F13:F587)</f>
        <v>0</v>
      </c>
      <c r="G5" s="16">
        <f>SUM(G13:G587)</f>
        <v>245839.80000000002</v>
      </c>
      <c r="H5" s="16">
        <f t="shared" ref="H5:AT5" si="0">SUM(H13:H656)</f>
        <v>229668.3</v>
      </c>
      <c r="I5" s="16">
        <f t="shared" si="0"/>
        <v>88010.479999999981</v>
      </c>
      <c r="J5" s="16">
        <f t="shared" si="0"/>
        <v>38065.799999999996</v>
      </c>
      <c r="K5" s="16">
        <f t="shared" si="0"/>
        <v>27150.61</v>
      </c>
      <c r="L5" s="16">
        <f t="shared" si="0"/>
        <v>0</v>
      </c>
      <c r="M5" s="16">
        <f t="shared" si="0"/>
        <v>54506.97</v>
      </c>
      <c r="N5" s="16">
        <f t="shared" si="0"/>
        <v>2298.38</v>
      </c>
      <c r="O5" s="16">
        <f t="shared" si="0"/>
        <v>58557.179999999993</v>
      </c>
      <c r="P5" s="16">
        <f t="shared" si="0"/>
        <v>0</v>
      </c>
      <c r="Q5" s="16">
        <f t="shared" si="0"/>
        <v>1443.06</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6471.5000000000009</v>
      </c>
      <c r="AD5" s="16">
        <f t="shared" si="0"/>
        <v>1784.89</v>
      </c>
      <c r="AE5" s="16">
        <f t="shared" si="0"/>
        <v>0</v>
      </c>
      <c r="AF5" s="16">
        <f t="shared" si="0"/>
        <v>0</v>
      </c>
      <c r="AG5" s="16">
        <f t="shared" si="0"/>
        <v>0</v>
      </c>
      <c r="AH5" s="16">
        <f t="shared" si="0"/>
        <v>167.85</v>
      </c>
      <c r="AI5" s="16">
        <f t="shared" si="0"/>
        <v>0</v>
      </c>
      <c r="AJ5" s="16">
        <f t="shared" si="0"/>
        <v>0</v>
      </c>
      <c r="AK5" s="16">
        <f t="shared" si="0"/>
        <v>0</v>
      </c>
      <c r="AL5" s="16">
        <f t="shared" si="0"/>
        <v>147.02000000000001</v>
      </c>
      <c r="AM5" s="16">
        <f t="shared" si="0"/>
        <v>0</v>
      </c>
      <c r="AN5" s="16">
        <f t="shared" si="0"/>
        <v>4371.74</v>
      </c>
      <c r="AO5" s="16">
        <f t="shared" si="0"/>
        <v>0</v>
      </c>
      <c r="AP5" s="16">
        <f t="shared" si="0"/>
        <v>0</v>
      </c>
      <c r="AQ5" s="16">
        <f t="shared" si="0"/>
        <v>0</v>
      </c>
      <c r="AR5" s="16">
        <f t="shared" si="0"/>
        <v>0</v>
      </c>
      <c r="AS5" s="16">
        <f t="shared" si="0"/>
        <v>0</v>
      </c>
      <c r="AT5" s="16">
        <f t="shared" si="0"/>
        <v>9700</v>
      </c>
      <c r="AU5" s="1805"/>
      <c r="AV5" s="15" t="s">
        <v>1878</v>
      </c>
      <c r="AW5" s="1806"/>
      <c r="AX5" s="1806"/>
      <c r="AY5" s="17" t="s">
        <v>3</v>
      </c>
      <c r="AZ5" s="18">
        <f t="shared" ref="AZ5:BT5" si="1">SUM(AZ13:AZ656)</f>
        <v>187098.36000000002</v>
      </c>
      <c r="BA5" s="18">
        <f t="shared" si="1"/>
        <v>180626.86</v>
      </c>
      <c r="BB5" s="18">
        <f t="shared" si="1"/>
        <v>41267.419999999991</v>
      </c>
      <c r="BC5" s="18">
        <f t="shared" si="1"/>
        <v>27150.61</v>
      </c>
      <c r="BD5" s="18">
        <f t="shared" si="1"/>
        <v>52208.590000000004</v>
      </c>
      <c r="BE5" s="18">
        <f t="shared" si="1"/>
        <v>58557.179999999993</v>
      </c>
      <c r="BF5" s="18">
        <f t="shared" si="1"/>
        <v>1443.06</v>
      </c>
      <c r="BG5" s="18">
        <f t="shared" si="1"/>
        <v>0</v>
      </c>
      <c r="BH5" s="18">
        <f t="shared" si="1"/>
        <v>0</v>
      </c>
      <c r="BI5" s="18">
        <f t="shared" si="1"/>
        <v>0</v>
      </c>
      <c r="BJ5" s="18">
        <f t="shared" si="1"/>
        <v>0</v>
      </c>
      <c r="BK5" s="18">
        <f t="shared" si="1"/>
        <v>0</v>
      </c>
      <c r="BL5" s="18">
        <f t="shared" si="1"/>
        <v>6471.5000000000009</v>
      </c>
      <c r="BM5" s="18">
        <f t="shared" si="1"/>
        <v>1784.89</v>
      </c>
      <c r="BN5" s="18">
        <f t="shared" si="1"/>
        <v>0</v>
      </c>
      <c r="BO5" s="18">
        <f t="shared" si="1"/>
        <v>167.85</v>
      </c>
      <c r="BP5" s="18">
        <f t="shared" si="1"/>
        <v>0</v>
      </c>
      <c r="BQ5" s="18">
        <f t="shared" si="1"/>
        <v>147.02000000000001</v>
      </c>
      <c r="BR5" s="18">
        <f t="shared" si="1"/>
        <v>4371.74</v>
      </c>
      <c r="BS5" s="18">
        <f t="shared" si="1"/>
        <v>0</v>
      </c>
      <c r="BT5" s="19">
        <f t="shared" si="1"/>
        <v>0</v>
      </c>
    </row>
    <row r="6" spans="1:72" s="2176" customFormat="1" ht="12.75">
      <c r="A6" s="15" t="s">
        <v>1879</v>
      </c>
      <c r="B6" s="2173"/>
      <c r="C6" s="2173"/>
      <c r="D6" s="2174"/>
      <c r="E6" s="16">
        <f>H6+AC6+AT6</f>
        <v>114854.41</v>
      </c>
      <c r="F6" s="16" t="s">
        <v>1</v>
      </c>
      <c r="G6" s="16" t="s">
        <v>2</v>
      </c>
      <c r="H6" s="20">
        <f>SUMIF(I$12:AB$12,"总值",I6:AB6)</f>
        <v>107299.21</v>
      </c>
      <c r="I6" s="16">
        <f t="shared" ref="I6:AB6" si="2">ROUND($A$3*I5/$B$3,2)</f>
        <v>41117.800000000003</v>
      </c>
      <c r="J6" s="16">
        <f t="shared" si="2"/>
        <v>17784.04</v>
      </c>
      <c r="K6" s="16">
        <f t="shared" si="2"/>
        <v>12684.55</v>
      </c>
      <c r="L6" s="16">
        <f t="shared" si="2"/>
        <v>0</v>
      </c>
      <c r="M6" s="16">
        <f t="shared" si="2"/>
        <v>25465.22</v>
      </c>
      <c r="N6" s="16">
        <f t="shared" si="2"/>
        <v>1073.78</v>
      </c>
      <c r="O6" s="16">
        <f t="shared" si="2"/>
        <v>27357.45</v>
      </c>
      <c r="P6" s="16">
        <f t="shared" si="2"/>
        <v>0</v>
      </c>
      <c r="Q6" s="16">
        <f t="shared" si="2"/>
        <v>674.19</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3023.44</v>
      </c>
      <c r="AD6" s="16">
        <f t="shared" ref="AD6:AS6" si="3">ROUND($A$3*AD5/$B$3,2)</f>
        <v>833.89</v>
      </c>
      <c r="AE6" s="16">
        <f t="shared" si="3"/>
        <v>0</v>
      </c>
      <c r="AF6" s="16">
        <f t="shared" si="3"/>
        <v>0</v>
      </c>
      <c r="AG6" s="16">
        <f t="shared" si="3"/>
        <v>0</v>
      </c>
      <c r="AH6" s="16">
        <f t="shared" si="3"/>
        <v>78.42</v>
      </c>
      <c r="AI6" s="16">
        <f t="shared" si="3"/>
        <v>0</v>
      </c>
      <c r="AJ6" s="16">
        <f t="shared" si="3"/>
        <v>0</v>
      </c>
      <c r="AK6" s="16">
        <f t="shared" si="3"/>
        <v>0</v>
      </c>
      <c r="AL6" s="16">
        <f t="shared" si="3"/>
        <v>68.69</v>
      </c>
      <c r="AM6" s="16">
        <f t="shared" si="3"/>
        <v>0</v>
      </c>
      <c r="AN6" s="16">
        <f t="shared" si="3"/>
        <v>2042.44</v>
      </c>
      <c r="AO6" s="16">
        <f t="shared" si="3"/>
        <v>0</v>
      </c>
      <c r="AP6" s="16">
        <f t="shared" si="3"/>
        <v>0</v>
      </c>
      <c r="AQ6" s="16">
        <f t="shared" si="3"/>
        <v>0</v>
      </c>
      <c r="AR6" s="16">
        <f t="shared" si="3"/>
        <v>0</v>
      </c>
      <c r="AS6" s="16">
        <f t="shared" si="3"/>
        <v>0</v>
      </c>
      <c r="AT6" s="20">
        <f>IF(C3="是",ROUND($A$3*AT5/$B$3,2),0)</f>
        <v>4531.76</v>
      </c>
      <c r="AU6" s="2175"/>
      <c r="AV6" s="15" t="s">
        <v>1879</v>
      </c>
      <c r="AW6" s="2173"/>
      <c r="AX6" s="2173"/>
      <c r="AY6" s="21">
        <f>IF(AY3&gt;0,AY3,ROUND($A$3*AZ5/$B$3,2))</f>
        <v>87410.87</v>
      </c>
      <c r="AZ6" s="16" t="s">
        <v>3</v>
      </c>
      <c r="BA6" s="16">
        <f>ROUND($AY$6*BA5/$AZ$5,2)</f>
        <v>84387.44</v>
      </c>
      <c r="BB6" s="16">
        <f>ROUND($AY$6*BB5/$AZ$5,2)</f>
        <v>19279.810000000001</v>
      </c>
      <c r="BC6" s="16">
        <f t="shared" ref="BC6:BH6" si="4">ROUND($AY$6*BC5/$AZ$5,2)</f>
        <v>12684.55</v>
      </c>
      <c r="BD6" s="16">
        <f t="shared" si="4"/>
        <v>24391.439999999999</v>
      </c>
      <c r="BE6" s="16">
        <f t="shared" si="4"/>
        <v>27357.45</v>
      </c>
      <c r="BF6" s="16">
        <f t="shared" si="4"/>
        <v>674.19</v>
      </c>
      <c r="BG6" s="16">
        <f t="shared" si="4"/>
        <v>0</v>
      </c>
      <c r="BH6" s="16">
        <f t="shared" si="4"/>
        <v>0</v>
      </c>
      <c r="BI6" s="16">
        <f t="shared" ref="BI6:BT6" si="5">ROUND($AY$6*BI5/$AZ$5,2)</f>
        <v>0</v>
      </c>
      <c r="BJ6" s="16">
        <f t="shared" si="5"/>
        <v>0</v>
      </c>
      <c r="BK6" s="16">
        <f t="shared" si="5"/>
        <v>0</v>
      </c>
      <c r="BL6" s="16">
        <f t="shared" si="5"/>
        <v>3023.43</v>
      </c>
      <c r="BM6" s="16">
        <f t="shared" si="5"/>
        <v>833.89</v>
      </c>
      <c r="BN6" s="16">
        <f t="shared" si="5"/>
        <v>0</v>
      </c>
      <c r="BO6" s="16">
        <f t="shared" si="5"/>
        <v>78.42</v>
      </c>
      <c r="BP6" s="16">
        <f t="shared" si="5"/>
        <v>0</v>
      </c>
      <c r="BQ6" s="16">
        <f t="shared" si="5"/>
        <v>68.69</v>
      </c>
      <c r="BR6" s="16">
        <f t="shared" si="5"/>
        <v>2042.44</v>
      </c>
      <c r="BS6" s="16">
        <f t="shared" si="5"/>
        <v>0</v>
      </c>
      <c r="BT6" s="22">
        <f t="shared" si="5"/>
        <v>0</v>
      </c>
    </row>
    <row r="7" spans="1:72" s="2166" customFormat="1" ht="24.75">
      <c r="A7" s="2108" t="s">
        <v>1880</v>
      </c>
      <c r="B7" s="2108" t="s">
        <v>1881</v>
      </c>
      <c r="C7" s="2108" t="s">
        <v>1882</v>
      </c>
      <c r="D7" s="2108" t="s">
        <v>1883</v>
      </c>
      <c r="E7" s="2108" t="s">
        <v>1884</v>
      </c>
      <c r="F7" s="2108" t="s">
        <v>1885</v>
      </c>
      <c r="G7" s="2177" t="s">
        <v>1886</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9"/>
      <c r="AU7" s="2178" t="s">
        <v>1887</v>
      </c>
      <c r="AV7" s="23" t="s">
        <v>1888</v>
      </c>
      <c r="AW7" s="2165" t="s">
        <v>1889</v>
      </c>
      <c r="AX7" s="23" t="s">
        <v>1882</v>
      </c>
      <c r="AY7" s="1806" t="s">
        <v>1890</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1891</v>
      </c>
      <c r="H8" s="2183" t="s">
        <v>1892</v>
      </c>
      <c r="I8" s="2184"/>
      <c r="J8" s="1821"/>
      <c r="K8" s="1821"/>
      <c r="L8" s="1821"/>
      <c r="M8" s="1821"/>
      <c r="N8" s="1821"/>
      <c r="O8" s="1821"/>
      <c r="P8" s="1821"/>
      <c r="Q8" s="1821"/>
      <c r="R8" s="1821"/>
      <c r="S8" s="1821"/>
      <c r="T8" s="1821"/>
      <c r="U8" s="1821"/>
      <c r="V8" s="2185"/>
      <c r="W8" s="1821"/>
      <c r="X8" s="1821"/>
      <c r="Y8" s="1821"/>
      <c r="Z8" s="1821"/>
      <c r="AA8" s="2185"/>
      <c r="AB8" s="2186"/>
      <c r="AC8" s="984" t="s">
        <v>1893</v>
      </c>
      <c r="AD8" s="2187"/>
      <c r="AE8" s="2179"/>
      <c r="AF8" s="1821"/>
      <c r="AG8" s="1821"/>
      <c r="AH8" s="1821"/>
      <c r="AI8" s="1821"/>
      <c r="AJ8" s="1821"/>
      <c r="AK8" s="1821"/>
      <c r="AL8" s="1821"/>
      <c r="AM8" s="1821"/>
      <c r="AN8" s="1821"/>
      <c r="AO8" s="1821"/>
      <c r="AP8" s="1821"/>
      <c r="AQ8" s="1821"/>
      <c r="AR8" s="1821"/>
      <c r="AS8" s="1821"/>
      <c r="AT8" s="1295" t="s">
        <v>1894</v>
      </c>
      <c r="AU8" s="2181" t="s">
        <v>1895</v>
      </c>
      <c r="AV8" s="1295"/>
      <c r="AW8" s="2164"/>
      <c r="AX8" s="1295"/>
      <c r="AY8" s="2165" t="s">
        <v>1896</v>
      </c>
      <c r="AZ8" s="1820" t="s">
        <v>1897</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8" customFormat="1" ht="12.75">
      <c r="A9" s="2181"/>
      <c r="B9" s="2181"/>
      <c r="C9" s="2181"/>
      <c r="D9" s="2181"/>
      <c r="E9" s="2181"/>
      <c r="F9" s="2181"/>
      <c r="G9" s="1295"/>
      <c r="H9" s="2189" t="s">
        <v>1898</v>
      </c>
      <c r="I9" s="2190" t="s">
        <v>3048</v>
      </c>
      <c r="J9" s="984"/>
      <c r="K9" s="2190" t="s">
        <v>3048</v>
      </c>
      <c r="L9" s="984"/>
      <c r="M9" s="2190" t="s">
        <v>3048</v>
      </c>
      <c r="N9" s="984"/>
      <c r="O9" s="2190" t="s">
        <v>3088</v>
      </c>
      <c r="P9" s="984"/>
      <c r="Q9" s="2190" t="s">
        <v>3048</v>
      </c>
      <c r="R9" s="984"/>
      <c r="S9" s="2190" t="s">
        <v>70</v>
      </c>
      <c r="T9" s="984"/>
      <c r="U9" s="2190"/>
      <c r="V9" s="984"/>
      <c r="W9" s="2190"/>
      <c r="X9" s="2191"/>
      <c r="Y9" s="2190"/>
      <c r="Z9" s="984"/>
      <c r="AA9" s="2190"/>
      <c r="AB9" s="984"/>
      <c r="AC9" s="2182"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2"/>
      <c r="AT9" s="2181"/>
      <c r="AU9" s="2181" t="s">
        <v>1901</v>
      </c>
      <c r="AV9" s="1295"/>
      <c r="AW9" s="2164"/>
      <c r="AX9" s="1295"/>
      <c r="AY9" s="28"/>
      <c r="AZ9" s="28" t="s">
        <v>1891</v>
      </c>
      <c r="BA9" s="2193" t="s">
        <v>1902</v>
      </c>
      <c r="BB9" s="2194"/>
      <c r="BC9" s="1341"/>
      <c r="BD9" s="1341"/>
      <c r="BE9" s="1341"/>
      <c r="BF9" s="1341"/>
      <c r="BG9" s="1341"/>
      <c r="BH9" s="1341"/>
      <c r="BI9" s="1341"/>
      <c r="BJ9" s="1341"/>
      <c r="BK9" s="2195"/>
      <c r="BL9" s="15" t="s">
        <v>1903</v>
      </c>
      <c r="BM9" s="1821"/>
      <c r="BN9" s="2184"/>
      <c r="BO9" s="1821"/>
      <c r="BP9" s="1821"/>
      <c r="BQ9" s="1821"/>
      <c r="BR9" s="1821"/>
      <c r="BS9" s="1821"/>
      <c r="BT9" s="26"/>
    </row>
    <row r="10" spans="1:72" s="2188" customFormat="1" ht="12.75">
      <c r="A10" s="2181"/>
      <c r="B10" s="2181"/>
      <c r="C10" s="2181"/>
      <c r="D10" s="2181"/>
      <c r="E10" s="2181"/>
      <c r="F10" s="2181"/>
      <c r="G10" s="1295"/>
      <c r="H10" s="28"/>
      <c r="I10" s="2190" t="s">
        <v>3086</v>
      </c>
      <c r="J10" s="984"/>
      <c r="K10" s="2196" t="s">
        <v>3086</v>
      </c>
      <c r="L10" s="984"/>
      <c r="M10" s="2196" t="s">
        <v>3086</v>
      </c>
      <c r="N10" s="984"/>
      <c r="O10" s="2196" t="s">
        <v>3085</v>
      </c>
      <c r="P10" s="984"/>
      <c r="Q10" s="2196" t="s">
        <v>1377</v>
      </c>
      <c r="R10" s="984"/>
      <c r="S10" s="2196" t="s">
        <v>70</v>
      </c>
      <c r="T10" s="984"/>
      <c r="U10" s="2196"/>
      <c r="V10" s="984"/>
      <c r="W10" s="2196"/>
      <c r="X10" s="984"/>
      <c r="Y10" s="2196"/>
      <c r="Z10" s="984"/>
      <c r="AA10" s="2196"/>
      <c r="AB10" s="984"/>
      <c r="AC10" s="1295"/>
      <c r="AD10" s="15" t="s">
        <v>1904</v>
      </c>
      <c r="AE10" s="2197"/>
      <c r="AF10" s="15" t="s">
        <v>1904</v>
      </c>
      <c r="AG10" s="2197"/>
      <c r="AH10" s="15" t="s">
        <v>1905</v>
      </c>
      <c r="AI10" s="2197"/>
      <c r="AJ10" s="15" t="s">
        <v>1905</v>
      </c>
      <c r="AK10" s="2197"/>
      <c r="AL10" s="15" t="s">
        <v>1906</v>
      </c>
      <c r="AM10" s="1301"/>
      <c r="AN10" s="15" t="s">
        <v>1906</v>
      </c>
      <c r="AO10" s="1301"/>
      <c r="AP10" s="15" t="s">
        <v>1907</v>
      </c>
      <c r="AQ10" s="1301"/>
      <c r="AR10" s="15" t="s">
        <v>1907</v>
      </c>
      <c r="AS10" s="1301"/>
      <c r="AT10" s="2181"/>
      <c r="AU10" s="2181"/>
      <c r="AV10" s="1295"/>
      <c r="AW10" s="2164"/>
      <c r="AX10" s="1295"/>
      <c r="AY10" s="28"/>
      <c r="AZ10" s="28"/>
      <c r="BA10" s="2198" t="s">
        <v>1898</v>
      </c>
      <c r="BB10" s="2199" t="str">
        <f>I9</f>
        <v>地上</v>
      </c>
      <c r="BC10" s="29" t="str">
        <f>K9</f>
        <v>地上</v>
      </c>
      <c r="BD10" s="29" t="str">
        <f>M9</f>
        <v>地上</v>
      </c>
      <c r="BE10" s="29" t="str">
        <f>O9</f>
        <v>地下</v>
      </c>
      <c r="BF10" s="29" t="str">
        <f>Q9</f>
        <v>地上</v>
      </c>
      <c r="BG10" s="29" t="str">
        <f>S9</f>
        <v>——</v>
      </c>
      <c r="BH10" s="29">
        <f>U9</f>
        <v>0</v>
      </c>
      <c r="BI10" s="29">
        <f>W9</f>
        <v>0</v>
      </c>
      <c r="BJ10" s="29">
        <f>Y9</f>
        <v>0</v>
      </c>
      <c r="BK10" s="29">
        <f>AA9</f>
        <v>0</v>
      </c>
      <c r="BL10" s="25" t="s">
        <v>1898</v>
      </c>
      <c r="BM10" s="1820" t="str">
        <f>AD9</f>
        <v>地上</v>
      </c>
      <c r="BN10" s="29" t="str">
        <f>AF9</f>
        <v>地下</v>
      </c>
      <c r="BO10" s="1820" t="str">
        <f>AH9</f>
        <v>地上</v>
      </c>
      <c r="BP10" s="29" t="str">
        <f>AJ9</f>
        <v>地下</v>
      </c>
      <c r="BQ10" s="1820" t="str">
        <f>AL9</f>
        <v>地上</v>
      </c>
      <c r="BR10" s="29" t="str">
        <f>AN9</f>
        <v>地下</v>
      </c>
      <c r="BS10" s="1820" t="str">
        <f>AP9</f>
        <v>地上</v>
      </c>
      <c r="BT10" s="2200" t="str">
        <f>AR9</f>
        <v>地下</v>
      </c>
    </row>
    <row r="11" spans="1:72" s="2188" customFormat="1" ht="12.75">
      <c r="A11" s="2181"/>
      <c r="B11" s="2181"/>
      <c r="C11" s="2181"/>
      <c r="D11" s="2181"/>
      <c r="E11" s="2181"/>
      <c r="F11" s="2181"/>
      <c r="G11" s="1295"/>
      <c r="H11" s="2198"/>
      <c r="I11" s="2201" t="s">
        <v>3087</v>
      </c>
      <c r="J11" s="2202"/>
      <c r="K11" s="2201" t="s">
        <v>3119</v>
      </c>
      <c r="L11" s="2202"/>
      <c r="M11" s="2201" t="s">
        <v>3189</v>
      </c>
      <c r="N11" s="2202"/>
      <c r="O11" s="2201" t="s">
        <v>3085</v>
      </c>
      <c r="P11" s="2202"/>
      <c r="Q11" s="2201" t="s">
        <v>3057</v>
      </c>
      <c r="R11" s="2202"/>
      <c r="S11" s="2201" t="s">
        <v>70</v>
      </c>
      <c r="T11" s="2202"/>
      <c r="U11" s="2201"/>
      <c r="V11" s="2202"/>
      <c r="W11" s="2201"/>
      <c r="X11" s="2202"/>
      <c r="Y11" s="2201"/>
      <c r="Z11" s="2202"/>
      <c r="AA11" s="2201"/>
      <c r="AB11" s="2202"/>
      <c r="AC11" s="1295"/>
      <c r="AD11" s="2203" t="s">
        <v>1908</v>
      </c>
      <c r="AE11" s="1822"/>
      <c r="AF11" s="2203" t="s">
        <v>1908</v>
      </c>
      <c r="AG11" s="1822"/>
      <c r="AH11" s="2203" t="s">
        <v>1909</v>
      </c>
      <c r="AI11" s="2204"/>
      <c r="AJ11" s="2203" t="s">
        <v>1909</v>
      </c>
      <c r="AK11" s="1822"/>
      <c r="AL11" s="1820"/>
      <c r="AM11" s="1822"/>
      <c r="AN11" s="1820"/>
      <c r="AO11" s="1822"/>
      <c r="AP11" s="1820"/>
      <c r="AQ11" s="1822"/>
      <c r="AR11" s="1820"/>
      <c r="AS11" s="1822"/>
      <c r="AT11" s="2164"/>
      <c r="AU11" s="2181"/>
      <c r="AV11" s="1295"/>
      <c r="AW11" s="2164"/>
      <c r="AX11" s="1295"/>
      <c r="AY11" s="28"/>
      <c r="AZ11" s="28"/>
      <c r="BA11" s="28"/>
      <c r="BB11" s="2186" t="str">
        <f>I10</f>
        <v>住宅</v>
      </c>
      <c r="BC11" s="2186" t="str">
        <f>K10</f>
        <v>住宅</v>
      </c>
      <c r="BD11" s="2186" t="str">
        <f>M10</f>
        <v>住宅</v>
      </c>
      <c r="BE11" s="2186" t="str">
        <f>O10</f>
        <v>车库</v>
      </c>
      <c r="BF11" s="2186" t="str">
        <f>Q10</f>
        <v>商业</v>
      </c>
      <c r="BG11" s="2186" t="str">
        <f>S10</f>
        <v>——</v>
      </c>
      <c r="BH11" s="2186">
        <f>U10</f>
        <v>0</v>
      </c>
      <c r="BI11" s="2186">
        <f>W10</f>
        <v>0</v>
      </c>
      <c r="BJ11" s="2186">
        <f>Y10</f>
        <v>0</v>
      </c>
      <c r="BK11" s="2186">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9"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5" t="s">
        <v>1911</v>
      </c>
      <c r="W12" s="11" t="s">
        <v>1910</v>
      </c>
      <c r="X12" s="11" t="s">
        <v>1911</v>
      </c>
      <c r="Y12" s="11" t="s">
        <v>1910</v>
      </c>
      <c r="Z12" s="11" t="s">
        <v>1911</v>
      </c>
      <c r="AA12" s="11" t="s">
        <v>1910</v>
      </c>
      <c r="AB12" s="11" t="s">
        <v>1911</v>
      </c>
      <c r="AC12" s="2208"/>
      <c r="AD12" s="1809"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6" t="s">
        <v>1911</v>
      </c>
      <c r="AT12" s="2209"/>
      <c r="AU12" s="2206"/>
      <c r="AV12" s="31"/>
      <c r="AW12" s="2165"/>
      <c r="AX12" s="31"/>
      <c r="AY12" s="2210"/>
      <c r="AZ12" s="28"/>
      <c r="BA12" s="2198"/>
      <c r="BB12" s="24" t="str">
        <f>I11</f>
        <v>普通住宅</v>
      </c>
      <c r="BC12" s="2211" t="str">
        <f>K11</f>
        <v>叠拼</v>
      </c>
      <c r="BD12" s="2211" t="str">
        <f>M11</f>
        <v>联排</v>
      </c>
      <c r="BE12" s="2186" t="str">
        <f>O11</f>
        <v>车库</v>
      </c>
      <c r="BF12" s="2186" t="str">
        <f>Q11</f>
        <v>底商</v>
      </c>
      <c r="BG12" s="2186" t="str">
        <f>S11</f>
        <v>——</v>
      </c>
      <c r="BH12" s="2186">
        <f>U11</f>
        <v>0</v>
      </c>
      <c r="BI12" s="2186">
        <f>W11</f>
        <v>0</v>
      </c>
      <c r="BJ12" s="2186">
        <f>Y11</f>
        <v>0</v>
      </c>
      <c r="BK12" s="2186">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5">
        <f>AR11</f>
        <v>0</v>
      </c>
    </row>
    <row r="13" spans="1:72" s="2166" customFormat="1" ht="12.75">
      <c r="A13" s="1275"/>
      <c r="B13" s="1275"/>
      <c r="C13" s="2955" t="s">
        <v>3180</v>
      </c>
      <c r="D13" s="2212" t="s">
        <v>3056</v>
      </c>
      <c r="E13" s="16">
        <f>IF($C$3="是",ROUND($A$3*G13/$B$3,2),ROUND($A$3*(G13-AT13)/$B$3,2))</f>
        <v>37063.85</v>
      </c>
      <c r="F13" s="32"/>
      <c r="G13" s="33">
        <f>H13+AC13+AT13</f>
        <v>79333.219999999987</v>
      </c>
      <c r="H13" s="20">
        <f>SUMIF(I$12:AB$12,"总值",I13:AB13)</f>
        <v>79333.219999999987</v>
      </c>
      <c r="I13" s="2213">
        <f>Sheet1!E1-Sheet1!E6</f>
        <v>79333.219999999987</v>
      </c>
      <c r="J13" s="2213">
        <f>Sheet1!R1</f>
        <v>38065.799999999996</v>
      </c>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高层住宅</v>
      </c>
      <c r="AY13" s="1809">
        <f>ROUND($AY$6*AZ13/$AZ$5,2)</f>
        <v>19279.810000000001</v>
      </c>
      <c r="AZ13" s="16">
        <f>BA13+BL13</f>
        <v>41267.419999999991</v>
      </c>
      <c r="BA13" s="16">
        <f>SUM(BB13:BK13)</f>
        <v>41267.419999999991</v>
      </c>
      <c r="BB13" s="16">
        <f>IF($D13="是",I13-J13,0)</f>
        <v>41267.419999999991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5"/>
      <c r="B14" s="1275"/>
      <c r="C14" s="2956" t="s">
        <v>3182</v>
      </c>
      <c r="D14" s="2212" t="s">
        <v>3056</v>
      </c>
      <c r="E14" s="16">
        <f>IF($C$3="是",ROUND($A$3*G14/$B$3,2),ROUND($A$3*(G14-AT14)/$B$3,2))</f>
        <v>12684.55</v>
      </c>
      <c r="F14" s="32"/>
      <c r="G14" s="33">
        <f>H14+AC14+AT14</f>
        <v>27150.61</v>
      </c>
      <c r="H14" s="20">
        <f>SUMIF(I$12:AB$12,"总值",I14:AB14)</f>
        <v>27150.61</v>
      </c>
      <c r="I14" s="2213"/>
      <c r="J14" s="2213"/>
      <c r="K14" s="2213">
        <f>Sheet1!G1</f>
        <v>27150.61</v>
      </c>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t="str">
        <f t="shared" si="6"/>
        <v>叠拼住宅</v>
      </c>
      <c r="AY14" s="1809">
        <f>ROUND($AY$6*AZ14/$AZ$5,2)</f>
        <v>12684.55</v>
      </c>
      <c r="AZ14" s="16">
        <f>BA14+BL14</f>
        <v>27150.61</v>
      </c>
      <c r="BA14" s="16">
        <f>SUM(BB14:BK14)</f>
        <v>27150.61</v>
      </c>
      <c r="BB14" s="16">
        <f>IF($D14="是",I14-J14,0)</f>
        <v>0</v>
      </c>
      <c r="BC14" s="16">
        <f>IF($D14="是",K14-L14,0)</f>
        <v>27150.61</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5"/>
      <c r="B15" s="1275"/>
      <c r="C15" s="2956" t="s">
        <v>3183</v>
      </c>
      <c r="D15" s="2212" t="s">
        <v>3056</v>
      </c>
      <c r="E15" s="16">
        <f>IF($C$3="是",ROUND($A$3*G15/$B$3,2),ROUND($A$3*(G15-AT15)/$B$3,2))</f>
        <v>25465.22</v>
      </c>
      <c r="F15" s="32"/>
      <c r="G15" s="33">
        <f>H15+AC15+AT15</f>
        <v>54506.97</v>
      </c>
      <c r="H15" s="20">
        <f>SUMIF(I$12:AB$12,"总值",I15:AB15)</f>
        <v>54506.97</v>
      </c>
      <c r="I15" s="2213"/>
      <c r="J15" s="2213"/>
      <c r="K15" s="2213"/>
      <c r="L15" s="2213"/>
      <c r="M15" s="2213">
        <f>Sheet1!F1</f>
        <v>54506.97</v>
      </c>
      <c r="N15" s="2213">
        <f>Sheet1!S1</f>
        <v>2298.38</v>
      </c>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t="str">
        <f t="shared" si="6"/>
        <v>联列住宅</v>
      </c>
      <c r="AY15" s="1809">
        <f>ROUND($AY$6*AZ15/$AZ$5,2)</f>
        <v>24391.439999999999</v>
      </c>
      <c r="AZ15" s="16">
        <f>BA15+BL15</f>
        <v>52208.590000000004</v>
      </c>
      <c r="BA15" s="16">
        <f>SUM(BB15:BK15)</f>
        <v>52208.590000000004</v>
      </c>
      <c r="BB15" s="16">
        <f>IF($D15="是",I15-J15,0)</f>
        <v>0</v>
      </c>
      <c r="BC15" s="16">
        <f>IF($D15="是",K15-L15,0)</f>
        <v>0</v>
      </c>
      <c r="BD15" s="16">
        <f>IF($D15="是",M15-N15,0)</f>
        <v>52208.590000000004</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5"/>
      <c r="B16" s="1275"/>
      <c r="C16" s="2956" t="s">
        <v>3184</v>
      </c>
      <c r="D16" s="2212" t="s">
        <v>3056</v>
      </c>
      <c r="E16" s="16">
        <f>IF($C$3="是",ROUND($A$3*G16/$B$3,2),ROUND($A$3*(G16-AT16)/$B$3,2))</f>
        <v>674.19</v>
      </c>
      <c r="F16" s="32"/>
      <c r="G16" s="33">
        <f>H16+AC16+AT16</f>
        <v>1443.06</v>
      </c>
      <c r="H16" s="20">
        <f>SUMIF(I$12:AB$12,"总值",I16:AB16)</f>
        <v>1443.06</v>
      </c>
      <c r="I16" s="2213"/>
      <c r="J16" s="2213"/>
      <c r="K16" s="2213"/>
      <c r="L16" s="2213"/>
      <c r="M16" s="2213"/>
      <c r="N16" s="2213"/>
      <c r="O16" s="2213"/>
      <c r="P16" s="2213"/>
      <c r="Q16" s="2213">
        <f>Sheet1!H1</f>
        <v>1443.06</v>
      </c>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t="str">
        <f t="shared" si="6"/>
        <v>商业</v>
      </c>
      <c r="AY16" s="1809">
        <f>ROUND($AY$6*AZ16/$AZ$5,2)</f>
        <v>674.19</v>
      </c>
      <c r="AZ16" s="16">
        <f>BA16+BL16</f>
        <v>1443.06</v>
      </c>
      <c r="BA16" s="16">
        <f>SUM(BB16:BK16)</f>
        <v>1443.06</v>
      </c>
      <c r="BB16" s="16">
        <f>IF($D16="是",I16-J16,0)</f>
        <v>0</v>
      </c>
      <c r="BC16" s="16">
        <f>IF($D16="是",K16-L16,0)</f>
        <v>0</v>
      </c>
      <c r="BD16" s="16">
        <f>IF($D16="是",M16-N16,0)</f>
        <v>0</v>
      </c>
      <c r="BE16" s="16">
        <f>IF($D16="是",O16-P16,0)</f>
        <v>0</v>
      </c>
      <c r="BF16" s="16">
        <f>IF($D16="是",Q16-R16,0)</f>
        <v>1443.06</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5"/>
      <c r="B17" s="1275"/>
      <c r="C17" s="2956" t="s">
        <v>3185</v>
      </c>
      <c r="D17" s="2212" t="s">
        <v>3056</v>
      </c>
      <c r="E17" s="16">
        <f>IF($C$3="是",ROUND($A$3*G17/$B$3,2),ROUND($A$3*(G17-AT17)/$B$3,2))</f>
        <v>27357.45</v>
      </c>
      <c r="F17" s="32"/>
      <c r="G17" s="33">
        <f>H17+AC17+AT17</f>
        <v>58557.179999999993</v>
      </c>
      <c r="H17" s="20">
        <f>SUMIF(I$12:AB$12,"总值",I17:AB17)</f>
        <v>58557.179999999993</v>
      </c>
      <c r="I17" s="2213"/>
      <c r="J17" s="2213"/>
      <c r="K17" s="2213"/>
      <c r="L17" s="2213"/>
      <c r="M17" s="2213"/>
      <c r="N17" s="2213"/>
      <c r="O17" s="2213">
        <f>Sheet1!M1-9700</f>
        <v>58557.179999999993</v>
      </c>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t="str">
        <f t="shared" si="6"/>
        <v>地下车库</v>
      </c>
      <c r="AY17" s="1809">
        <f>ROUND($AY$6*AZ17/$AZ$5,2)</f>
        <v>27357.45</v>
      </c>
      <c r="AZ17" s="16">
        <f>BA17+BL17</f>
        <v>58557.179999999993</v>
      </c>
      <c r="BA17" s="16">
        <f>SUM(BB17:BK17)</f>
        <v>58557.179999999993</v>
      </c>
      <c r="BB17" s="16">
        <f>IF($D17="是",I17-J17,0)</f>
        <v>0</v>
      </c>
      <c r="BC17" s="16">
        <f>IF($D17="是",K17-L17,0)</f>
        <v>0</v>
      </c>
      <c r="BD17" s="16">
        <f>IF($D17="是",M17-N17,0)</f>
        <v>0</v>
      </c>
      <c r="BE17" s="16">
        <f>IF($D17="是",O17-P17,0)</f>
        <v>58557.179999999993</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57" t="s">
        <v>3186</v>
      </c>
      <c r="D18" s="2217" t="s">
        <v>3056</v>
      </c>
      <c r="E18" s="35">
        <f t="shared" ref="E18:E112" si="7">IF($C$3="是",ROUND($A$3*G18/$B$3,2),ROUND($A$3*(G18-AT18)/$B$3,2))</f>
        <v>2111.13</v>
      </c>
      <c r="F18" s="36"/>
      <c r="G18" s="37">
        <f t="shared" ref="G18:G109" si="8">H18+AC18+AT18</f>
        <v>4518.76</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4518.76</v>
      </c>
      <c r="AD18" s="40"/>
      <c r="AE18" s="40"/>
      <c r="AF18" s="40"/>
      <c r="AG18" s="40"/>
      <c r="AH18" s="40"/>
      <c r="AI18" s="40"/>
      <c r="AJ18" s="40"/>
      <c r="AK18" s="40"/>
      <c r="AL18" s="40">
        <f>Sheet1!J1</f>
        <v>147.02000000000001</v>
      </c>
      <c r="AM18" s="40"/>
      <c r="AN18" s="40">
        <f>Sheet1!I1</f>
        <v>4371.74</v>
      </c>
      <c r="AO18" s="40"/>
      <c r="AP18" s="40"/>
      <c r="AQ18" s="40"/>
      <c r="AR18" s="40"/>
      <c r="AS18" s="40"/>
      <c r="AT18" s="41"/>
      <c r="AU18" s="2218"/>
      <c r="AV18" s="1798">
        <f t="shared" ref="AV18:AV112" si="11">A18</f>
        <v>0</v>
      </c>
      <c r="AW18" s="1798">
        <f t="shared" ref="AW18:AW112" si="12">B18</f>
        <v>0</v>
      </c>
      <c r="AX18" s="1798" t="str">
        <f t="shared" ref="AX18:AX112" si="13">C18</f>
        <v>设备用房</v>
      </c>
      <c r="AY18" s="42">
        <f t="shared" ref="AY18:AY109" si="14">ROUND($AY$6*AZ18/$AZ$5,2)</f>
        <v>2111.13</v>
      </c>
      <c r="AZ18" s="35">
        <f t="shared" ref="AZ18:AZ109" si="15">BA18+BL18</f>
        <v>4518.76</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4518.76</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147.02000000000001</v>
      </c>
      <c r="BR18" s="35">
        <f t="shared" ref="BR18:BR109" si="33">IF($D18="是",AN18-AO18,0)</f>
        <v>4371.74</v>
      </c>
      <c r="BS18" s="35">
        <f t="shared" ref="BS18:BS109" si="34">IF($D18="是",AP18-AQ18,0)</f>
        <v>0</v>
      </c>
      <c r="BT18" s="43">
        <f t="shared" ref="BT18:BT109" si="35">IF($D18="是",AR18-AS18,0)</f>
        <v>0</v>
      </c>
    </row>
    <row r="19" spans="1:72">
      <c r="A19" s="9"/>
      <c r="B19" s="34"/>
      <c r="C19" s="2957" t="s">
        <v>3187</v>
      </c>
      <c r="D19" s="2217" t="s">
        <v>3056</v>
      </c>
      <c r="E19" s="35">
        <f t="shared" si="7"/>
        <v>78.42</v>
      </c>
      <c r="F19" s="36"/>
      <c r="G19" s="37">
        <f t="shared" si="8"/>
        <v>167.85</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167.85</v>
      </c>
      <c r="AD19" s="40"/>
      <c r="AE19" s="40"/>
      <c r="AF19" s="40"/>
      <c r="AG19" s="40"/>
      <c r="AH19" s="40">
        <f>Sheet1!L1</f>
        <v>167.85</v>
      </c>
      <c r="AI19" s="40"/>
      <c r="AJ19" s="40"/>
      <c r="AK19" s="40"/>
      <c r="AL19" s="40"/>
      <c r="AM19" s="40"/>
      <c r="AN19" s="40"/>
      <c r="AO19" s="40"/>
      <c r="AP19" s="40"/>
      <c r="AQ19" s="40"/>
      <c r="AR19" s="40"/>
      <c r="AS19" s="40"/>
      <c r="AT19" s="41"/>
      <c r="AU19" s="2218"/>
      <c r="AV19" s="1798">
        <f t="shared" si="11"/>
        <v>0</v>
      </c>
      <c r="AW19" s="1798">
        <f t="shared" si="12"/>
        <v>0</v>
      </c>
      <c r="AX19" s="1798" t="str">
        <f t="shared" si="13"/>
        <v>物业服务</v>
      </c>
      <c r="AY19" s="42">
        <f t="shared" si="14"/>
        <v>78.42</v>
      </c>
      <c r="AZ19" s="35">
        <f t="shared" si="15"/>
        <v>167.85</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167.85</v>
      </c>
      <c r="BM19" s="35">
        <f t="shared" si="28"/>
        <v>0</v>
      </c>
      <c r="BN19" s="35">
        <f t="shared" si="29"/>
        <v>0</v>
      </c>
      <c r="BO19" s="35">
        <f t="shared" si="30"/>
        <v>167.85</v>
      </c>
      <c r="BP19" s="35">
        <f t="shared" si="31"/>
        <v>0</v>
      </c>
      <c r="BQ19" s="35">
        <f t="shared" si="32"/>
        <v>0</v>
      </c>
      <c r="BR19" s="35">
        <f t="shared" si="33"/>
        <v>0</v>
      </c>
      <c r="BS19" s="35">
        <f t="shared" si="34"/>
        <v>0</v>
      </c>
      <c r="BT19" s="43">
        <f t="shared" si="35"/>
        <v>0</v>
      </c>
    </row>
    <row r="20" spans="1:72">
      <c r="A20" s="9"/>
      <c r="B20" s="34"/>
      <c r="C20" s="2957" t="s">
        <v>3188</v>
      </c>
      <c r="D20" s="2217" t="s">
        <v>3056</v>
      </c>
      <c r="E20" s="35">
        <f t="shared" si="7"/>
        <v>833.89</v>
      </c>
      <c r="F20" s="36"/>
      <c r="G20" s="37">
        <f t="shared" si="8"/>
        <v>1784.89</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1784.89</v>
      </c>
      <c r="AD20" s="40">
        <f>Sheet1!K1</f>
        <v>1784.89</v>
      </c>
      <c r="AE20" s="40"/>
      <c r="AF20" s="40"/>
      <c r="AG20" s="40"/>
      <c r="AH20" s="40"/>
      <c r="AI20" s="40"/>
      <c r="AJ20" s="40"/>
      <c r="AK20" s="40"/>
      <c r="AL20" s="40"/>
      <c r="AM20" s="40"/>
      <c r="AN20" s="40"/>
      <c r="AO20" s="40"/>
      <c r="AP20" s="40"/>
      <c r="AQ20" s="40"/>
      <c r="AR20" s="40"/>
      <c r="AS20" s="40"/>
      <c r="AT20" s="41"/>
      <c r="AU20" s="2218"/>
      <c r="AV20" s="1798">
        <f t="shared" si="11"/>
        <v>0</v>
      </c>
      <c r="AW20" s="1798">
        <f t="shared" si="12"/>
        <v>0</v>
      </c>
      <c r="AX20" s="1798" t="str">
        <f t="shared" si="13"/>
        <v>配套</v>
      </c>
      <c r="AY20" s="42">
        <f t="shared" si="14"/>
        <v>833.89</v>
      </c>
      <c r="AZ20" s="35">
        <f t="shared" si="15"/>
        <v>1784.89</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1784.89</v>
      </c>
      <c r="BM20" s="35">
        <f t="shared" si="28"/>
        <v>1784.89</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2957" t="s">
        <v>3290</v>
      </c>
      <c r="D21" s="2217" t="s">
        <v>3056</v>
      </c>
      <c r="E21" s="35">
        <f t="shared" si="7"/>
        <v>4531.76</v>
      </c>
      <c r="F21" s="36"/>
      <c r="G21" s="37">
        <f t="shared" si="8"/>
        <v>9700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v>9700</v>
      </c>
      <c r="AU21" s="2218"/>
      <c r="AV21" s="1798">
        <f t="shared" si="11"/>
        <v>0</v>
      </c>
      <c r="AW21" s="1798">
        <f t="shared" si="12"/>
        <v>0</v>
      </c>
      <c r="AX21" s="1798" t="str">
        <f t="shared" si="13"/>
        <v>人防</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2957" t="s">
        <v>3291</v>
      </c>
      <c r="D22" s="2217" t="s">
        <v>3292</v>
      </c>
      <c r="E22" s="35">
        <f t="shared" si="7"/>
        <v>4053.95</v>
      </c>
      <c r="F22" s="36"/>
      <c r="G22" s="37">
        <f t="shared" si="8"/>
        <v>8677.26</v>
      </c>
      <c r="H22" s="38">
        <f t="shared" si="9"/>
        <v>8677.26</v>
      </c>
      <c r="I22" s="39">
        <f>Sheet1!E6</f>
        <v>8677.26</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8">
        <f t="shared" si="11"/>
        <v>0</v>
      </c>
      <c r="AW22" s="1798">
        <f t="shared" si="12"/>
        <v>0</v>
      </c>
      <c r="AX22" s="1798" t="str">
        <f t="shared" si="13"/>
        <v>安置房</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6" sqref="G26"/>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1937</v>
      </c>
      <c r="B1" s="1395"/>
      <c r="C1" s="1395"/>
      <c r="D1" s="1395"/>
      <c r="E1" s="1395"/>
      <c r="F1" s="1395"/>
      <c r="G1" s="1395"/>
      <c r="H1" s="1395"/>
      <c r="I1" s="1395"/>
      <c r="J1" s="1395"/>
      <c r="K1" s="1395"/>
      <c r="L1" s="1395"/>
      <c r="M1" s="1395"/>
      <c r="N1" s="1395"/>
      <c r="O1" s="1395"/>
      <c r="P1" s="1395"/>
    </row>
    <row r="2" spans="1:16" ht="15">
      <c r="A2" s="3070" t="s">
        <v>1938</v>
      </c>
      <c r="B2" s="3070"/>
      <c r="C2" s="3070"/>
      <c r="D2" s="970" t="s">
        <v>1914</v>
      </c>
      <c r="E2" s="2226" t="s">
        <v>1915</v>
      </c>
      <c r="F2" s="1395"/>
      <c r="G2" s="2227"/>
      <c r="H2" s="2228"/>
      <c r="I2" s="2229" t="s">
        <v>1939</v>
      </c>
      <c r="J2" s="1395"/>
      <c r="K2" s="1395"/>
      <c r="L2" s="1395"/>
      <c r="M2" s="1395"/>
      <c r="N2" s="1430"/>
      <c r="O2" s="1395"/>
      <c r="P2" s="1395"/>
    </row>
    <row r="3" spans="1:16" ht="15.75" thickBot="1">
      <c r="A3" s="3071" t="s">
        <v>1912</v>
      </c>
      <c r="B3" s="3071"/>
      <c r="C3" s="3071"/>
      <c r="D3" s="46">
        <f>'数据-基础表'!AY6</f>
        <v>87410.87</v>
      </c>
      <c r="E3" s="46">
        <f>'数据-基础表'!AZ5</f>
        <v>187098.36000000002</v>
      </c>
      <c r="F3" s="1395"/>
      <c r="G3" s="1402"/>
      <c r="H3" s="1250" t="s">
        <v>1913</v>
      </c>
      <c r="I3" s="55">
        <f>ROUND('数据-基础表'!B3/'数据-基础表'!A3,2)</f>
        <v>2.14</v>
      </c>
      <c r="J3" s="1395"/>
      <c r="K3" s="1395"/>
      <c r="L3" s="1395"/>
      <c r="M3" s="1395"/>
      <c r="N3" s="1430"/>
      <c r="O3" s="1395"/>
      <c r="P3" s="1395"/>
    </row>
    <row r="4" spans="1:16" ht="15">
      <c r="A4" s="3072"/>
      <c r="B4" s="3073"/>
      <c r="C4" s="3074"/>
      <c r="D4" s="2230" t="s">
        <v>1914</v>
      </c>
      <c r="E4" s="2231" t="s">
        <v>1915</v>
      </c>
      <c r="F4" s="1395"/>
      <c r="G4" s="2232" t="s">
        <v>1940</v>
      </c>
      <c r="H4" s="1250" t="s">
        <v>1920</v>
      </c>
      <c r="I4" s="55">
        <f>ROUND(SUMIF('数据-基础表'!I9:AS9,"地上",'数据-基础表'!I5:AS5)/'数据-基础表'!A3,2)</f>
        <v>1.51</v>
      </c>
      <c r="J4" s="1395"/>
      <c r="K4" s="1395"/>
      <c r="L4" s="1395"/>
      <c r="M4" s="1395"/>
      <c r="N4" s="1430"/>
      <c r="O4" s="1395"/>
      <c r="P4" s="1395"/>
    </row>
    <row r="5" spans="1:16">
      <c r="A5" s="47" t="s">
        <v>1916</v>
      </c>
      <c r="B5" s="3075" t="s">
        <v>1917</v>
      </c>
      <c r="C5" s="3075"/>
      <c r="D5" s="48">
        <f>ROUND($D$3*E5/$E$3,2)</f>
        <v>56355.8</v>
      </c>
      <c r="E5" s="49">
        <f>SUMIF('数据-基础表'!$11:$11,"住宅",'数据-基础表'!$5:$5)</f>
        <v>120626.62</v>
      </c>
      <c r="F5" s="1395"/>
      <c r="G5" s="1402"/>
      <c r="H5" s="1250" t="s">
        <v>1913</v>
      </c>
      <c r="I5" s="55">
        <f>ROUND(E31/D31,2)</f>
        <v>2.14</v>
      </c>
      <c r="J5" s="1395"/>
      <c r="K5" s="1395"/>
      <c r="L5" s="1395"/>
      <c r="M5" s="1395"/>
      <c r="N5" s="1395"/>
      <c r="O5" s="1395"/>
      <c r="P5" s="1395"/>
    </row>
    <row r="6" spans="1:16" ht="15" thickBot="1">
      <c r="A6" s="2233"/>
      <c r="B6" s="3075" t="s">
        <v>1918</v>
      </c>
      <c r="C6" s="3075"/>
      <c r="D6" s="48">
        <f>ROUND($D$3*E6/$E$3,2)</f>
        <v>31055.07</v>
      </c>
      <c r="E6" s="49">
        <f>E3-E5</f>
        <v>66471.74000000002</v>
      </c>
      <c r="F6" s="1395"/>
      <c r="G6" s="2234" t="s">
        <v>1919</v>
      </c>
      <c r="H6" s="1402" t="s">
        <v>1920</v>
      </c>
      <c r="I6" s="942">
        <f>ROUND(F31/D31,2)</f>
        <v>1.42</v>
      </c>
      <c r="J6" s="1395"/>
      <c r="K6" s="1395"/>
      <c r="L6" s="1395"/>
      <c r="M6" s="1395"/>
      <c r="N6" s="1395"/>
      <c r="O6" s="1395"/>
      <c r="P6" s="1395"/>
    </row>
    <row r="7" spans="1:16" ht="15">
      <c r="A7" s="3067"/>
      <c r="B7" s="3068"/>
      <c r="C7" s="3069"/>
      <c r="D7" s="2230" t="s">
        <v>1914</v>
      </c>
      <c r="E7" s="2235" t="s">
        <v>1921</v>
      </c>
      <c r="F7" s="1395"/>
      <c r="G7" s="2227" t="s">
        <v>1922</v>
      </c>
      <c r="H7" s="64"/>
      <c r="I7" s="420"/>
      <c r="J7" s="1395"/>
      <c r="K7" s="1395"/>
      <c r="L7" s="1395"/>
      <c r="M7" s="1395"/>
      <c r="N7" s="1395"/>
      <c r="O7" s="1395"/>
      <c r="P7" s="1395"/>
    </row>
    <row r="8" spans="1:16">
      <c r="A8" s="47" t="s">
        <v>1923</v>
      </c>
      <c r="B8" s="50" t="s">
        <v>1924</v>
      </c>
      <c r="C8" s="48" t="s">
        <v>1925</v>
      </c>
      <c r="D8" s="48">
        <f t="shared" ref="D8:D15" si="0">ROUND($D$3*E8/$E$3,2)</f>
        <v>57029.99</v>
      </c>
      <c r="E8" s="51">
        <f>SUMIF('数据-基础表'!BB10:BK10,"地上",'数据-基础表'!BB5:BK5)</f>
        <v>122069.68</v>
      </c>
      <c r="F8" s="1395"/>
      <c r="G8" s="2236"/>
      <c r="H8" s="2236"/>
      <c r="I8" s="1395"/>
      <c r="J8" s="1395"/>
      <c r="K8" s="1395"/>
      <c r="L8" s="1395"/>
      <c r="M8" s="1395"/>
      <c r="N8" s="1395"/>
      <c r="O8" s="1395"/>
      <c r="P8" s="1395"/>
    </row>
    <row r="9" spans="1:16">
      <c r="A9" s="2237"/>
      <c r="B9" s="2238"/>
      <c r="C9" s="48" t="s">
        <v>1926</v>
      </c>
      <c r="D9" s="48">
        <f t="shared" si="0"/>
        <v>0</v>
      </c>
      <c r="E9" s="52">
        <v>0</v>
      </c>
      <c r="F9" s="1395"/>
      <c r="G9" s="2236"/>
      <c r="H9" s="2236"/>
      <c r="I9" s="1395"/>
      <c r="J9" s="1395"/>
      <c r="K9" s="1395"/>
      <c r="L9" s="1395"/>
      <c r="M9" s="1395"/>
      <c r="N9" s="1395"/>
      <c r="O9" s="1395"/>
      <c r="P9" s="1395"/>
    </row>
    <row r="10" spans="1:16">
      <c r="A10" s="2237"/>
      <c r="B10" s="2238"/>
      <c r="C10" s="48" t="s">
        <v>1935</v>
      </c>
      <c r="D10" s="48">
        <f t="shared" si="0"/>
        <v>0</v>
      </c>
      <c r="E10" s="51">
        <f>SUMPRODUCT(('数据-基础表'!BB10:BK10="地下")*('数据-基础表'!BB11:BK11="商业")*('数据-基础表'!BB5:BK5))</f>
        <v>0</v>
      </c>
      <c r="F10" s="1395"/>
      <c r="G10" s="2236"/>
      <c r="H10" s="2236"/>
      <c r="I10" s="1395"/>
      <c r="J10" s="1395"/>
      <c r="K10" s="1395"/>
      <c r="L10" s="1395"/>
      <c r="M10" s="1395"/>
      <c r="N10" s="1395"/>
      <c r="O10" s="1395"/>
      <c r="P10" s="1395"/>
    </row>
    <row r="11" spans="1:16">
      <c r="A11" s="2237"/>
      <c r="B11" s="2238"/>
      <c r="C11" s="48" t="s">
        <v>1927</v>
      </c>
      <c r="D11" s="48">
        <f t="shared" si="0"/>
        <v>0</v>
      </c>
      <c r="E11" s="51">
        <f>SUMPRODUCT(('数据-基础表'!BB10:BK10="地下")*('数据-基础表'!BB11:BK11="办公")*('数据-基础表'!BB5:BK5))+'数据-基础表'!BP5</f>
        <v>0</v>
      </c>
      <c r="F11" s="1395"/>
      <c r="G11" s="2236"/>
      <c r="H11" s="2236"/>
      <c r="I11" s="1395"/>
      <c r="J11" s="1395"/>
      <c r="K11" s="1395"/>
      <c r="L11" s="1395"/>
      <c r="M11" s="1395"/>
      <c r="N11" s="1395"/>
      <c r="O11" s="1395"/>
      <c r="P11" s="1395"/>
    </row>
    <row r="12" spans="1:16">
      <c r="A12" s="2237"/>
      <c r="B12" s="2238"/>
      <c r="C12" s="48" t="s">
        <v>1928</v>
      </c>
      <c r="D12" s="48">
        <f t="shared" si="0"/>
        <v>0</v>
      </c>
      <c r="E12" s="51">
        <f>SUMPRODUCT(('数据-基础表'!BB10:BK10="地下")*('数据-基础表'!BB11:BK11="仓储")*('数据-基础表'!BB5:BK5))</f>
        <v>0</v>
      </c>
      <c r="F12" s="1395"/>
      <c r="G12" s="2236"/>
      <c r="H12" s="2236"/>
      <c r="I12" s="1395"/>
      <c r="J12" s="1395"/>
      <c r="K12" s="1395"/>
      <c r="L12" s="1395"/>
      <c r="M12" s="1395"/>
      <c r="N12" s="1395"/>
      <c r="O12" s="1395"/>
      <c r="P12" s="1395"/>
    </row>
    <row r="13" spans="1:16">
      <c r="A13" s="2237"/>
      <c r="B13" s="2238"/>
      <c r="C13" s="48" t="s">
        <v>1929</v>
      </c>
      <c r="D13" s="48">
        <f t="shared" si="0"/>
        <v>27357.45</v>
      </c>
      <c r="E13" s="51">
        <f>SUMPRODUCT(('数据-基础表'!BB10:BK10="地下")*('数据-基础表'!BB11:BK11="车库")*('数据-基础表'!BB5:BK5))</f>
        <v>58557.179999999993</v>
      </c>
      <c r="F13" s="1395"/>
      <c r="G13" s="2236"/>
      <c r="H13" s="2236"/>
      <c r="I13" s="1395"/>
      <c r="J13" s="1395"/>
      <c r="K13" s="1395"/>
      <c r="L13" s="1395"/>
      <c r="M13" s="1395"/>
      <c r="N13" s="1395"/>
      <c r="O13" s="1395"/>
      <c r="P13" s="1395"/>
    </row>
    <row r="14" spans="1:16">
      <c r="A14" s="2237"/>
      <c r="B14" s="2238"/>
      <c r="C14" s="48" t="s">
        <v>1941</v>
      </c>
      <c r="D14" s="48">
        <f t="shared" si="0"/>
        <v>0</v>
      </c>
      <c r="E14" s="51">
        <f>SUMPRODUCT(('数据-基础表'!BB10:BK10="地下")*('数据-基础表'!BB11:BK11="车库—商业")*('数据-基础表'!BB5:BK5))</f>
        <v>0</v>
      </c>
      <c r="F14" s="1395"/>
      <c r="G14" s="2236"/>
      <c r="H14" s="2236"/>
      <c r="I14" s="1395"/>
      <c r="J14" s="1395"/>
      <c r="K14" s="1395"/>
      <c r="L14" s="1395"/>
      <c r="M14" s="1395"/>
      <c r="N14" s="1395"/>
      <c r="O14" s="1395"/>
      <c r="P14" s="1395"/>
    </row>
    <row r="15" spans="1:16" ht="15" thickBot="1">
      <c r="A15" s="2237"/>
      <c r="B15" s="2238"/>
      <c r="C15" s="48" t="s">
        <v>1936</v>
      </c>
      <c r="D15" s="48">
        <f t="shared" si="0"/>
        <v>0</v>
      </c>
      <c r="E15" s="51">
        <f>SUMPRODUCT(('数据-基础表'!BB10:BK10="地下")*('数据-基础表'!BB11:BK11="车库—办公")*('数据-基础表'!BB5:BK5))</f>
        <v>0</v>
      </c>
      <c r="F15" s="1395"/>
      <c r="G15" s="2236"/>
      <c r="H15" s="2236"/>
      <c r="I15" s="1395"/>
      <c r="J15" s="1395"/>
      <c r="K15" s="1395"/>
      <c r="L15" s="1395"/>
      <c r="M15" s="1395"/>
      <c r="N15" s="1395"/>
      <c r="O15" s="1395"/>
      <c r="P15" s="1395"/>
    </row>
    <row r="16" spans="1:16" ht="15.75" thickBot="1">
      <c r="A16" s="2233"/>
      <c r="B16" s="2238"/>
      <c r="C16" s="50" t="s">
        <v>1930</v>
      </c>
      <c r="D16" s="50">
        <f>SUM(D8:D15)</f>
        <v>84387.44</v>
      </c>
      <c r="E16" s="53">
        <f>SUM(E8:E15)</f>
        <v>180626.86</v>
      </c>
      <c r="F16" s="1395"/>
      <c r="G16" s="2236"/>
      <c r="H16" s="2239" t="s">
        <v>1942</v>
      </c>
      <c r="I16" s="2240"/>
      <c r="J16" s="1395"/>
      <c r="K16" s="3064" t="s">
        <v>1942</v>
      </c>
      <c r="L16" s="3065"/>
      <c r="M16" s="3065"/>
      <c r="N16" s="3065"/>
      <c r="O16" s="3065"/>
      <c r="P16" s="3066"/>
    </row>
    <row r="17" spans="1:19" ht="15">
      <c r="A17" s="2241" t="s">
        <v>1943</v>
      </c>
      <c r="B17" s="2242" t="s">
        <v>1944</v>
      </c>
      <c r="C17" s="2243" t="s">
        <v>1945</v>
      </c>
      <c r="D17" s="2244" t="s">
        <v>1933</v>
      </c>
      <c r="E17" s="2245" t="s">
        <v>1934</v>
      </c>
      <c r="F17" s="2246"/>
      <c r="G17" s="2247"/>
      <c r="H17" s="2248" t="s">
        <v>1946</v>
      </c>
      <c r="I17" s="2249" t="s">
        <v>1931</v>
      </c>
      <c r="J17" s="1395"/>
      <c r="K17" s="3061" t="s">
        <v>1947</v>
      </c>
      <c r="L17" s="3062"/>
      <c r="M17" s="3063"/>
      <c r="N17" s="3061" t="s">
        <v>1948</v>
      </c>
      <c r="O17" s="3062"/>
      <c r="P17" s="3063"/>
      <c r="R17" s="2227" t="s">
        <v>1949</v>
      </c>
      <c r="S17" s="64"/>
    </row>
    <row r="18" spans="1:19" ht="15">
      <c r="A18" s="2237"/>
      <c r="B18" s="2250"/>
      <c r="C18" s="2251"/>
      <c r="D18" s="2252"/>
      <c r="E18" s="2253" t="s">
        <v>1950</v>
      </c>
      <c r="F18" s="2254" t="s">
        <v>1951</v>
      </c>
      <c r="G18" s="2255" t="s">
        <v>1952</v>
      </c>
      <c r="H18" s="1265" t="s">
        <v>1953</v>
      </c>
      <c r="I18" s="2256" t="s">
        <v>1954</v>
      </c>
      <c r="J18" s="1395"/>
      <c r="K18" s="1265" t="s">
        <v>1955</v>
      </c>
      <c r="L18" s="2257" t="s">
        <v>1956</v>
      </c>
      <c r="M18" s="1049" t="s">
        <v>1957</v>
      </c>
      <c r="N18" s="1265" t="s">
        <v>1955</v>
      </c>
      <c r="O18" s="2257" t="s">
        <v>1956</v>
      </c>
      <c r="P18" s="1049" t="s">
        <v>1957</v>
      </c>
      <c r="R18" s="1250" t="s">
        <v>1958</v>
      </c>
      <c r="S18" s="1250" t="s">
        <v>1959</v>
      </c>
    </row>
    <row r="19" spans="1:19">
      <c r="A19" s="2258"/>
      <c r="B19" s="50" t="s">
        <v>1932</v>
      </c>
      <c r="C19" s="2259" t="s">
        <v>3106</v>
      </c>
      <c r="D19" s="48">
        <f>ROUND($D$3*E19/$E$3,2)</f>
        <v>19279.810000000001</v>
      </c>
      <c r="E19" s="56">
        <f t="shared" ref="E19:E26" si="1">SUM(F19:G19)</f>
        <v>41267.419999999991</v>
      </c>
      <c r="F19" s="57">
        <f>'数据-基础表'!I13-'数据-基础表'!J13</f>
        <v>41267.419999999991</v>
      </c>
      <c r="G19" s="58"/>
      <c r="H19" s="723">
        <f>ROUND($D$3*I19/$E$3,2)</f>
        <v>794.43</v>
      </c>
      <c r="I19" s="51">
        <f t="shared" ref="I19:I26" si="2">IF($I$17="自定义",P19,M19)</f>
        <v>1700.44</v>
      </c>
      <c r="J19" s="1395"/>
      <c r="K19" s="1394">
        <f t="shared" ref="K19:K26" si="3">ROUND(E$28*E19/E$27,2)</f>
        <v>1032.3900000000001</v>
      </c>
      <c r="L19" s="1250">
        <f t="shared" ref="L19:L26" si="4">ROUND(IF(COUNTIF(C19,"*住宅*")&gt;0,E$29*E19/E$32,0),2)</f>
        <v>668.05</v>
      </c>
      <c r="M19" s="1406">
        <f>K19+L19</f>
        <v>1700.44</v>
      </c>
      <c r="N19" s="2260"/>
      <c r="O19" s="2261"/>
      <c r="P19" s="1406">
        <f>N19+O19</f>
        <v>0</v>
      </c>
      <c r="R19" s="1250">
        <f t="shared" ref="R19:S26" si="5">D19+H19</f>
        <v>20074.240000000002</v>
      </c>
      <c r="S19" s="1251">
        <f t="shared" si="5"/>
        <v>42967.859999999993</v>
      </c>
    </row>
    <row r="20" spans="1:19">
      <c r="A20" s="2262"/>
      <c r="B20" s="50" t="s">
        <v>1960</v>
      </c>
      <c r="C20" s="2259" t="s">
        <v>3181</v>
      </c>
      <c r="D20" s="48">
        <f t="shared" ref="D20:D26" si="6">ROUND($D$3*E20/$E$3,2)</f>
        <v>12684.55</v>
      </c>
      <c r="E20" s="56">
        <f t="shared" si="1"/>
        <v>27150.61</v>
      </c>
      <c r="F20" s="57">
        <f>'数据-基础表'!K14</f>
        <v>27150.61</v>
      </c>
      <c r="G20" s="58"/>
      <c r="H20" s="723">
        <f t="shared" ref="H20:H26" si="7">ROUND($D$3*I20/$E$3,2)</f>
        <v>522.66999999999996</v>
      </c>
      <c r="I20" s="51">
        <f t="shared" si="2"/>
        <v>1118.75</v>
      </c>
      <c r="J20" s="1395"/>
      <c r="K20" s="1394">
        <f t="shared" si="3"/>
        <v>679.23</v>
      </c>
      <c r="L20" s="1250">
        <f t="shared" si="4"/>
        <v>439.52</v>
      </c>
      <c r="M20" s="1406">
        <f t="shared" ref="M20:M26" si="8">K20+L20</f>
        <v>1118.75</v>
      </c>
      <c r="N20" s="2260"/>
      <c r="O20" s="2261"/>
      <c r="P20" s="1406">
        <f t="shared" ref="P20:P26" si="9">N20+O20</f>
        <v>0</v>
      </c>
      <c r="R20" s="1250">
        <f t="shared" si="5"/>
        <v>13207.22</v>
      </c>
      <c r="S20" s="1251">
        <f t="shared" si="5"/>
        <v>28269.360000000001</v>
      </c>
    </row>
    <row r="21" spans="1:19">
      <c r="A21" s="2262"/>
      <c r="B21" s="50" t="s">
        <v>1960</v>
      </c>
      <c r="C21" s="2259" t="s">
        <v>3117</v>
      </c>
      <c r="D21" s="48">
        <f t="shared" si="6"/>
        <v>24391.439999999999</v>
      </c>
      <c r="E21" s="56">
        <f t="shared" si="1"/>
        <v>52208.590000000004</v>
      </c>
      <c r="F21" s="57">
        <f>'数据-基础表'!M15-'数据-基础表'!N15</f>
        <v>52208.590000000004</v>
      </c>
      <c r="G21" s="58"/>
      <c r="H21" s="723">
        <f t="shared" si="7"/>
        <v>1005.06</v>
      </c>
      <c r="I21" s="51">
        <f t="shared" si="2"/>
        <v>2151.2799999999997</v>
      </c>
      <c r="J21" s="1395"/>
      <c r="K21" s="1394">
        <f t="shared" si="3"/>
        <v>1306.1099999999999</v>
      </c>
      <c r="L21" s="1250">
        <f t="shared" si="4"/>
        <v>845.17</v>
      </c>
      <c r="M21" s="1406">
        <f t="shared" si="8"/>
        <v>2151.2799999999997</v>
      </c>
      <c r="N21" s="2260"/>
      <c r="O21" s="2261"/>
      <c r="P21" s="1406">
        <f t="shared" si="9"/>
        <v>0</v>
      </c>
      <c r="R21" s="1250">
        <f t="shared" si="5"/>
        <v>25396.5</v>
      </c>
      <c r="S21" s="1251">
        <f t="shared" si="5"/>
        <v>54359.87</v>
      </c>
    </row>
    <row r="22" spans="1:19">
      <c r="A22" s="2262"/>
      <c r="B22" s="50" t="s">
        <v>1960</v>
      </c>
      <c r="C22" s="2953" t="s">
        <v>1377</v>
      </c>
      <c r="D22" s="48">
        <f t="shared" si="6"/>
        <v>674.19</v>
      </c>
      <c r="E22" s="56">
        <f t="shared" si="1"/>
        <v>1443.06</v>
      </c>
      <c r="F22" s="61">
        <f>'数据-基础表'!Q16</f>
        <v>1443.06</v>
      </c>
      <c r="G22" s="62"/>
      <c r="H22" s="723">
        <f t="shared" si="7"/>
        <v>16.87</v>
      </c>
      <c r="I22" s="51">
        <f t="shared" si="2"/>
        <v>36.1</v>
      </c>
      <c r="J22" s="1395"/>
      <c r="K22" s="1394">
        <f t="shared" si="3"/>
        <v>36.1</v>
      </c>
      <c r="L22" s="1250">
        <f t="shared" si="4"/>
        <v>0</v>
      </c>
      <c r="M22" s="1406">
        <f t="shared" si="8"/>
        <v>36.1</v>
      </c>
      <c r="N22" s="2260"/>
      <c r="O22" s="2261"/>
      <c r="P22" s="1406">
        <f t="shared" si="9"/>
        <v>0</v>
      </c>
      <c r="R22" s="1250">
        <f t="shared" si="5"/>
        <v>691.06000000000006</v>
      </c>
      <c r="S22" s="1251">
        <f t="shared" si="5"/>
        <v>1479.1599999999999</v>
      </c>
    </row>
    <row r="23" spans="1:19">
      <c r="A23" s="2262"/>
      <c r="B23" s="50" t="s">
        <v>1960</v>
      </c>
      <c r="C23" s="60" t="s">
        <v>48</v>
      </c>
      <c r="D23" s="48">
        <f>ROUND($D$3*E23/$E$3,2)</f>
        <v>27357.45</v>
      </c>
      <c r="E23" s="56">
        <f>SUM(F23:G23)</f>
        <v>58557.179999999993</v>
      </c>
      <c r="F23" s="61"/>
      <c r="G23" s="62">
        <f>'数据-基础表'!O17</f>
        <v>58557.179999999993</v>
      </c>
      <c r="H23" s="723">
        <f>ROUND($D$3*I23/$E$3,2)</f>
        <v>684.4</v>
      </c>
      <c r="I23" s="51">
        <f t="shared" si="2"/>
        <v>1464.93</v>
      </c>
      <c r="J23" s="1395"/>
      <c r="K23" s="1394">
        <f t="shared" si="3"/>
        <v>1464.93</v>
      </c>
      <c r="L23" s="1250">
        <f t="shared" si="4"/>
        <v>0</v>
      </c>
      <c r="M23" s="1406">
        <f t="shared" si="8"/>
        <v>1464.93</v>
      </c>
      <c r="N23" s="2260"/>
      <c r="O23" s="2261"/>
      <c r="P23" s="1406">
        <f t="shared" si="9"/>
        <v>0</v>
      </c>
      <c r="R23" s="1250">
        <f t="shared" si="5"/>
        <v>28041.850000000002</v>
      </c>
      <c r="S23" s="1251">
        <f t="shared" si="5"/>
        <v>60022.109999999993</v>
      </c>
    </row>
    <row r="24" spans="1:19">
      <c r="A24" s="2262"/>
      <c r="B24" s="50" t="s">
        <v>1960</v>
      </c>
      <c r="C24" s="2953" t="s">
        <v>3293</v>
      </c>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1961</v>
      </c>
      <c r="D27" s="1396">
        <f>SUM(D19:D26)</f>
        <v>84387.44</v>
      </c>
      <c r="E27" s="1397">
        <f>IF(SUM(E19:E26)='数据-基础表'!BA5,SUM(E19:E26),IF(F27="地上面积有误","面积有误","地下面积有误"))</f>
        <v>180626.86</v>
      </c>
      <c r="F27" s="1396">
        <f>IF(SUM(F19:F26)=E8,SUM(F19:F26),"地上面积有误")</f>
        <v>122069.68</v>
      </c>
      <c r="G27" s="1398">
        <f>SUM(G19:G26)</f>
        <v>58557.179999999993</v>
      </c>
      <c r="H27" s="1399">
        <f>SUM(H19:H26)</f>
        <v>3023.43</v>
      </c>
      <c r="I27" s="1400">
        <f>SUM(I19:I26)</f>
        <v>6471.5</v>
      </c>
      <c r="J27" s="1395"/>
      <c r="K27" s="1403">
        <f>SUM(K19:K26)</f>
        <v>4518.76</v>
      </c>
      <c r="L27" s="1404">
        <f>SUM(L19:L26)</f>
        <v>1952.7399999999998</v>
      </c>
      <c r="M27" s="1407">
        <f>SUM(M19:M26)</f>
        <v>6471.5</v>
      </c>
      <c r="N27" s="1403">
        <f t="shared" ref="N27:O27" si="10">SUM(N19:N26)</f>
        <v>0</v>
      </c>
      <c r="O27" s="1404">
        <f t="shared" si="10"/>
        <v>0</v>
      </c>
      <c r="P27" s="1405">
        <f>SUM(P19:P26)</f>
        <v>0</v>
      </c>
      <c r="R27" s="1252">
        <f>IF(SUM(R19:R26)=$D$3,SUM(R19:R26),SUM(R19:R26)&amp;"误差"&amp;ROUND(SUM(R19:R26)-$D$3,2))</f>
        <v>87410.87</v>
      </c>
      <c r="S27" s="1250">
        <f>IF(SUM(S19:S26)=$E$3,SUM(S19:S26),SUM(S19:S26)&amp;"误差"&amp;ROUND(SUM(S19:S26)-E3,2))</f>
        <v>187098.36</v>
      </c>
    </row>
    <row r="28" spans="1:19">
      <c r="A28" s="2262"/>
      <c r="B28" s="50" t="s">
        <v>1962</v>
      </c>
      <c r="C28" s="1262" t="s">
        <v>1963</v>
      </c>
      <c r="D28" s="48">
        <f>ROUND($D$3*E28/$E$3,2)</f>
        <v>2111.13</v>
      </c>
      <c r="E28" s="56">
        <f>SUM(F28:G28)</f>
        <v>4518.76</v>
      </c>
      <c r="F28" s="64">
        <f>'数据-基础表'!BQ5+'数据-基础表'!BS5</f>
        <v>147.02000000000001</v>
      </c>
      <c r="G28" s="65">
        <f>'数据-基础表'!BR5+'数据-基础表'!BT5</f>
        <v>4371.74</v>
      </c>
      <c r="H28" s="1395"/>
      <c r="I28" s="1395"/>
      <c r="J28" s="1395"/>
      <c r="K28" s="1395"/>
      <c r="L28" s="1395"/>
      <c r="M28" s="1395"/>
      <c r="N28" s="1395"/>
      <c r="O28" s="1395"/>
      <c r="P28" s="1395"/>
    </row>
    <row r="29" spans="1:19">
      <c r="A29" s="2262"/>
      <c r="B29" s="50" t="s">
        <v>1962</v>
      </c>
      <c r="C29" s="2266" t="s">
        <v>1964</v>
      </c>
      <c r="D29" s="48">
        <f>ROUND($D$3*E29/$E$3,2)</f>
        <v>912.3</v>
      </c>
      <c r="E29" s="56">
        <f>SUM(F29:G29)</f>
        <v>1952.74</v>
      </c>
      <c r="F29" s="66">
        <f>'数据-基础表'!BM5+'数据-基础表'!BO5</f>
        <v>1952.74</v>
      </c>
      <c r="G29" s="67">
        <f>'数据-基础表'!BN5+'数据-基础表'!BP5</f>
        <v>0</v>
      </c>
      <c r="H29" s="1395"/>
      <c r="I29" s="1395"/>
      <c r="J29" s="1395"/>
      <c r="K29" s="1395"/>
      <c r="L29" s="1395"/>
      <c r="M29" s="1395"/>
      <c r="N29" s="1395"/>
      <c r="O29" s="1395"/>
      <c r="P29" s="1395"/>
    </row>
    <row r="30" spans="1:19" ht="15">
      <c r="A30" s="2262"/>
      <c r="B30" s="50"/>
      <c r="C30" s="2267" t="s">
        <v>1961</v>
      </c>
      <c r="D30" s="1396">
        <f>SUM(D28:D29)</f>
        <v>3023.4300000000003</v>
      </c>
      <c r="E30" s="1396">
        <f>SUM(E28:E29)</f>
        <v>6471.5</v>
      </c>
      <c r="F30" s="1396">
        <f>SUM(F28:F29)</f>
        <v>2099.7600000000002</v>
      </c>
      <c r="G30" s="1398">
        <f>SUM(G28:G29)</f>
        <v>4371.74</v>
      </c>
      <c r="H30" s="1395"/>
      <c r="I30" s="1395"/>
      <c r="J30" s="1395"/>
      <c r="K30" s="1395"/>
      <c r="L30" s="1395"/>
      <c r="M30" s="1395"/>
      <c r="N30" s="1395"/>
      <c r="O30" s="1395"/>
      <c r="P30" s="1395"/>
    </row>
    <row r="31" spans="1:19" ht="15.75" thickBot="1">
      <c r="A31" s="2268"/>
      <c r="B31" s="2269"/>
      <c r="C31" s="1010" t="s">
        <v>1965</v>
      </c>
      <c r="D31" s="729">
        <f>D27+D30</f>
        <v>87410.87</v>
      </c>
      <c r="E31" s="729">
        <f>E27+E30</f>
        <v>187098.36</v>
      </c>
      <c r="F31" s="730">
        <f>F27+F30</f>
        <v>124169.43999999999</v>
      </c>
      <c r="G31" s="731">
        <f>G27+G30</f>
        <v>62928.919999999991</v>
      </c>
      <c r="H31" s="1395"/>
      <c r="I31" s="1395"/>
      <c r="J31" s="1395"/>
      <c r="K31" s="1395"/>
      <c r="L31" s="1395"/>
      <c r="M31" s="1395"/>
      <c r="N31" s="1395"/>
      <c r="O31" s="1395"/>
      <c r="P31" s="1395"/>
    </row>
    <row r="32" spans="1:19">
      <c r="A32" s="2232"/>
      <c r="B32" s="2232" t="s">
        <v>1966</v>
      </c>
      <c r="C32" s="2232"/>
      <c r="D32" s="2232"/>
      <c r="E32" s="1277">
        <f>SUMIF(C19:C26,"*住宅*",E19:E26)</f>
        <v>120626.62</v>
      </c>
      <c r="F32" s="2232"/>
      <c r="G32" s="2232"/>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21" activePane="bottomRight" state="frozen"/>
      <selection activeCell="C50" sqref="C50"/>
      <selection pane="topRight" activeCell="C50" sqref="C50"/>
      <selection pane="bottomLeft" activeCell="C50" sqref="C50"/>
      <selection pane="bottomRight" activeCell="N23" sqref="N23"/>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1967</v>
      </c>
      <c r="B1" s="732"/>
      <c r="C1" s="1584"/>
      <c r="D1" s="2272"/>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5" t="s">
        <v>1968</v>
      </c>
      <c r="B2" s="1269">
        <f>项目基本情况!D3</f>
        <v>43202</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4" customFormat="1" ht="15" thickBot="1">
      <c r="A3" s="2032"/>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4" customFormat="1" ht="15" thickBot="1">
      <c r="A4" s="68" t="s">
        <v>1969</v>
      </c>
      <c r="B4" s="2280"/>
      <c r="C4" s="2281"/>
      <c r="D4" s="2282"/>
      <c r="E4" s="2281" t="s">
        <v>1970</v>
      </c>
      <c r="F4" s="2281"/>
      <c r="G4" s="2281"/>
      <c r="H4" s="2281"/>
      <c r="I4" s="2281"/>
      <c r="J4" s="2283"/>
      <c r="K4" s="2284"/>
      <c r="L4" s="2285"/>
      <c r="M4" s="2281"/>
      <c r="N4" s="2281" t="s">
        <v>1971</v>
      </c>
      <c r="O4" s="2281"/>
      <c r="P4" s="2281"/>
      <c r="Q4" s="2281"/>
      <c r="R4" s="2281"/>
      <c r="S4" s="2283"/>
      <c r="T4" s="2286" t="str">
        <f>'数据-汇总表'!I17</f>
        <v>按面积比例</v>
      </c>
      <c r="U4" s="2280" t="s">
        <v>1972</v>
      </c>
      <c r="V4" s="2281"/>
      <c r="W4" s="2281"/>
      <c r="X4" s="2281"/>
      <c r="Y4" s="2283"/>
      <c r="Z4" s="2243" t="s">
        <v>1973</v>
      </c>
      <c r="AA4" s="2243"/>
      <c r="AB4" s="2243"/>
      <c r="AC4" s="2243"/>
      <c r="AD4" s="2243"/>
      <c r="AE4" s="2241" t="s">
        <v>1974</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5" customFormat="1" ht="42">
      <c r="A5" s="2288" t="s">
        <v>1975</v>
      </c>
      <c r="B5" s="2289" t="s">
        <v>1976</v>
      </c>
      <c r="C5" s="2290" t="s">
        <v>1977</v>
      </c>
      <c r="D5" s="2291" t="s">
        <v>1978</v>
      </c>
      <c r="E5" s="1271" t="s">
        <v>1979</v>
      </c>
      <c r="F5" s="2292" t="s">
        <v>1980</v>
      </c>
      <c r="G5" s="1271" t="s">
        <v>1981</v>
      </c>
      <c r="H5" s="1271" t="s">
        <v>1982</v>
      </c>
      <c r="I5" s="1271" t="s">
        <v>1983</v>
      </c>
      <c r="J5" s="2293" t="s">
        <v>1984</v>
      </c>
      <c r="K5" s="2294" t="s">
        <v>1985</v>
      </c>
      <c r="L5" s="2295" t="s">
        <v>1986</v>
      </c>
      <c r="M5" s="2296" t="s">
        <v>1987</v>
      </c>
      <c r="N5" s="2297" t="s">
        <v>1988</v>
      </c>
      <c r="O5" s="2295" t="s">
        <v>1989</v>
      </c>
      <c r="P5" s="2298" t="s">
        <v>1990</v>
      </c>
      <c r="Q5" s="69" t="s">
        <v>1991</v>
      </c>
      <c r="R5" s="2299" t="s">
        <v>1992</v>
      </c>
      <c r="S5" s="2300" t="s">
        <v>1993</v>
      </c>
      <c r="T5" s="2301" t="s">
        <v>1994</v>
      </c>
      <c r="U5" s="1270" t="s">
        <v>1995</v>
      </c>
      <c r="V5" s="1271" t="s">
        <v>1996</v>
      </c>
      <c r="W5" s="1271" t="s">
        <v>1997</v>
      </c>
      <c r="X5" s="71"/>
      <c r="Y5" s="70" t="s">
        <v>1998</v>
      </c>
      <c r="Z5" s="2302" t="s">
        <v>1995</v>
      </c>
      <c r="AA5" s="1271" t="s">
        <v>1996</v>
      </c>
      <c r="AB5" s="1271" t="s">
        <v>1997</v>
      </c>
      <c r="AC5" s="71"/>
      <c r="AD5" s="71" t="s">
        <v>1998</v>
      </c>
      <c r="AE5" s="1270" t="s">
        <v>1999</v>
      </c>
      <c r="AF5" s="1271" t="s">
        <v>2000</v>
      </c>
      <c r="AG5" s="70" t="s">
        <v>2001</v>
      </c>
      <c r="AH5" s="1270" t="s">
        <v>2002</v>
      </c>
      <c r="AI5" s="2302" t="s">
        <v>2003</v>
      </c>
      <c r="AJ5" s="2302" t="s">
        <v>2004</v>
      </c>
      <c r="AK5" s="1271" t="s">
        <v>2005</v>
      </c>
      <c r="AL5" s="1271" t="s">
        <v>2006</v>
      </c>
      <c r="AM5" s="70" t="s">
        <v>2007</v>
      </c>
      <c r="AN5" s="2303" t="s">
        <v>2008</v>
      </c>
      <c r="AO5" s="2073" t="s">
        <v>2009</v>
      </c>
      <c r="AP5" s="1252" t="s">
        <v>2010</v>
      </c>
      <c r="AQ5" s="2304" t="s">
        <v>2011</v>
      </c>
      <c r="AR5" s="2304" t="s">
        <v>2012</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34" customFormat="1" ht="14.25">
      <c r="A6" s="2305" t="str">
        <f>'数据-汇总表'!C19</f>
        <v>高层住宅</v>
      </c>
      <c r="B6" s="2306" t="str">
        <f>IF(A6=0,"","经营性")</f>
        <v>经营性</v>
      </c>
      <c r="C6" s="2307" t="s">
        <v>3086</v>
      </c>
      <c r="D6" s="1054">
        <f>SUMIF(项目基本情况!D$12:I$12,C6,项目基本情况!D$14:I$14)</f>
        <v>70</v>
      </c>
      <c r="E6" s="1051">
        <f>IF(B6="","",SUMIF(项目基本情况!D$12:I$12,C6,项目基本情况!D$13:I$13))</f>
        <v>68227</v>
      </c>
      <c r="F6" s="72">
        <f>SUMIF(项目基本情况!D$12:I$12,C6,项目基本情况!D$15:I$15)</f>
        <v>68.56</v>
      </c>
      <c r="G6" s="73">
        <f>IF(ISERROR(ROUND(POWER(1+H6,D6-F6)*(POWER(1+H6,F6)-1)/(POWER(1+H6,D6)-1),3)),0,ROUND(POWER(1+H6,D6-F6)*(POWER(1+H6,F6)-1)/(POWER(1+H6,D6)-1),3))</f>
        <v>0.997</v>
      </c>
      <c r="H6" s="802">
        <v>4.4999999999999998E-2</v>
      </c>
      <c r="I6" s="802">
        <v>5.5E-2</v>
      </c>
      <c r="J6" s="74">
        <v>8.5000000000000006E-2</v>
      </c>
      <c r="K6" s="1254">
        <f>SUMIF('数据-汇总表'!C$19:C$33,A6,'数据-汇总表'!E$19:E$33)</f>
        <v>41267.419999999991</v>
      </c>
      <c r="L6" s="803">
        <v>3500</v>
      </c>
      <c r="M6" s="75">
        <f t="shared" ref="M6:M14" si="0">ROUND(K6*L6/10000,0)</f>
        <v>14444</v>
      </c>
      <c r="N6" s="801">
        <v>0.2</v>
      </c>
      <c r="O6" s="75">
        <f>IF($N$5="成新度","——",ROUND(M6*N6,0))</f>
        <v>2889</v>
      </c>
      <c r="P6" s="76">
        <f>IF($N$5="成新度","——",M6-O6)</f>
        <v>11555</v>
      </c>
      <c r="Q6" s="804">
        <v>0.15</v>
      </c>
      <c r="R6" s="77">
        <f ca="1">SUMIF('数据-汇总表'!C$19:C$33,A6,'数据-汇总表'!R$19:R$27)</f>
        <v>20074.240000000002</v>
      </c>
      <c r="S6" s="54">
        <f>IF('数据-汇总表'!$I$17="按面积比例",SUMIF('数据-汇总表'!C$19:C$33,A6,'数据-汇总表'!K$19:K$33),SUMIF('数据-汇总表'!C$19:C$33,A6,'数据-汇总表'!N$19:N$33))</f>
        <v>1032.3900000000001</v>
      </c>
      <c r="T6" s="1446">
        <f>ROUND($L$14*S6/10000,0)</f>
        <v>258</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08"/>
      <c r="AO6" s="55" t="e">
        <f ca="1">SUMIF(INDIRECT("'"&amp;AN6&amp;"'"&amp;"!A:A"),"总价",INDIRECT("'"&amp;AN6&amp;"'"&amp;"!B:B"))</f>
        <v>#REF!</v>
      </c>
      <c r="AP6" s="2309">
        <f>IF(C6="住宅",K6*L6,0)</f>
        <v>144435969.99999997</v>
      </c>
      <c r="AQ6" s="55">
        <f>ROUND($L$14*$N$14*S6/10000,0)</f>
        <v>77</v>
      </c>
      <c r="AR6" s="55">
        <f>ROUND($L$14*(1-$N$14)*S6/10000,0)</f>
        <v>181</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4" customFormat="1" ht="14.25">
      <c r="A7" s="2305" t="str">
        <f>'数据-汇总表'!C20</f>
        <v>叠拼住宅</v>
      </c>
      <c r="B7" s="2306" t="str">
        <f t="shared" ref="B7:B13" si="1">IF(A7=0,"","经营性")</f>
        <v>经营性</v>
      </c>
      <c r="C7" s="2307" t="s">
        <v>3086</v>
      </c>
      <c r="D7" s="1054">
        <f>SUMIF(项目基本情况!D$12:I$12,C7,项目基本情况!D$14:I$14)</f>
        <v>70</v>
      </c>
      <c r="E7" s="1051">
        <f>IF(B7="","",SUMIF(项目基本情况!D$12:I$12,C7,项目基本情况!D$13:I$13))</f>
        <v>68227</v>
      </c>
      <c r="F7" s="72">
        <f>SUMIF(项目基本情况!D$12:I$12,C7,项目基本情况!D$15:I$15)</f>
        <v>68.56</v>
      </c>
      <c r="G7" s="73">
        <f t="shared" ref="G7:G11" si="2">IF(ISERROR(ROUND(POWER(1+H7,D7-F7)*(POWER(1+H7,F7)-1)/(POWER(1+H7,D7)-1),3)),0,ROUND(POWER(1+H7,D7-F7)*(POWER(1+H7,F7)-1)/(POWER(1+H7,D7)-1),3))</f>
        <v>0.997</v>
      </c>
      <c r="H7" s="802">
        <v>4.4999999999999998E-2</v>
      </c>
      <c r="I7" s="802">
        <v>5.5E-2</v>
      </c>
      <c r="J7" s="74">
        <v>8.5000000000000006E-2</v>
      </c>
      <c r="K7" s="1254">
        <f>SUMIF('数据-汇总表'!C$19:C$33,A7,'数据-汇总表'!E$19:E$33)</f>
        <v>27150.61</v>
      </c>
      <c r="L7" s="803">
        <v>3500</v>
      </c>
      <c r="M7" s="75">
        <f t="shared" si="0"/>
        <v>9503</v>
      </c>
      <c r="N7" s="801">
        <v>0.3</v>
      </c>
      <c r="O7" s="75">
        <f t="shared" ref="O7:O14" si="3">IF($N$5="成新度","——",ROUND(M7*N7,0))</f>
        <v>2851</v>
      </c>
      <c r="P7" s="76">
        <f t="shared" ref="P7:P14" si="4">IF($N$5="成新度","——",M7-O7)</f>
        <v>6652</v>
      </c>
      <c r="Q7" s="804">
        <v>0.25</v>
      </c>
      <c r="R7" s="77">
        <f ca="1">SUMIF('数据-汇总表'!C$19:C$33,A7,'数据-汇总表'!R$19:R$27)</f>
        <v>13207.22</v>
      </c>
      <c r="S7" s="54">
        <f>IF('数据-汇总表'!$I$17="按面积比例",SUMIF('数据-汇总表'!C$19:C$33,A7,'数据-汇总表'!K$19:K$33),SUMIF('数据-汇总表'!C$19:C$33,A7,'数据-汇总表'!N$19:N$33))</f>
        <v>679.23</v>
      </c>
      <c r="T7" s="1446">
        <f t="shared" ref="T7:T13" si="5">ROUND($L$14*S7/10000,0)</f>
        <v>170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95027135</v>
      </c>
      <c r="AQ7" s="55">
        <f t="shared" ref="AQ7:AQ13" si="10">ROUND($L$14*$N$14*S7/10000,0)</f>
        <v>51</v>
      </c>
      <c r="AR7" s="55">
        <f t="shared" ref="AR7:AR13" si="11">ROUND($L$14*(1-$N$14)*S7/10000,0)</f>
        <v>119</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4" customFormat="1" ht="14.25">
      <c r="A8" s="2305" t="str">
        <f>'数据-汇总表'!C21</f>
        <v>联列住宅</v>
      </c>
      <c r="B8" s="2306" t="str">
        <f t="shared" si="1"/>
        <v>经营性</v>
      </c>
      <c r="C8" s="2307" t="s">
        <v>3086</v>
      </c>
      <c r="D8" s="1054">
        <f>SUMIF(项目基本情况!D$12:I$12,C8,项目基本情况!D$14:I$14)</f>
        <v>70</v>
      </c>
      <c r="E8" s="1051">
        <f>IF(B8="","",SUMIF(项目基本情况!D$12:I$12,C8,项目基本情况!D$13:I$13))</f>
        <v>68227</v>
      </c>
      <c r="F8" s="72">
        <f>SUMIF(项目基本情况!D$12:I$12,C8,项目基本情况!D$15:I$15)</f>
        <v>68.56</v>
      </c>
      <c r="G8" s="73">
        <f t="shared" si="2"/>
        <v>0.997</v>
      </c>
      <c r="H8" s="802">
        <v>4.4999999999999998E-2</v>
      </c>
      <c r="I8" s="802">
        <v>5.5E-2</v>
      </c>
      <c r="J8" s="74">
        <v>8.5000000000000006E-2</v>
      </c>
      <c r="K8" s="1254">
        <f>SUMIF('数据-汇总表'!C$19:C$33,A8,'数据-汇总表'!E$19:E$33)</f>
        <v>52208.590000000004</v>
      </c>
      <c r="L8" s="803">
        <v>4000</v>
      </c>
      <c r="M8" s="75">
        <f>ROUND(K8*L8/10000,0)</f>
        <v>20883</v>
      </c>
      <c r="N8" s="801">
        <v>0.3</v>
      </c>
      <c r="O8" s="75">
        <f t="shared" si="3"/>
        <v>6265</v>
      </c>
      <c r="P8" s="76">
        <f t="shared" si="4"/>
        <v>14618</v>
      </c>
      <c r="Q8" s="804">
        <v>0.25</v>
      </c>
      <c r="R8" s="77">
        <f ca="1">SUMIF('数据-汇总表'!C$19:C$33,A8,'数据-汇总表'!R$19:R$27)</f>
        <v>25396.5</v>
      </c>
      <c r="S8" s="54">
        <f>IF('数据-汇总表'!$I$17="按面积比例",SUMIF('数据-汇总表'!C$19:C$33,A8,'数据-汇总表'!K$19:K$33),SUMIF('数据-汇总表'!C$19:C$33,A8,'数据-汇总表'!N$19:N$33))</f>
        <v>1306.1099999999999</v>
      </c>
      <c r="T8" s="1446">
        <f t="shared" si="5"/>
        <v>327</v>
      </c>
      <c r="U8" s="805"/>
      <c r="V8" s="806"/>
      <c r="W8" s="806"/>
      <c r="X8" s="1264"/>
      <c r="Y8" s="807"/>
      <c r="Z8" s="81"/>
      <c r="AA8" s="74"/>
      <c r="AB8" s="74"/>
      <c r="AC8" s="1264"/>
      <c r="AD8" s="82"/>
      <c r="AE8" s="1265">
        <f t="shared" ca="1" si="6"/>
        <v>0</v>
      </c>
      <c r="AF8" s="1807"/>
      <c r="AG8" s="147">
        <f t="shared" si="7"/>
        <v>0</v>
      </c>
      <c r="AH8" s="808"/>
      <c r="AI8" s="85"/>
      <c r="AJ8" s="86"/>
      <c r="AK8" s="809"/>
      <c r="AL8" s="810"/>
      <c r="AM8" s="811"/>
      <c r="AN8" s="2308"/>
      <c r="AO8" s="55" t="e">
        <f t="shared" ca="1" si="8"/>
        <v>#REF!</v>
      </c>
      <c r="AP8" s="2309">
        <f t="shared" si="9"/>
        <v>208834360.00000003</v>
      </c>
      <c r="AQ8" s="55">
        <f t="shared" si="10"/>
        <v>98</v>
      </c>
      <c r="AR8" s="55">
        <f t="shared" si="11"/>
        <v>229</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4" customFormat="1" ht="14.25">
      <c r="A9" s="2305" t="str">
        <f>'数据-汇总表'!C22</f>
        <v>商业</v>
      </c>
      <c r="B9" s="2306" t="str">
        <f t="shared" si="1"/>
        <v>经营性</v>
      </c>
      <c r="C9" s="2307" t="s">
        <v>1377</v>
      </c>
      <c r="D9" s="1054">
        <f>SUMIF(项目基本情况!D$12:I$12,C9,项目基本情况!D$14:I$14)</f>
        <v>40</v>
      </c>
      <c r="E9" s="1051">
        <f>IF(B9="","",SUMIF(项目基本情况!D$12:I$12,C9,项目基本情况!D$13:I$13))</f>
        <v>57270</v>
      </c>
      <c r="F9" s="72">
        <f>SUMIF(项目基本情况!D$12:I$12,C9,项目基本情况!D$15:I$15)</f>
        <v>38.54</v>
      </c>
      <c r="G9" s="73">
        <f t="shared" si="2"/>
        <v>0.98799999999999999</v>
      </c>
      <c r="H9" s="802">
        <v>0.05</v>
      </c>
      <c r="I9" s="802">
        <v>0.06</v>
      </c>
      <c r="J9" s="74">
        <v>8.5000000000000006E-2</v>
      </c>
      <c r="K9" s="1254">
        <f>SUMIF('数据-汇总表'!C$19:C$33,A9,'数据-汇总表'!E$19:E$33)</f>
        <v>1443.06</v>
      </c>
      <c r="L9" s="803">
        <v>3000</v>
      </c>
      <c r="M9" s="75">
        <f t="shared" si="0"/>
        <v>433</v>
      </c>
      <c r="N9" s="801">
        <v>0.3</v>
      </c>
      <c r="O9" s="75">
        <f t="shared" si="3"/>
        <v>130</v>
      </c>
      <c r="P9" s="76">
        <f t="shared" si="4"/>
        <v>303</v>
      </c>
      <c r="Q9" s="90">
        <v>0.2</v>
      </c>
      <c r="R9" s="77">
        <f ca="1">SUMIF('数据-汇总表'!C$19:C$33,A9,'数据-汇总表'!R$19:R$27)</f>
        <v>691.06000000000006</v>
      </c>
      <c r="S9" s="54">
        <f>IF('数据-汇总表'!$I$17="按面积比例",SUMIF('数据-汇总表'!C$19:C$33,A9,'数据-汇总表'!K$19:K$33),SUMIF('数据-汇总表'!C$19:C$33,A9,'数据-汇总表'!N$19:N$33))</f>
        <v>36.1</v>
      </c>
      <c r="T9" s="1446">
        <f t="shared" si="5"/>
        <v>9</v>
      </c>
      <c r="U9" s="78">
        <v>6</v>
      </c>
      <c r="V9" s="79">
        <v>0.03</v>
      </c>
      <c r="W9" s="79">
        <v>0.1</v>
      </c>
      <c r="X9" s="1264"/>
      <c r="Y9" s="80">
        <v>1</v>
      </c>
      <c r="Z9" s="81"/>
      <c r="AA9" s="74"/>
      <c r="AB9" s="74"/>
      <c r="AC9" s="1264"/>
      <c r="AD9" s="82"/>
      <c r="AE9" s="1265">
        <f t="shared" ca="1" si="6"/>
        <v>37.54</v>
      </c>
      <c r="AF9" s="1807"/>
      <c r="AG9" s="147">
        <f t="shared" si="7"/>
        <v>0</v>
      </c>
      <c r="AH9" s="83"/>
      <c r="AI9" s="85">
        <v>365</v>
      </c>
      <c r="AJ9" s="86"/>
      <c r="AK9" s="87">
        <v>1.4999999999999999E-2</v>
      </c>
      <c r="AL9" s="88">
        <v>2E-3</v>
      </c>
      <c r="AM9" s="89">
        <v>0.02</v>
      </c>
      <c r="AN9" s="2308" t="s">
        <v>3286</v>
      </c>
      <c r="AO9" s="55">
        <f t="shared" ca="1" si="8"/>
        <v>5387</v>
      </c>
      <c r="AP9" s="2309">
        <f t="shared" si="9"/>
        <v>0</v>
      </c>
      <c r="AQ9" s="55">
        <f t="shared" si="10"/>
        <v>3</v>
      </c>
      <c r="AR9" s="55">
        <f t="shared" si="11"/>
        <v>6</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4" customFormat="1" ht="14.25">
      <c r="A10" s="2305" t="str">
        <f>'数据-汇总表'!C23</f>
        <v>地下车库</v>
      </c>
      <c r="B10" s="2306" t="str">
        <f t="shared" si="1"/>
        <v>经营性</v>
      </c>
      <c r="C10" s="2307" t="s">
        <v>3085</v>
      </c>
      <c r="D10" s="1054">
        <f>SUMIF(项目基本情况!D$12:I$12,C10,项目基本情况!D$14:I$14)</f>
        <v>50</v>
      </c>
      <c r="E10" s="1051">
        <f>IF(B10="","",SUMIF(项目基本情况!D$12:I$12,C10,项目基本情况!D$13:I$13))</f>
        <v>60922</v>
      </c>
      <c r="F10" s="72">
        <f>SUMIF(项目基本情况!D$12:I$12,C10,项目基本情况!D$15:I$15)</f>
        <v>48.54</v>
      </c>
      <c r="G10" s="73">
        <f t="shared" si="2"/>
        <v>0.99299999999999999</v>
      </c>
      <c r="H10" s="802">
        <v>0.05</v>
      </c>
      <c r="I10" s="802">
        <v>5.5E-2</v>
      </c>
      <c r="J10" s="74">
        <v>8.5000000000000006E-2</v>
      </c>
      <c r="K10" s="1254">
        <f>SUMIF('数据-汇总表'!C$19:C$33,A10,'数据-汇总表'!E$19:E$33)</f>
        <v>58557.179999999993</v>
      </c>
      <c r="L10" s="803">
        <v>2500</v>
      </c>
      <c r="M10" s="75">
        <f t="shared" si="0"/>
        <v>14639</v>
      </c>
      <c r="N10" s="801">
        <v>0.3</v>
      </c>
      <c r="O10" s="75">
        <f t="shared" si="3"/>
        <v>4392</v>
      </c>
      <c r="P10" s="76">
        <f t="shared" si="4"/>
        <v>10247</v>
      </c>
      <c r="Q10" s="90">
        <v>0.03</v>
      </c>
      <c r="R10" s="77">
        <f ca="1">SUMIF('数据-汇总表'!C$19:C$33,A10,'数据-汇总表'!R$19:R$27)</f>
        <v>28041.850000000002</v>
      </c>
      <c r="S10" s="54">
        <f>IF('数据-汇总表'!$I$17="按面积比例",SUMIF('数据-汇总表'!C$19:C$33,A10,'数据-汇总表'!K$19:K$33),SUMIF('数据-汇总表'!C$19:C$33,A10,'数据-汇总表'!N$19:N$33))</f>
        <v>1464.93</v>
      </c>
      <c r="T10" s="1446">
        <f t="shared" si="5"/>
        <v>366</v>
      </c>
      <c r="U10" s="78">
        <v>600</v>
      </c>
      <c r="V10" s="79">
        <v>0.02</v>
      </c>
      <c r="W10" s="79">
        <v>0.1</v>
      </c>
      <c r="X10" s="1264"/>
      <c r="Y10" s="80">
        <v>1</v>
      </c>
      <c r="Z10" s="81"/>
      <c r="AA10" s="74"/>
      <c r="AB10" s="74"/>
      <c r="AC10" s="1264"/>
      <c r="AD10" s="82"/>
      <c r="AE10" s="1265">
        <f t="shared" ca="1" si="6"/>
        <v>47.54</v>
      </c>
      <c r="AF10" s="1807"/>
      <c r="AG10" s="147">
        <f t="shared" si="7"/>
        <v>0</v>
      </c>
      <c r="AH10" s="83">
        <v>1890</v>
      </c>
      <c r="AI10" s="85">
        <v>12</v>
      </c>
      <c r="AJ10" s="86"/>
      <c r="AK10" s="87">
        <v>1.4999999999999999E-2</v>
      </c>
      <c r="AL10" s="88">
        <v>2E-3</v>
      </c>
      <c r="AM10" s="89">
        <v>0.02</v>
      </c>
      <c r="AN10" s="2308" t="s">
        <v>3288</v>
      </c>
      <c r="AO10" s="55">
        <f t="shared" ca="1" si="8"/>
        <v>13513</v>
      </c>
      <c r="AP10" s="2309">
        <f t="shared" si="9"/>
        <v>0</v>
      </c>
      <c r="AQ10" s="55">
        <f t="shared" si="10"/>
        <v>110</v>
      </c>
      <c r="AR10" s="55">
        <f t="shared" si="11"/>
        <v>256</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4" customFormat="1" ht="14.25">
      <c r="A11" s="2305" t="str">
        <f>'数据-汇总表'!C24</f>
        <v>安置房</v>
      </c>
      <c r="B11" s="2306" t="str">
        <f t="shared" si="1"/>
        <v>经营性</v>
      </c>
      <c r="C11" s="2307" t="s">
        <v>3190</v>
      </c>
      <c r="D11" s="1054">
        <f>SUMIF(项目基本情况!D$12:I$12,C11,项目基本情况!D$14:I$14)</f>
        <v>0</v>
      </c>
      <c r="E11" s="1051">
        <f>IF(B11="","",SUMIF(项目基本情况!D$12:I$12,C11,项目基本情况!D$13:I$13))</f>
        <v>0</v>
      </c>
      <c r="F11" s="72">
        <f>SUMIF(项目基本情况!D$12:I$12,C11,项目基本情况!D$15:I$15)</f>
        <v>0</v>
      </c>
      <c r="G11" s="73">
        <f t="shared" si="2"/>
        <v>0</v>
      </c>
      <c r="H11" s="802"/>
      <c r="I11" s="802"/>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4" customFormat="1" ht="14.25">
      <c r="A12" s="2305">
        <f>'数据-汇总表'!C25</f>
        <v>0</v>
      </c>
      <c r="B12" s="2306" t="str">
        <f t="shared" si="1"/>
        <v/>
      </c>
      <c r="C12" s="2307"/>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4" customFormat="1" ht="14.25">
      <c r="A13" s="2305">
        <f>'数据-汇总表'!C26</f>
        <v>0</v>
      </c>
      <c r="B13" s="2306" t="str">
        <f t="shared" si="1"/>
        <v/>
      </c>
      <c r="C13" s="2307"/>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4" customFormat="1" ht="14.25">
      <c r="A14" s="2310" t="s">
        <v>2013</v>
      </c>
      <c r="B14" s="2306" t="s">
        <v>2014</v>
      </c>
      <c r="C14" s="2311" t="s">
        <v>2013</v>
      </c>
      <c r="D14" s="1054"/>
      <c r="E14" s="1051"/>
      <c r="F14" s="72"/>
      <c r="G14" s="73"/>
      <c r="H14" s="1253"/>
      <c r="I14" s="1253"/>
      <c r="J14" s="1253"/>
      <c r="K14" s="1254">
        <f>SUMIF('数据-汇总表'!C$19:C$33,A14,'数据-汇总表'!E$19:E$33)</f>
        <v>4518.76</v>
      </c>
      <c r="L14" s="91">
        <v>2500</v>
      </c>
      <c r="M14" s="75">
        <f t="shared" si="0"/>
        <v>1130</v>
      </c>
      <c r="N14" s="92">
        <v>0.3</v>
      </c>
      <c r="O14" s="75">
        <f t="shared" si="3"/>
        <v>339</v>
      </c>
      <c r="P14" s="76">
        <f t="shared" si="4"/>
        <v>791</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4" customFormat="1" ht="27">
      <c r="A15" s="2310" t="s">
        <v>2015</v>
      </c>
      <c r="B15" s="2306" t="s">
        <v>2014</v>
      </c>
      <c r="C15" s="2311" t="s">
        <v>2016</v>
      </c>
      <c r="D15" s="1054"/>
      <c r="E15" s="1051"/>
      <c r="F15" s="72"/>
      <c r="G15" s="73"/>
      <c r="H15" s="1253"/>
      <c r="I15" s="1253"/>
      <c r="J15" s="1253"/>
      <c r="K15" s="1254">
        <f>SUMIF('数据-汇总表'!C$19:C$33,A15,'数据-汇总表'!E$19:E$33)</f>
        <v>1952.74</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4" customFormat="1" ht="15.75" thickBot="1">
      <c r="A16" s="2312" t="s">
        <v>2017</v>
      </c>
      <c r="B16" s="97"/>
      <c r="C16" s="1008"/>
      <c r="D16" s="2313"/>
      <c r="E16" s="97"/>
      <c r="F16" s="97"/>
      <c r="G16" s="98">
        <f>ROUND(SUMPRODUCT(G6:G13,K6:K13)/SUMPRODUCT((G6:G13&gt;0)*(K6:K13)),3)</f>
        <v>0.996</v>
      </c>
      <c r="H16" s="99">
        <f>ROUND(SUMPRODUCT(H6:H13,K6:K13)/SUMPRODUCT((H6:H13&gt;0)*(K6:K13)),3)</f>
        <v>4.7E-2</v>
      </c>
      <c r="I16" s="100"/>
      <c r="J16" s="100"/>
      <c r="K16" s="101">
        <f>SUM(K6:K15)</f>
        <v>187098.36</v>
      </c>
      <c r="L16" s="102">
        <f>ROUND(M16*10000/SUM(K6:K14),0)</f>
        <v>3296</v>
      </c>
      <c r="M16" s="102">
        <f>SUM(M6:M14)</f>
        <v>61032</v>
      </c>
      <c r="N16" s="103">
        <f>ROUND(SUMPRODUCT(M6:M14,N6:N14)/M16,3)</f>
        <v>0.27600000000000002</v>
      </c>
      <c r="O16" s="102">
        <f>SUM(O6:O14)</f>
        <v>16866</v>
      </c>
      <c r="P16" s="102">
        <f>SUM(P6:P14)</f>
        <v>44166</v>
      </c>
      <c r="Q16" s="104">
        <f>ROUND(SUMPRODUCT(Q6:Q13,K6:K13)/SUMPRODUCT((Q6:Q13&gt;0)*(K6:K13)),2)</f>
        <v>0.16</v>
      </c>
      <c r="R16" s="1258">
        <f ca="1">SUM(R6:R13)</f>
        <v>87410.87</v>
      </c>
      <c r="S16" s="105">
        <f>SUM(S6:S13)</f>
        <v>4518.76</v>
      </c>
      <c r="T16" s="106">
        <f>IF(SUMIF(T6:T13,"&lt;9E307")=M14,SUMIF(T6:T13,"&lt;9E307"),"有误，请检查")</f>
        <v>1130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4"/>
      <c r="D17" s="2272"/>
      <c r="E17" s="2272"/>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2018</v>
      </c>
      <c r="B18" s="2279"/>
      <c r="C18" s="2276"/>
      <c r="D18" s="2277"/>
      <c r="E18" s="2276"/>
      <c r="F18" s="2276"/>
      <c r="G18" s="2276"/>
      <c r="H18" s="2276"/>
      <c r="I18" s="2276"/>
      <c r="J18" s="2276"/>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5" t="s">
        <v>2019</v>
      </c>
      <c r="B19" s="112">
        <v>0</v>
      </c>
      <c r="C19" s="2276" t="s">
        <v>2020</v>
      </c>
      <c r="D19" s="2277"/>
      <c r="E19" s="2276"/>
      <c r="F19" s="2276"/>
      <c r="G19" s="2276"/>
      <c r="H19" s="2276"/>
      <c r="I19" s="2276"/>
      <c r="J19" s="2276"/>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6" t="s">
        <v>2021</v>
      </c>
      <c r="B20" s="113">
        <v>2</v>
      </c>
      <c r="C20" s="2276" t="s">
        <v>2022</v>
      </c>
      <c r="D20" s="2277"/>
      <c r="E20" s="2276"/>
      <c r="F20" s="2276"/>
      <c r="G20" s="2276"/>
      <c r="H20" s="2276"/>
      <c r="I20" s="2276"/>
      <c r="J20" s="2276"/>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7" t="s">
        <v>2023</v>
      </c>
      <c r="B21" s="113">
        <v>1</v>
      </c>
      <c r="C21" s="2276"/>
      <c r="D21" s="2277"/>
      <c r="E21" s="2276"/>
      <c r="F21" s="2276"/>
      <c r="G21" s="2276"/>
      <c r="H21" s="2276"/>
      <c r="I21" s="2276"/>
      <c r="J21" s="2276"/>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6" t="s">
        <v>2024</v>
      </c>
      <c r="B22" s="114">
        <f>B19+B20</f>
        <v>2</v>
      </c>
      <c r="C22" s="2276"/>
      <c r="D22" s="2277"/>
      <c r="E22" s="2276"/>
      <c r="F22" s="2276"/>
      <c r="G22" s="2276"/>
      <c r="H22" s="2276"/>
      <c r="I22" s="2276"/>
      <c r="J22" s="2276"/>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7" t="s">
        <v>2025</v>
      </c>
      <c r="B23" s="114">
        <f>B19+B21</f>
        <v>1</v>
      </c>
      <c r="C23" s="2276"/>
      <c r="D23" s="2277"/>
      <c r="E23" s="2276"/>
      <c r="F23" s="2276"/>
      <c r="G23" s="2276"/>
      <c r="H23" s="2276"/>
      <c r="I23" s="2276"/>
      <c r="J23" s="2276"/>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8" t="s">
        <v>2026</v>
      </c>
      <c r="B24" s="115">
        <f>B20-B21</f>
        <v>1</v>
      </c>
      <c r="C24" s="2276"/>
      <c r="D24" s="2277"/>
      <c r="E24" s="2276"/>
      <c r="F24" s="2276"/>
      <c r="G24" s="2276"/>
      <c r="H24" s="2276"/>
      <c r="I24" s="2276"/>
      <c r="J24" s="2276"/>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9"/>
      <c r="C25" s="2276"/>
      <c r="D25" s="2277"/>
      <c r="E25" s="2276"/>
      <c r="F25" s="2276"/>
      <c r="G25" s="2276"/>
      <c r="H25" s="2276"/>
      <c r="I25" s="2276"/>
      <c r="J25" s="2276"/>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5" t="s">
        <v>2027</v>
      </c>
      <c r="B26" s="2319" t="s">
        <v>2028</v>
      </c>
      <c r="C26" s="2320" t="s">
        <v>2029</v>
      </c>
      <c r="D26" s="2277"/>
      <c r="E26" s="2276"/>
      <c r="F26" s="2276"/>
      <c r="G26" s="2276"/>
      <c r="H26" s="2276"/>
      <c r="I26" s="2276"/>
      <c r="J26" s="2276"/>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3" customFormat="1" ht="27.75">
      <c r="A27" s="2321" t="s">
        <v>2030</v>
      </c>
      <c r="B27" s="116">
        <v>430</v>
      </c>
      <c r="C27" s="1767" t="s">
        <v>2031</v>
      </c>
      <c r="D27" s="2322"/>
      <c r="E27" s="1430"/>
      <c r="F27" s="1430"/>
      <c r="G27" s="2276"/>
      <c r="H27" s="2276"/>
      <c r="I27" s="2276"/>
      <c r="J27" s="2276"/>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2032</v>
      </c>
      <c r="B28" s="119">
        <v>0</v>
      </c>
      <c r="C28" s="2325"/>
      <c r="D28" s="2322"/>
      <c r="E28" s="1430"/>
      <c r="F28" s="1430"/>
      <c r="G28" s="2276"/>
      <c r="H28" s="2276"/>
      <c r="I28" s="2276"/>
      <c r="J28" s="2276"/>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2033</v>
      </c>
      <c r="B29" s="121">
        <v>0</v>
      </c>
      <c r="C29" s="1767" t="s">
        <v>2034</v>
      </c>
      <c r="D29" s="2322"/>
      <c r="E29" s="1430"/>
      <c r="F29" s="1430"/>
      <c r="G29" s="2276"/>
      <c r="H29" s="2276"/>
      <c r="I29" s="2276"/>
      <c r="J29" s="2276"/>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2035</v>
      </c>
      <c r="B30" s="724">
        <v>200</v>
      </c>
      <c r="C30" s="2325"/>
      <c r="D30" s="2322"/>
      <c r="E30" s="1430"/>
      <c r="F30" s="1430"/>
      <c r="G30" s="2276"/>
      <c r="H30" s="2276"/>
      <c r="I30" s="2276"/>
      <c r="J30" s="2276"/>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2036</v>
      </c>
      <c r="B31" s="120">
        <f>B30-B32</f>
        <v>200</v>
      </c>
      <c r="C31" s="1767"/>
      <c r="D31" s="2322"/>
      <c r="E31" s="1430"/>
      <c r="F31" s="1430"/>
      <c r="G31" s="2276"/>
      <c r="H31" s="2276"/>
      <c r="I31" s="2276"/>
      <c r="J31" s="2276"/>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2037</v>
      </c>
      <c r="B32" s="725">
        <v>0</v>
      </c>
      <c r="C32" s="2325"/>
      <c r="D32" s="2277"/>
      <c r="E32" s="2276"/>
      <c r="F32" s="2276"/>
      <c r="G32" s="2276"/>
      <c r="H32" s="2276"/>
      <c r="I32" s="2276"/>
      <c r="J32" s="2276"/>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2038</v>
      </c>
      <c r="B33" s="726">
        <v>0.03</v>
      </c>
      <c r="C33" s="1766" t="s">
        <v>2039</v>
      </c>
      <c r="D33" s="2277"/>
      <c r="E33" s="2276"/>
      <c r="F33" s="2276"/>
      <c r="G33" s="2276"/>
      <c r="H33" s="2276"/>
      <c r="I33" s="2276"/>
      <c r="J33" s="2276"/>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2040</v>
      </c>
      <c r="B34" s="122">
        <v>0.05</v>
      </c>
      <c r="C34" s="1766" t="s">
        <v>2041</v>
      </c>
      <c r="D34" s="2277" t="s">
        <v>2042</v>
      </c>
      <c r="E34" s="732"/>
      <c r="F34" s="2276"/>
      <c r="G34" s="2276"/>
      <c r="H34" s="2276"/>
      <c r="I34" s="2276"/>
      <c r="J34" s="2276"/>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2043</v>
      </c>
      <c r="B35" s="119">
        <v>200</v>
      </c>
      <c r="C35" s="1766" t="s">
        <v>2044</v>
      </c>
      <c r="D35" s="2322"/>
      <c r="E35" s="1430"/>
      <c r="F35" s="1430"/>
      <c r="G35" s="2276"/>
      <c r="H35" s="2276"/>
      <c r="I35" s="2276"/>
      <c r="J35" s="2276"/>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2045</v>
      </c>
      <c r="B36" s="123">
        <v>1.4999999999999999E-2</v>
      </c>
      <c r="C36" s="1766" t="s">
        <v>2046</v>
      </c>
      <c r="D36" s="2277"/>
      <c r="E36" s="2276"/>
      <c r="F36" s="2276"/>
      <c r="G36" s="2276"/>
      <c r="H36" s="2276"/>
      <c r="I36" s="2276"/>
      <c r="J36" s="2276"/>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7" t="s">
        <v>2047</v>
      </c>
      <c r="B37" s="124">
        <v>0.02</v>
      </c>
      <c r="C37" s="1766" t="s">
        <v>2048</v>
      </c>
      <c r="D37" s="2277"/>
      <c r="E37" s="2276"/>
      <c r="F37" s="2276"/>
      <c r="G37" s="2276"/>
      <c r="H37" s="2276"/>
      <c r="I37" s="2276"/>
      <c r="J37" s="2276"/>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4" t="s">
        <v>2049</v>
      </c>
      <c r="B38" s="122">
        <v>0.02</v>
      </c>
      <c r="C38" s="1766" t="s">
        <v>2048</v>
      </c>
      <c r="D38" s="2277"/>
      <c r="E38" s="2276"/>
      <c r="F38" s="2276"/>
      <c r="G38" s="2276"/>
      <c r="H38" s="2276"/>
      <c r="I38" s="2276"/>
      <c r="J38" s="2276"/>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8" t="s">
        <v>2050</v>
      </c>
      <c r="B39" s="362">
        <f ca="1">存贷款利率!I1</f>
        <v>1.4999999999999999E-2</v>
      </c>
      <c r="C39" s="1766"/>
      <c r="D39" s="2277"/>
      <c r="E39" s="2276"/>
      <c r="F39" s="2276"/>
      <c r="G39" s="2276"/>
      <c r="H39" s="2276"/>
      <c r="I39" s="2276"/>
      <c r="J39" s="2276"/>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8" t="s">
        <v>2051</v>
      </c>
      <c r="B40" s="1303">
        <f ca="1">存贷款利率!G1</f>
        <v>4.7500000000000001E-2</v>
      </c>
      <c r="C40" s="1766" t="s">
        <v>2052</v>
      </c>
      <c r="D40" s="1584"/>
      <c r="E40" s="2277"/>
      <c r="F40" s="2276"/>
      <c r="G40" s="2276"/>
      <c r="H40" s="2276"/>
      <c r="I40" s="2276"/>
      <c r="J40" s="2276"/>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1" t="s">
        <v>2053</v>
      </c>
      <c r="B41" s="125">
        <f>B42+B43</f>
        <v>5.6000000000000001E-2</v>
      </c>
      <c r="C41" s="1767"/>
      <c r="D41" s="1584"/>
      <c r="E41" s="2277"/>
      <c r="F41" s="2276"/>
      <c r="G41" s="2276"/>
      <c r="H41" s="2276"/>
      <c r="I41" s="2276"/>
      <c r="J41" s="2276"/>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9" t="s">
        <v>2054</v>
      </c>
      <c r="B42" s="126">
        <v>0.05</v>
      </c>
      <c r="C42" s="2330">
        <f>IF(B2&lt;DATE(2016,5,1),0,B42)</f>
        <v>0.05</v>
      </c>
      <c r="D42" s="2277"/>
      <c r="E42" s="2276"/>
      <c r="F42" s="2276"/>
      <c r="G42" s="2276"/>
      <c r="H42" s="2276"/>
      <c r="I42" s="2276"/>
      <c r="J42" s="2276"/>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9" t="s">
        <v>2055</v>
      </c>
      <c r="B43" s="127">
        <f>B42*(B44+B45+B46)+B47</f>
        <v>6.000000000000001E-3</v>
      </c>
      <c r="C43" s="1767"/>
      <c r="D43" s="2277"/>
      <c r="E43" s="2276"/>
      <c r="F43" s="2276"/>
      <c r="G43" s="2276"/>
      <c r="H43" s="2276"/>
      <c r="I43" s="2276"/>
      <c r="J43" s="2276"/>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1" t="s">
        <v>2056</v>
      </c>
      <c r="B44" s="128">
        <v>7.0000000000000007E-2</v>
      </c>
      <c r="C44" s="1766" t="s">
        <v>2057</v>
      </c>
      <c r="D44" s="2277"/>
      <c r="E44" s="2276"/>
      <c r="F44" s="2276"/>
      <c r="G44" s="2276"/>
      <c r="H44" s="2276"/>
      <c r="I44" s="2276"/>
      <c r="J44" s="2276"/>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1" t="s">
        <v>2058</v>
      </c>
      <c r="B45" s="126">
        <v>0.03</v>
      </c>
      <c r="C45" s="1767" t="s">
        <v>2059</v>
      </c>
      <c r="D45" s="2277"/>
      <c r="E45" s="2276"/>
      <c r="F45" s="2276"/>
      <c r="G45" s="2276"/>
      <c r="H45" s="2276"/>
      <c r="I45" s="2276"/>
      <c r="J45" s="2276"/>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1" t="s">
        <v>2060</v>
      </c>
      <c r="B46" s="126">
        <v>0.02</v>
      </c>
      <c r="C46" s="1767" t="s">
        <v>2061</v>
      </c>
      <c r="D46" s="2277"/>
      <c r="E46" s="2276"/>
      <c r="F46" s="2276"/>
      <c r="G46" s="2276"/>
      <c r="H46" s="2276"/>
      <c r="I46" s="2276"/>
      <c r="J46" s="2276"/>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2" t="s">
        <v>2062</v>
      </c>
      <c r="B47" s="129"/>
      <c r="C47" s="1767" t="s">
        <v>2063</v>
      </c>
      <c r="D47" s="2277"/>
      <c r="E47" s="2276"/>
      <c r="F47" s="2276"/>
      <c r="G47" s="2276"/>
      <c r="H47" s="2276"/>
      <c r="I47" s="2276"/>
      <c r="J47" s="2276"/>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3" t="s">
        <v>2064</v>
      </c>
      <c r="B48" s="130">
        <v>0.03</v>
      </c>
      <c r="C48" s="1774" t="s">
        <v>2065</v>
      </c>
      <c r="D48" s="2277"/>
      <c r="E48" s="2276"/>
      <c r="F48" s="2276"/>
      <c r="G48" s="2276"/>
      <c r="H48" s="2276"/>
      <c r="I48" s="2276"/>
      <c r="J48" s="2276"/>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8" t="s">
        <v>2066</v>
      </c>
      <c r="B49" s="126">
        <v>5.0000000000000001E-4</v>
      </c>
      <c r="C49" s="1774" t="s">
        <v>2067</v>
      </c>
      <c r="D49" s="2277"/>
      <c r="E49" s="2276"/>
      <c r="F49" s="2276"/>
      <c r="G49" s="2276"/>
      <c r="H49" s="2276"/>
      <c r="I49" s="2276"/>
      <c r="J49" s="2276"/>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4" t="s">
        <v>2068</v>
      </c>
      <c r="B50" s="131">
        <v>1.2E-2</v>
      </c>
      <c r="C50" s="1430"/>
      <c r="D50" s="2277"/>
      <c r="E50" s="2276"/>
      <c r="F50" s="2276"/>
      <c r="G50" s="2276"/>
      <c r="H50" s="2276"/>
      <c r="I50" s="2276"/>
      <c r="J50" s="2276"/>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6" t="s">
        <v>2069</v>
      </c>
      <c r="B51" s="132">
        <v>0.12</v>
      </c>
      <c r="C51" s="1430"/>
      <c r="D51" s="2277"/>
      <c r="E51" s="2276"/>
      <c r="F51" s="2276"/>
      <c r="G51" s="2276"/>
      <c r="H51" s="2276"/>
      <c r="I51" s="2276"/>
      <c r="J51" s="2276"/>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4" t="s">
        <v>2070</v>
      </c>
      <c r="B52" s="133">
        <f>SUMIF(A54:A63,B53,B54:B63)</f>
        <v>12</v>
      </c>
      <c r="C52" s="1430"/>
      <c r="D52" s="2277"/>
      <c r="E52" s="2276"/>
      <c r="F52" s="2276"/>
      <c r="G52" s="2276"/>
      <c r="H52" s="2276"/>
      <c r="I52" s="2276"/>
      <c r="J52" s="2276"/>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4" t="s">
        <v>2071</v>
      </c>
      <c r="B53" s="2335" t="s">
        <v>3058</v>
      </c>
      <c r="C53" s="1430" t="s">
        <v>2072</v>
      </c>
      <c r="D53" s="2336" t="s">
        <v>2073</v>
      </c>
      <c r="E53" s="2276"/>
      <c r="F53" s="2276"/>
      <c r="G53" s="2276"/>
      <c r="H53" s="2276"/>
      <c r="I53" s="2276"/>
      <c r="J53" s="2276"/>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7" t="s">
        <v>2074</v>
      </c>
      <c r="B54" s="84"/>
      <c r="C54" s="1430">
        <v>30</v>
      </c>
      <c r="D54" s="2277"/>
      <c r="E54" s="2276"/>
      <c r="F54" s="2276"/>
      <c r="G54" s="2276"/>
      <c r="H54" s="2276"/>
      <c r="I54" s="2276"/>
      <c r="J54" s="2276"/>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947" t="s">
        <v>3059</v>
      </c>
      <c r="B55" s="84">
        <v>12</v>
      </c>
      <c r="C55" s="1430">
        <v>24</v>
      </c>
      <c r="D55" s="2277"/>
      <c r="E55" s="2276"/>
      <c r="F55" s="2276"/>
      <c r="G55" s="2276"/>
      <c r="H55" s="2276"/>
      <c r="I55" s="2338"/>
      <c r="J55" s="2276"/>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7" t="s">
        <v>2075</v>
      </c>
      <c r="B56" s="84"/>
      <c r="C56" s="1430">
        <v>18</v>
      </c>
      <c r="D56" s="2277"/>
      <c r="E56" s="2276"/>
      <c r="F56" s="2276"/>
      <c r="G56" s="2276"/>
      <c r="H56" s="2276"/>
      <c r="I56" s="2276"/>
      <c r="J56" s="2276"/>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7" t="s">
        <v>2076</v>
      </c>
      <c r="B57" s="84"/>
      <c r="C57" s="1430">
        <v>12</v>
      </c>
      <c r="D57" s="2277"/>
      <c r="E57" s="2276"/>
      <c r="F57" s="2276"/>
      <c r="G57" s="2276"/>
      <c r="H57" s="2276"/>
      <c r="I57" s="2276"/>
      <c r="J57" s="2276"/>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7" t="s">
        <v>2077</v>
      </c>
      <c r="B58" s="84"/>
      <c r="C58" s="1430">
        <v>3</v>
      </c>
      <c r="D58" s="2277"/>
      <c r="E58" s="2276"/>
      <c r="F58" s="2276"/>
      <c r="G58" s="2276"/>
      <c r="H58" s="2276"/>
      <c r="I58" s="2276"/>
      <c r="J58" s="2276"/>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7" t="s">
        <v>2078</v>
      </c>
      <c r="B59" s="84"/>
      <c r="C59" s="1430">
        <v>1.5</v>
      </c>
      <c r="D59" s="2277"/>
      <c r="E59" s="2276"/>
      <c r="F59" s="2276"/>
      <c r="G59" s="2276"/>
      <c r="H59" s="2276"/>
      <c r="I59" s="2276"/>
      <c r="J59" s="2276"/>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7" t="s">
        <v>2079</v>
      </c>
      <c r="B60" s="84"/>
      <c r="C60" s="2276"/>
      <c r="D60" s="2277"/>
      <c r="E60" s="2276"/>
      <c r="F60" s="2276"/>
      <c r="G60" s="2276"/>
      <c r="H60" s="2276"/>
      <c r="I60" s="2276"/>
      <c r="J60" s="2276"/>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7" t="s">
        <v>2080</v>
      </c>
      <c r="B61" s="84"/>
      <c r="C61" s="2276"/>
      <c r="D61" s="2277"/>
      <c r="E61" s="2276"/>
      <c r="F61" s="2276"/>
      <c r="G61" s="2276"/>
      <c r="H61" s="2276"/>
      <c r="I61" s="2276"/>
      <c r="J61" s="2276"/>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7" t="s">
        <v>2081</v>
      </c>
      <c r="B62" s="84"/>
      <c r="C62" s="2276"/>
      <c r="D62" s="2277"/>
      <c r="E62" s="2276"/>
      <c r="F62" s="2276"/>
      <c r="G62" s="2276"/>
      <c r="H62" s="2276"/>
      <c r="I62" s="2276"/>
      <c r="J62" s="2276"/>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9" t="s">
        <v>2082</v>
      </c>
      <c r="B63" s="134"/>
      <c r="C63" s="2276"/>
      <c r="D63" s="2277"/>
      <c r="E63" s="2276"/>
      <c r="F63" s="2276"/>
      <c r="G63" s="2276"/>
      <c r="H63" s="2276"/>
      <c r="I63" s="2276"/>
      <c r="J63" s="2276"/>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76" t="s">
        <v>2083</v>
      </c>
      <c r="B1" s="3077"/>
      <c r="C1" s="3077"/>
      <c r="D1" s="3077"/>
      <c r="E1" s="3077"/>
      <c r="F1" s="3077"/>
      <c r="G1" s="3077"/>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2084</v>
      </c>
      <c r="D2" s="2365"/>
      <c r="E2" s="2366"/>
      <c r="F2" s="2285"/>
      <c r="G2" s="2364" t="s">
        <v>2085</v>
      </c>
      <c r="H2" s="2367"/>
      <c r="I2" s="2367"/>
      <c r="J2" s="2367"/>
      <c r="K2" s="2367"/>
      <c r="L2" s="2367"/>
      <c r="M2" s="2367"/>
      <c r="N2" s="2367"/>
      <c r="O2" s="2367"/>
      <c r="P2" s="2367"/>
      <c r="Q2" s="2367"/>
      <c r="R2" s="2367"/>
    </row>
    <row r="3" spans="1:29" ht="54">
      <c r="A3" s="415" t="s">
        <v>2086</v>
      </c>
      <c r="B3" s="1271" t="s">
        <v>2087</v>
      </c>
      <c r="C3" s="2369" t="s">
        <v>2088</v>
      </c>
      <c r="D3" s="2370"/>
      <c r="E3" s="431" t="s">
        <v>2086</v>
      </c>
      <c r="F3" s="2371" t="s">
        <v>2089</v>
      </c>
      <c r="G3" s="2372" t="s">
        <v>2090</v>
      </c>
      <c r="H3" s="2367"/>
      <c r="I3" s="2367"/>
      <c r="J3" s="2367"/>
      <c r="K3" s="2367"/>
      <c r="L3" s="2367"/>
      <c r="M3" s="2367"/>
      <c r="N3" s="2367"/>
      <c r="O3" s="2367"/>
      <c r="P3" s="2367"/>
      <c r="Q3" s="2367"/>
      <c r="R3" s="2367"/>
    </row>
    <row r="4" spans="1:29" ht="41.25">
      <c r="A4" s="431"/>
      <c r="B4" s="1798" t="s">
        <v>2091</v>
      </c>
      <c r="C4" s="2373" t="s">
        <v>2092</v>
      </c>
      <c r="D4" s="2370"/>
      <c r="E4" s="2374"/>
      <c r="F4" s="42" t="s">
        <v>2093</v>
      </c>
      <c r="G4" s="2375" t="s">
        <v>2094</v>
      </c>
      <c r="H4" s="2367"/>
      <c r="I4" s="2367"/>
      <c r="J4" s="2367"/>
      <c r="K4" s="2367"/>
      <c r="L4" s="2367"/>
      <c r="M4" s="2367"/>
      <c r="N4" s="2367"/>
      <c r="O4" s="2367"/>
      <c r="P4" s="2367"/>
      <c r="Q4" s="2367"/>
      <c r="R4" s="2367"/>
    </row>
    <row r="5" spans="1:29" ht="41.25">
      <c r="A5" s="431"/>
      <c r="B5" s="1798" t="s">
        <v>2095</v>
      </c>
      <c r="C5" s="2373" t="s">
        <v>2096</v>
      </c>
      <c r="D5" s="2370"/>
      <c r="E5" s="2374"/>
      <c r="F5" s="1798" t="s">
        <v>2097</v>
      </c>
      <c r="G5" s="2375" t="s">
        <v>2098</v>
      </c>
      <c r="H5" s="2367"/>
      <c r="I5" s="2367"/>
      <c r="J5" s="2367"/>
      <c r="K5" s="2367"/>
      <c r="L5" s="2367"/>
      <c r="M5" s="2367"/>
      <c r="N5" s="2367"/>
      <c r="O5" s="2367"/>
      <c r="P5" s="2367"/>
      <c r="Q5" s="2367"/>
      <c r="R5" s="2367"/>
    </row>
    <row r="6" spans="1:29" ht="54">
      <c r="A6" s="431"/>
      <c r="B6" s="1798" t="s">
        <v>2099</v>
      </c>
      <c r="C6" s="2375" t="s">
        <v>2094</v>
      </c>
      <c r="D6" s="2370"/>
      <c r="E6" s="2374"/>
      <c r="F6" s="1798" t="s">
        <v>2100</v>
      </c>
      <c r="G6" s="2375" t="s">
        <v>2101</v>
      </c>
      <c r="H6" s="2367"/>
      <c r="I6" s="2367"/>
      <c r="J6" s="2367"/>
      <c r="K6" s="2367"/>
      <c r="L6" s="2367"/>
      <c r="M6" s="2367"/>
      <c r="N6" s="2367"/>
      <c r="O6" s="2367"/>
      <c r="P6" s="2367"/>
      <c r="Q6" s="2367"/>
      <c r="R6" s="2367"/>
    </row>
    <row r="7" spans="1:29" ht="41.25" thickBot="1">
      <c r="A7" s="431"/>
      <c r="B7" s="1798" t="s">
        <v>2097</v>
      </c>
      <c r="C7" s="2375" t="s">
        <v>2098</v>
      </c>
      <c r="D7" s="2376"/>
      <c r="E7" s="2377"/>
      <c r="F7" s="2378" t="s">
        <v>2102</v>
      </c>
      <c r="G7" s="2379" t="s">
        <v>2103</v>
      </c>
      <c r="H7" s="2367"/>
      <c r="I7" s="2367"/>
      <c r="J7" s="2367"/>
      <c r="K7" s="2367"/>
      <c r="L7" s="2367"/>
      <c r="M7" s="2367"/>
      <c r="N7" s="2367"/>
      <c r="O7" s="2367"/>
      <c r="P7" s="2367"/>
      <c r="Q7" s="2367"/>
      <c r="R7" s="2367"/>
    </row>
    <row r="8" spans="1:29" ht="27">
      <c r="A8" s="431"/>
      <c r="B8" s="1798" t="s">
        <v>2100</v>
      </c>
      <c r="C8" s="2375" t="s">
        <v>2101</v>
      </c>
      <c r="D8" s="2376"/>
      <c r="E8" s="2376"/>
      <c r="F8" s="1136"/>
      <c r="G8" s="1136"/>
      <c r="H8" s="2367"/>
      <c r="I8" s="2367"/>
      <c r="J8" s="2367"/>
      <c r="K8" s="2367"/>
      <c r="L8" s="2367"/>
      <c r="M8" s="2367"/>
      <c r="N8" s="2367"/>
      <c r="O8" s="2367"/>
      <c r="P8" s="2367"/>
      <c r="Q8" s="2367"/>
      <c r="R8" s="2367"/>
    </row>
    <row r="9" spans="1:29" ht="27">
      <c r="A9" s="431"/>
      <c r="B9" s="1798" t="s">
        <v>2104</v>
      </c>
      <c r="C9" s="2373" t="s">
        <v>2105</v>
      </c>
      <c r="D9" s="2370"/>
      <c r="E9" s="2376"/>
      <c r="F9" s="1136"/>
      <c r="G9" s="1136"/>
      <c r="H9" s="2367"/>
      <c r="I9" s="2367"/>
      <c r="J9" s="2367"/>
      <c r="K9" s="2367"/>
      <c r="L9" s="2367"/>
      <c r="M9" s="2367"/>
      <c r="N9" s="2367"/>
      <c r="O9" s="2367"/>
      <c r="P9" s="2367"/>
      <c r="Q9" s="2367"/>
      <c r="R9" s="2367"/>
    </row>
    <row r="10" spans="1:29" s="117" customFormat="1" ht="15.75" thickBot="1">
      <c r="A10" s="2380"/>
      <c r="B10" s="2381" t="s">
        <v>2106</v>
      </c>
      <c r="C10" s="2382"/>
      <c r="D10" s="2370"/>
      <c r="E10" s="2370"/>
      <c r="F10" s="1136"/>
      <c r="G10" s="1136"/>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4"/>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4"/>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2107</v>
      </c>
      <c r="B13" s="2387"/>
      <c r="C13" s="2387"/>
      <c r="D13" s="2394"/>
      <c r="E13" s="2387"/>
      <c r="F13" s="2387"/>
      <c r="G13" s="2387"/>
    </row>
    <row r="14" spans="1:29" ht="15.75" thickBot="1">
      <c r="A14" s="2398"/>
      <c r="B14" s="2399"/>
      <c r="C14" s="2400" t="s">
        <v>2108</v>
      </c>
      <c r="D14" s="2370"/>
      <c r="E14" s="2401"/>
      <c r="F14" s="2401"/>
      <c r="G14" s="2364" t="s">
        <v>2109</v>
      </c>
    </row>
    <row r="15" spans="1:29" ht="57">
      <c r="A15" s="68" t="s">
        <v>2110</v>
      </c>
      <c r="B15" s="1270" t="s">
        <v>2087</v>
      </c>
      <c r="C15" s="2402" t="str">
        <f>C3</f>
        <v>估价对象周边居住用地比例、居住小区规模和社区发展完善程度，综合评价居住社区成熟度一般</v>
      </c>
      <c r="D15" s="2370"/>
      <c r="E15" s="2403" t="s">
        <v>2111</v>
      </c>
      <c r="F15" s="1270" t="s">
        <v>2112</v>
      </c>
      <c r="G15" s="135" t="str">
        <f>G3</f>
        <v>估价对象位于XX开发区，园区建设成熟度XX，产业集聚程度XX</v>
      </c>
    </row>
    <row r="16" spans="1:29" ht="42.75">
      <c r="A16" s="645"/>
      <c r="B16" s="2404" t="s">
        <v>2091</v>
      </c>
      <c r="C16" s="2405" t="str">
        <f>C4</f>
        <v>估价对象位于XX商圈，周边商业氛围成熟，人流量大，商业繁华度好</v>
      </c>
      <c r="D16" s="2370"/>
      <c r="E16" s="2406"/>
      <c r="F16" s="2407" t="s">
        <v>2093</v>
      </c>
      <c r="G16" s="136" t="str">
        <f>G4</f>
        <v>估价对象周边道路状况、公共交通通达情况、停车便捷程度，综合评价交通便捷度较好</v>
      </c>
    </row>
    <row r="17" spans="1:18" ht="42.75">
      <c r="A17" s="645"/>
      <c r="B17" s="2404" t="s">
        <v>2095</v>
      </c>
      <c r="C17" s="2405" t="str">
        <f>C5</f>
        <v>估价对象位于XX商圈，周边办公楼项目较多，入驻率高，办公集聚程度较好</v>
      </c>
      <c r="D17" s="2376"/>
      <c r="E17" s="2406"/>
      <c r="F17" s="2407" t="s">
        <v>2113</v>
      </c>
      <c r="G17" s="1572"/>
    </row>
    <row r="18" spans="1:18" ht="57">
      <c r="A18" s="645"/>
      <c r="B18" s="2407" t="s">
        <v>2099</v>
      </c>
      <c r="C18" s="136" t="str">
        <f>C6</f>
        <v>估价对象周边道路状况、公共交通通达情况、停车便捷程度，综合评价交通便捷度较好</v>
      </c>
      <c r="D18" s="2376"/>
      <c r="E18" s="2406"/>
      <c r="F18" s="2407" t="s">
        <v>2102</v>
      </c>
      <c r="G18" s="136" t="str">
        <f>G7</f>
        <v>该园区内是否有污染型企业，绿化情况，卫生条件，整体环境状况判断</v>
      </c>
    </row>
    <row r="19" spans="1:18" ht="28.5">
      <c r="A19" s="645"/>
      <c r="B19" s="2407" t="s">
        <v>2114</v>
      </c>
      <c r="C19" s="1572"/>
      <c r="D19" s="2370"/>
      <c r="E19" s="2406"/>
      <c r="F19" s="1798" t="s">
        <v>2097</v>
      </c>
      <c r="G19" s="136" t="str">
        <f>G5</f>
        <v>估价对象所在区域公共配套设施齐备情况</v>
      </c>
    </row>
    <row r="20" spans="1:18" ht="28.5">
      <c r="A20" s="645"/>
      <c r="B20" s="2407" t="s">
        <v>2115</v>
      </c>
      <c r="C20" s="2405" t="str">
        <f>C9</f>
        <v>区域自然环境：；人文环境；综合评价环境状况一般</v>
      </c>
      <c r="D20" s="2376"/>
      <c r="E20" s="2406"/>
      <c r="F20" s="1798" t="s">
        <v>2116</v>
      </c>
      <c r="G20" s="136" t="str">
        <f>G6</f>
        <v>估价对象所在区域基础设施水平</v>
      </c>
    </row>
    <row r="21" spans="1:18" ht="28.5">
      <c r="A21" s="645"/>
      <c r="B21" s="1798" t="s">
        <v>2097</v>
      </c>
      <c r="C21" s="136" t="str">
        <f>C7</f>
        <v>估价对象所在区域公共配套设施齐备情况</v>
      </c>
      <c r="D21" s="2370"/>
      <c r="E21" s="2406"/>
      <c r="F21" s="2407" t="s">
        <v>2117</v>
      </c>
      <c r="G21" s="2408"/>
    </row>
    <row r="22" spans="1:18" ht="13.5" customHeight="1">
      <c r="A22" s="645"/>
      <c r="B22" s="1798" t="s">
        <v>2100</v>
      </c>
      <c r="C22" s="136" t="str">
        <f>C8</f>
        <v>估价对象所在区域基础设施水平</v>
      </c>
      <c r="D22" s="2370"/>
      <c r="E22" s="2406"/>
      <c r="F22" s="2407" t="s">
        <v>2106</v>
      </c>
      <c r="G22" s="1572"/>
    </row>
    <row r="23" spans="1:18" s="2367" customFormat="1" ht="15.75" thickBot="1">
      <c r="A23" s="645"/>
      <c r="B23" s="2407" t="s">
        <v>2117</v>
      </c>
      <c r="C23" s="2408"/>
      <c r="D23" s="2395"/>
      <c r="E23" s="2409"/>
      <c r="F23" s="2410" t="s">
        <v>2118</v>
      </c>
      <c r="G23" s="2411"/>
      <c r="H23" s="2395"/>
      <c r="I23" s="2396"/>
      <c r="J23" s="2395"/>
      <c r="K23" s="2395"/>
      <c r="L23" s="2396"/>
      <c r="M23" s="2395"/>
      <c r="N23" s="2395"/>
      <c r="O23" s="2396"/>
      <c r="P23" s="2395"/>
      <c r="Q23" s="2395"/>
      <c r="R23" s="2397"/>
    </row>
    <row r="24" spans="1:18" s="2367" customFormat="1" ht="15.75" thickBot="1">
      <c r="A24" s="2412"/>
      <c r="B24" s="2410" t="s">
        <v>2119</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187098.36000000002</v>
      </c>
      <c r="C1" s="1745"/>
      <c r="D1" s="1745"/>
      <c r="E1" s="1745"/>
      <c r="F1" s="1745"/>
      <c r="G1" s="1743"/>
    </row>
    <row r="2" spans="1:10" ht="16.5">
      <c r="A2" s="1746" t="s">
        <v>1353</v>
      </c>
      <c r="B2" s="1746">
        <f>SUM(C14:C23)</f>
        <v>87410.87</v>
      </c>
      <c r="C2" s="1745"/>
      <c r="D2" s="1745"/>
      <c r="E2" s="1745"/>
      <c r="F2" s="1745"/>
      <c r="G2" s="1743"/>
    </row>
    <row r="3" spans="1:10" ht="16.5">
      <c r="A3" s="1746" t="s">
        <v>1362</v>
      </c>
      <c r="B3" s="1747">
        <f>项目基本情况!D3</f>
        <v>43202</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300998</v>
      </c>
      <c r="C5" s="1746">
        <f ca="1">ROUND(B5*10000/$B$1,0)</f>
        <v>16088</v>
      </c>
      <c r="D5" s="1746">
        <f ca="1">ROUND(B5*10000/$B$2,0)</f>
        <v>34435</v>
      </c>
      <c r="E5" s="1745"/>
      <c r="F5" s="1743"/>
      <c r="G5" s="1743"/>
    </row>
    <row r="6" spans="1:10" ht="16.5">
      <c r="A6" s="1746" t="s">
        <v>1356</v>
      </c>
      <c r="B6" s="1746">
        <f ca="1">SUM(G14:G23)</f>
        <v>300998</v>
      </c>
      <c r="C6" s="1746">
        <f ca="1">ROUND(B6*10000/$B$1,0)</f>
        <v>16088</v>
      </c>
      <c r="D6" s="1746">
        <f ca="1">ROUND(B6*10000/$B$2,0)</f>
        <v>34435</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187098.36000000002</v>
      </c>
      <c r="C14" s="1744">
        <f>结果表!C118</f>
        <v>87410.87</v>
      </c>
      <c r="D14" s="1744">
        <f ca="1">结果表!H118</f>
        <v>300998</v>
      </c>
      <c r="E14" s="1744">
        <f ca="1">ROUND(D14*10000/B14,0)</f>
        <v>16088</v>
      </c>
      <c r="F14" s="1744">
        <f ca="1">ROUND(D14*10000/C14,0)</f>
        <v>34435</v>
      </c>
      <c r="G14" s="1744">
        <f ca="1">结果表!D122</f>
        <v>300998</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7" zoomScaleNormal="100" zoomScaleSheetLayoutView="100" zoomScalePageLayoutView="80" workbookViewId="0">
      <selection activeCell="K23" sqref="K23"/>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4" t="s">
        <v>2120</v>
      </c>
      <c r="B1" s="2418"/>
      <c r="C1" s="2419"/>
      <c r="D1" s="2418"/>
      <c r="E1" s="2418"/>
      <c r="F1" s="2420" t="s">
        <v>2121</v>
      </c>
      <c r="G1" s="2070" t="s">
        <v>2122</v>
      </c>
      <c r="H1" s="2421" t="str">
        <f>IF(G1="现房","——","估价对象范围")</f>
        <v>估价对象范围</v>
      </c>
      <c r="I1" s="2422"/>
    </row>
    <row r="2" spans="1:12" ht="21.75" customHeight="1" thickBot="1">
      <c r="A2" s="3150" t="str">
        <f>项目基本情况!S2</f>
        <v>上海市崇明区长兴镇14街坊82/4丘出让国有建设用地使用权及在建建筑物房地产</v>
      </c>
      <c r="B2" s="3151"/>
      <c r="C2" s="3151"/>
      <c r="D2" s="3151"/>
      <c r="E2" s="3151"/>
      <c r="F2" s="3151"/>
      <c r="G2" s="3151"/>
      <c r="H2" s="3151"/>
      <c r="I2" s="3152"/>
    </row>
    <row r="3" spans="1:12" ht="12.75">
      <c r="A3" s="3153" t="s">
        <v>2123</v>
      </c>
      <c r="B3" s="3154"/>
      <c r="C3" s="3154"/>
      <c r="D3" s="3154"/>
      <c r="E3" s="3154"/>
      <c r="F3" s="3154"/>
      <c r="G3" s="3154"/>
      <c r="H3" s="3154"/>
      <c r="I3" s="3154"/>
    </row>
    <row r="4" spans="1:12" ht="14.25">
      <c r="A4" s="2425" t="s">
        <v>2124</v>
      </c>
      <c r="B4" s="2426" t="s">
        <v>2125</v>
      </c>
      <c r="C4" s="2427" t="s">
        <v>3060</v>
      </c>
      <c r="D4" s="2427" t="s">
        <v>3061</v>
      </c>
      <c r="E4" s="3134" t="s">
        <v>2126</v>
      </c>
      <c r="F4" s="3147"/>
      <c r="G4" s="3147"/>
      <c r="H4" s="3147"/>
      <c r="I4" s="3135"/>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假设开发法</v>
      </c>
    </row>
    <row r="5" spans="1:12" ht="12.75">
      <c r="A5" s="3125" t="s">
        <v>2127</v>
      </c>
      <c r="B5" s="3051">
        <v>25</v>
      </c>
      <c r="C5" s="3155"/>
      <c r="D5" s="3143"/>
      <c r="E5" s="140" t="s">
        <v>2128</v>
      </c>
      <c r="F5" s="2429"/>
      <c r="G5" s="2429"/>
      <c r="H5" s="2429"/>
      <c r="I5" s="1834"/>
    </row>
    <row r="6" spans="1:12" ht="12.75">
      <c r="A6" s="3125"/>
      <c r="B6" s="3051"/>
      <c r="C6" s="3157"/>
      <c r="D6" s="3143"/>
      <c r="E6" s="140" t="s">
        <v>2129</v>
      </c>
      <c r="F6" s="2429"/>
      <c r="G6" s="2429"/>
      <c r="H6" s="2429"/>
      <c r="I6" s="1834"/>
    </row>
    <row r="7" spans="1:12" ht="12.75">
      <c r="A7" s="3125"/>
      <c r="B7" s="3051"/>
      <c r="C7" s="3156"/>
      <c r="D7" s="3143"/>
      <c r="E7" s="140" t="s">
        <v>2130</v>
      </c>
      <c r="F7" s="2429"/>
      <c r="G7" s="2429"/>
      <c r="H7" s="2429"/>
      <c r="I7" s="1834"/>
    </row>
    <row r="8" spans="1:12" ht="12.75">
      <c r="A8" s="3125" t="s">
        <v>2131</v>
      </c>
      <c r="B8" s="3051">
        <v>15</v>
      </c>
      <c r="C8" s="3155"/>
      <c r="D8" s="3143"/>
      <c r="E8" s="140" t="s">
        <v>2132</v>
      </c>
      <c r="F8" s="2429"/>
      <c r="G8" s="2429"/>
      <c r="H8" s="2429"/>
      <c r="I8" s="1834"/>
    </row>
    <row r="9" spans="1:12" ht="12.75">
      <c r="A9" s="3125"/>
      <c r="B9" s="3051"/>
      <c r="C9" s="3156"/>
      <c r="D9" s="3143"/>
      <c r="E9" s="140" t="s">
        <v>2133</v>
      </c>
      <c r="F9" s="2429"/>
      <c r="G9" s="2429"/>
      <c r="H9" s="2429"/>
      <c r="I9" s="1834"/>
    </row>
    <row r="10" spans="1:12" ht="12.75">
      <c r="A10" s="3125" t="s">
        <v>2134</v>
      </c>
      <c r="B10" s="3051">
        <v>15</v>
      </c>
      <c r="C10" s="3155"/>
      <c r="D10" s="3143"/>
      <c r="E10" s="140" t="s">
        <v>2135</v>
      </c>
      <c r="F10" s="2429"/>
      <c r="G10" s="2429"/>
      <c r="H10" s="2429"/>
      <c r="I10" s="1834"/>
    </row>
    <row r="11" spans="1:12" ht="12.75">
      <c r="A11" s="3125"/>
      <c r="B11" s="3051"/>
      <c r="C11" s="3156"/>
      <c r="D11" s="3143"/>
      <c r="E11" s="140" t="s">
        <v>2136</v>
      </c>
      <c r="F11" s="2429"/>
      <c r="G11" s="2429"/>
      <c r="H11" s="2429"/>
      <c r="I11" s="1834"/>
    </row>
    <row r="12" spans="1:12" ht="12.75">
      <c r="A12" s="3125" t="s">
        <v>2137</v>
      </c>
      <c r="B12" s="3051">
        <v>15</v>
      </c>
      <c r="C12" s="3155"/>
      <c r="D12" s="3143"/>
      <c r="E12" s="140" t="s">
        <v>2138</v>
      </c>
      <c r="F12" s="2429"/>
      <c r="G12" s="2429"/>
      <c r="H12" s="2429"/>
      <c r="I12" s="1834"/>
    </row>
    <row r="13" spans="1:12" ht="12.75">
      <c r="A13" s="3125"/>
      <c r="B13" s="3051"/>
      <c r="C13" s="3156"/>
      <c r="D13" s="3143"/>
      <c r="E13" s="140" t="s">
        <v>2139</v>
      </c>
      <c r="F13" s="2429"/>
      <c r="G13" s="2429"/>
      <c r="H13" s="2429"/>
      <c r="I13" s="1834"/>
    </row>
    <row r="14" spans="1:12" ht="12.75">
      <c r="A14" s="3125" t="s">
        <v>2140</v>
      </c>
      <c r="B14" s="3051">
        <v>30</v>
      </c>
      <c r="C14" s="3155">
        <v>5</v>
      </c>
      <c r="D14" s="3143">
        <v>5</v>
      </c>
      <c r="E14" s="140" t="s">
        <v>2141</v>
      </c>
      <c r="F14" s="2429"/>
      <c r="G14" s="2429"/>
      <c r="H14" s="2429"/>
      <c r="I14" s="1834"/>
    </row>
    <row r="15" spans="1:12" ht="12.75">
      <c r="A15" s="3125"/>
      <c r="B15" s="3051"/>
      <c r="C15" s="3157"/>
      <c r="D15" s="3143"/>
      <c r="E15" s="140" t="s">
        <v>2142</v>
      </c>
      <c r="F15" s="2429"/>
      <c r="G15" s="2429"/>
      <c r="H15" s="2429"/>
      <c r="I15" s="1834"/>
    </row>
    <row r="16" spans="1:12" ht="12.75">
      <c r="A16" s="3125"/>
      <c r="B16" s="3051"/>
      <c r="C16" s="3156"/>
      <c r="D16" s="3143"/>
      <c r="E16" s="140" t="s">
        <v>2143</v>
      </c>
      <c r="F16" s="2429"/>
      <c r="G16" s="2429"/>
      <c r="H16" s="2429"/>
      <c r="I16" s="1834"/>
    </row>
    <row r="17" spans="1:35" ht="15">
      <c r="A17" s="2430" t="s">
        <v>2144</v>
      </c>
      <c r="B17" s="64"/>
      <c r="C17" s="141">
        <f>SUM(C5:C16)</f>
        <v>5</v>
      </c>
      <c r="D17" s="141">
        <f>SUM(D5:D16)</f>
        <v>5</v>
      </c>
      <c r="E17" s="138"/>
      <c r="F17" s="138"/>
      <c r="G17" s="138"/>
      <c r="H17" s="138"/>
      <c r="I17" s="138"/>
      <c r="K17" s="2428"/>
      <c r="L17" s="2431" t="s">
        <v>2145</v>
      </c>
      <c r="M17" s="2431" t="s">
        <v>2146</v>
      </c>
    </row>
    <row r="18" spans="1:35" ht="15.75" thickBot="1">
      <c r="A18" s="2432" t="s">
        <v>2147</v>
      </c>
      <c r="B18" s="2433"/>
      <c r="C18" s="142">
        <f>ROUND(C17/SUM(C17:D17),2)</f>
        <v>0.5</v>
      </c>
      <c r="D18" s="142">
        <f>1-C18</f>
        <v>0.5</v>
      </c>
      <c r="E18" s="138"/>
      <c r="F18" s="138"/>
      <c r="G18" s="138"/>
      <c r="H18" s="138"/>
      <c r="I18" s="138"/>
      <c r="K18" s="2428" t="s">
        <v>2148</v>
      </c>
      <c r="L18" s="2428">
        <f>IF(C1="",'数据-汇总表'!E3,SUMIF(项目类型,C1,'数据-汇总表'!E17:E26)+SUMIF(项目类型,C1,'数据-汇总表'!I17:I26))</f>
        <v>187098.36000000002</v>
      </c>
      <c r="M18" s="2428">
        <f>IF(C1="",'数据-汇总表'!E3,SUMIF(项目类型,C1,'数据-汇总表'!E17:E26))</f>
        <v>187098.36000000002</v>
      </c>
    </row>
    <row r="19" spans="1:35" ht="15">
      <c r="A19" s="2434" t="s">
        <v>2149</v>
      </c>
      <c r="B19" s="2435" t="s">
        <v>2150</v>
      </c>
      <c r="C19" s="143">
        <f ca="1">SUMIF(INDIRECT("'"&amp;C4&amp;"'"&amp;"!A:A"),结果表!B19,INDIRECT("'"&amp;C4&amp;"'"&amp;"!B:B"))</f>
        <v>283848</v>
      </c>
      <c r="D19" s="144">
        <f ca="1">SUMIF(INDIRECT("'"&amp;D4&amp;"'"&amp;"!A:A"),结果表!B19,INDIRECT("'"&amp;D4&amp;"'"&amp;"!B:B"))</f>
        <v>318148</v>
      </c>
      <c r="E19" s="2434" t="s">
        <v>2151</v>
      </c>
      <c r="F19" s="2435" t="s">
        <v>2150</v>
      </c>
      <c r="G19" s="145">
        <f ca="1">ROUND(C19*$C$18+D19*$D$18,0)</f>
        <v>300998</v>
      </c>
      <c r="H19" s="2436" t="s">
        <v>2152</v>
      </c>
      <c r="I19" s="138"/>
      <c r="K19" s="2428" t="s">
        <v>2153</v>
      </c>
      <c r="L19" s="2428">
        <f>IF(C1="",'数据-汇总表'!D3,SUMIF(项目类型,C1,'数据-汇总表'!D17:D26)+SUMIF(项目类型,C1,'数据-汇总表'!H17:H27))</f>
        <v>87410.87</v>
      </c>
      <c r="M19" s="2428">
        <f>IF(C1="",'数据-汇总表'!D3,SUMIF(项目类型,C1,'数据-汇总表'!D17:D26))</f>
        <v>87410.87</v>
      </c>
    </row>
    <row r="20" spans="1:35" ht="15">
      <c r="A20" s="2437"/>
      <c r="B20" s="1250" t="s">
        <v>2154</v>
      </c>
      <c r="C20" s="146">
        <f ca="1">SUMIF(INDIRECT("'"&amp;C4&amp;"'"&amp;"!A:A"),结果表!B20,INDIRECT("'"&amp;C4&amp;"'"&amp;"!B:B"))</f>
        <v>15171</v>
      </c>
      <c r="D20" s="147">
        <f ca="1">SUMIF(INDIRECT("'"&amp;D4&amp;"'"&amp;"!A:A"),结果表!B20,INDIRECT("'"&amp;D4&amp;"'"&amp;"!B:B"))</f>
        <v>17004</v>
      </c>
      <c r="E20" s="2437"/>
      <c r="F20" s="1250" t="s">
        <v>2154</v>
      </c>
      <c r="G20" s="148">
        <f ca="1">ROUND(C20*$C$18+D20*$D$18,0)</f>
        <v>16088</v>
      </c>
      <c r="H20" s="983" t="s">
        <v>2155</v>
      </c>
      <c r="I20" s="138"/>
    </row>
    <row r="21" spans="1:35" ht="15" customHeight="1" thickBot="1">
      <c r="A21" s="1003"/>
      <c r="B21" s="2438" t="s">
        <v>2156</v>
      </c>
      <c r="C21" s="789">
        <f ca="1">ROUND(C19*10000/L19,0)</f>
        <v>32473</v>
      </c>
      <c r="D21" s="790">
        <f ca="1">ROUND(D19*10000/L19,0)</f>
        <v>36397</v>
      </c>
      <c r="E21" s="1003"/>
      <c r="F21" s="2438" t="s">
        <v>2156</v>
      </c>
      <c r="G21" s="149">
        <f ca="1">ROUND(G19*10000/L19,0)</f>
        <v>34435</v>
      </c>
      <c r="H21" s="2439" t="s">
        <v>2155</v>
      </c>
      <c r="I21" s="138"/>
    </row>
    <row r="22" spans="1:35" ht="15" thickBot="1">
      <c r="A22" s="2280" t="s">
        <v>2157</v>
      </c>
      <c r="B22" s="2440"/>
      <c r="C22" s="2441"/>
      <c r="D22" s="791">
        <f ca="1">IF(C19&lt;D19,D19/C19-1,C19/D19-1)</f>
        <v>0.1208393224542712</v>
      </c>
      <c r="E22" s="138"/>
      <c r="F22" s="138"/>
      <c r="G22" s="138"/>
      <c r="H22" s="138"/>
      <c r="I22" s="138"/>
    </row>
    <row r="23" spans="1:35" ht="13.5" thickBot="1">
      <c r="A23" s="2418"/>
      <c r="B23" s="2418"/>
      <c r="C23" s="2418"/>
      <c r="D23" s="2418"/>
      <c r="E23" s="138"/>
      <c r="F23" s="138"/>
      <c r="G23" s="138"/>
      <c r="H23" s="138"/>
      <c r="I23" s="138"/>
    </row>
    <row r="24" spans="1:35" ht="14.25">
      <c r="A24" s="3164" t="s">
        <v>2158</v>
      </c>
      <c r="B24" s="2435" t="s">
        <v>2150</v>
      </c>
      <c r="C24" s="145">
        <f>IF(B30=0,0,D30)</f>
        <v>0</v>
      </c>
      <c r="D24" s="2442"/>
      <c r="E24" s="138"/>
      <c r="F24" s="138"/>
      <c r="G24" s="138"/>
      <c r="H24" s="138"/>
      <c r="I24" s="138"/>
    </row>
    <row r="25" spans="1:35" ht="14.25">
      <c r="A25" s="3165"/>
      <c r="B25" s="1250" t="s">
        <v>2154</v>
      </c>
      <c r="C25" s="150">
        <f>IF(B30=0,0,C30)</f>
        <v>0</v>
      </c>
      <c r="D25" s="2443"/>
      <c r="E25" s="138"/>
      <c r="F25" s="138"/>
      <c r="G25" s="138"/>
      <c r="H25" s="138"/>
      <c r="I25" s="138"/>
    </row>
    <row r="26" spans="1:35" ht="13.5" customHeight="1">
      <c r="A26" s="2444" t="s">
        <v>2159</v>
      </c>
      <c r="B26" s="151" t="s">
        <v>2160</v>
      </c>
      <c r="C26" s="151" t="s">
        <v>2161</v>
      </c>
      <c r="D26" s="152" t="s">
        <v>2162</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2163</v>
      </c>
      <c r="B30" s="151"/>
      <c r="C30" s="151"/>
      <c r="D30" s="151"/>
      <c r="E30" s="2927" t="s">
        <v>3039</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2164</v>
      </c>
      <c r="B32" s="2448"/>
      <c r="C32" s="153">
        <f ca="1">IF(D32="总价",G19-C24,G20-C25)</f>
        <v>300998</v>
      </c>
      <c r="D32" s="2449" t="s">
        <v>2165</v>
      </c>
      <c r="E32" s="138"/>
      <c r="F32" s="138"/>
      <c r="G32" s="138"/>
      <c r="H32" s="138"/>
      <c r="I32" s="138"/>
    </row>
    <row r="33" spans="1:15" ht="15">
      <c r="A33" s="960" t="s">
        <v>2166</v>
      </c>
      <c r="B33" s="2450"/>
      <c r="C33" s="2451"/>
      <c r="D33" s="2452"/>
      <c r="E33" s="2453" t="s">
        <v>2167</v>
      </c>
      <c r="F33" s="2454" t="str">
        <f>IF(D32="楼面单价","取值（单价）","取值（总价）")</f>
        <v>取值（总价）</v>
      </c>
      <c r="G33" s="138"/>
      <c r="H33" s="138"/>
      <c r="I33" s="138"/>
    </row>
    <row r="34" spans="1:15" ht="15">
      <c r="A34" s="2455"/>
      <c r="B34" s="2456" t="s">
        <v>2168</v>
      </c>
      <c r="C34" s="157" t="e">
        <f ca="1">IF(C33="自定义",F34,C32-C35)</f>
        <v>#REF!</v>
      </c>
      <c r="D34" s="1058" t="e">
        <f ca="1">IF(C33="自定义",ROUND(C34/C32,3),IF(C33="收益比率",SUMIF(INDIRECT("'"&amp;D33&amp;"'"&amp;"!b:b"),"土地收益比率",INDIRECT("'"&amp;D33&amp;"'"&amp;"!c:c")),SUMIF(INDIRECT("'"&amp;D33&amp;"'"&amp;"!b:b"),"土地成本比率",INDIRECT("'"&amp;D33&amp;"'"&amp;"!c:c"))))</f>
        <v>#REF!</v>
      </c>
      <c r="E34" s="2457" t="s">
        <v>2169</v>
      </c>
      <c r="F34" s="1739"/>
      <c r="G34" s="138"/>
      <c r="H34" s="138"/>
      <c r="I34" s="138"/>
    </row>
    <row r="35" spans="1:15" ht="15.75" thickBot="1">
      <c r="A35" s="2458"/>
      <c r="B35" s="2459" t="s">
        <v>2170</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0" t="s">
        <v>2171</v>
      </c>
      <c r="F35" s="163"/>
      <c r="G35" s="138"/>
      <c r="H35" s="138"/>
      <c r="I35" s="138"/>
    </row>
    <row r="36" spans="1:15" ht="15.75" thickBot="1">
      <c r="A36" s="3144" t="s">
        <v>2172</v>
      </c>
      <c r="B36" s="2461" t="s">
        <v>2173</v>
      </c>
      <c r="C36" s="154"/>
      <c r="D36" s="2462"/>
      <c r="E36" s="2463"/>
      <c r="F36" s="2464"/>
      <c r="G36" s="138"/>
      <c r="H36" s="138"/>
      <c r="I36" s="138"/>
    </row>
    <row r="37" spans="1:15" ht="15.75" thickBot="1">
      <c r="A37" s="3145"/>
      <c r="B37" s="2266" t="s">
        <v>2174</v>
      </c>
      <c r="C37" s="156"/>
      <c r="D37" s="1395"/>
      <c r="E37" s="1395"/>
      <c r="F37" s="2464"/>
      <c r="G37" s="138"/>
      <c r="H37" s="138"/>
      <c r="I37" s="138"/>
    </row>
    <row r="38" spans="1:15" ht="15.75" thickBot="1">
      <c r="A38" s="3146"/>
      <c r="B38" s="2465" t="s">
        <v>2175</v>
      </c>
      <c r="C38" s="727"/>
      <c r="D38" s="2466" t="s">
        <v>2176</v>
      </c>
      <c r="E38" s="1395"/>
      <c r="F38" s="2464"/>
      <c r="G38" s="138"/>
      <c r="H38" s="138"/>
      <c r="I38" s="138"/>
    </row>
    <row r="39" spans="1:15" ht="15">
      <c r="A39" s="2437" t="s">
        <v>2177</v>
      </c>
      <c r="B39" s="2467" t="s">
        <v>2178</v>
      </c>
      <c r="C39" s="2468" t="s">
        <v>2179</v>
      </c>
      <c r="D39" s="2468" t="s">
        <v>2180</v>
      </c>
      <c r="E39" s="2469" t="s">
        <v>2181</v>
      </c>
      <c r="F39" s="2464"/>
      <c r="G39" s="138"/>
      <c r="H39" s="138"/>
      <c r="I39" s="138"/>
    </row>
    <row r="40" spans="1:15" ht="14.25">
      <c r="A40" s="2470" t="s">
        <v>2182</v>
      </c>
      <c r="B40" s="158"/>
      <c r="C40" s="159"/>
      <c r="D40" s="159"/>
      <c r="E40" s="160"/>
      <c r="F40" s="2464"/>
      <c r="G40" s="138"/>
      <c r="H40" s="138"/>
      <c r="I40" s="138"/>
    </row>
    <row r="41" spans="1:15" ht="14.25">
      <c r="A41" s="2470" t="s">
        <v>2183</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4"/>
      <c r="B43" s="2164"/>
      <c r="C43" s="2164"/>
      <c r="D43" s="2164"/>
      <c r="E43" s="2164"/>
      <c r="F43" s="2472"/>
      <c r="G43" s="2472"/>
      <c r="H43" s="2472"/>
      <c r="I43" s="2473"/>
    </row>
    <row r="44" spans="1:15" ht="18.75">
      <c r="A44" s="2474" t="s">
        <v>2184</v>
      </c>
      <c r="B44" s="2475"/>
      <c r="C44" s="2475"/>
      <c r="D44" s="2476"/>
      <c r="E44" s="2476"/>
      <c r="F44" s="2477"/>
      <c r="G44" s="2477"/>
      <c r="H44" s="2477"/>
      <c r="I44" s="2477"/>
      <c r="J44" s="2478" t="s">
        <v>2185</v>
      </c>
      <c r="K44" s="2479"/>
      <c r="L44" s="2479"/>
      <c r="M44" s="2479"/>
      <c r="N44" s="2479"/>
      <c r="O44" s="2479"/>
    </row>
    <row r="45" spans="1:15" ht="14.25" customHeight="1" thickBot="1">
      <c r="A45" s="3161" t="s">
        <v>2186</v>
      </c>
      <c r="B45" s="3162"/>
      <c r="C45" s="3163"/>
      <c r="D45" s="164">
        <f ca="1">ROUND(H101*F45,0)</f>
        <v>300998</v>
      </c>
      <c r="E45" s="165" t="s">
        <v>2187</v>
      </c>
      <c r="F45" s="166">
        <v>1</v>
      </c>
      <c r="G45" s="167" t="s">
        <v>2188</v>
      </c>
      <c r="H45" s="138"/>
      <c r="I45" s="138"/>
      <c r="J45" s="3080" t="s">
        <v>2189</v>
      </c>
      <c r="K45" s="3080"/>
      <c r="L45" s="3080"/>
      <c r="M45" s="3080"/>
      <c r="N45" s="3080"/>
      <c r="O45" s="3080"/>
    </row>
    <row r="46" spans="1:15" ht="14.25" customHeight="1">
      <c r="A46" s="3158" t="s">
        <v>2190</v>
      </c>
      <c r="B46" s="3159"/>
      <c r="C46" s="3159"/>
      <c r="D46" s="3159"/>
      <c r="E46" s="3159"/>
      <c r="F46" s="3159"/>
      <c r="G46" s="3160"/>
      <c r="H46" s="2480"/>
      <c r="I46" s="168"/>
      <c r="J46" s="1812">
        <v>1</v>
      </c>
      <c r="K46" s="3080" t="s">
        <v>2191</v>
      </c>
      <c r="L46" s="3080"/>
      <c r="M46" s="3081"/>
      <c r="N46" s="3081"/>
      <c r="O46" s="3081"/>
    </row>
    <row r="47" spans="1:15" ht="12" customHeight="1">
      <c r="A47" s="169" t="s">
        <v>2192</v>
      </c>
      <c r="B47" s="170"/>
      <c r="C47" s="171"/>
      <c r="D47" s="172" t="s">
        <v>2193</v>
      </c>
      <c r="E47" s="24" t="s">
        <v>2194</v>
      </c>
      <c r="F47" s="173" t="s">
        <v>2195</v>
      </c>
      <c r="G47" s="174" t="s">
        <v>2196</v>
      </c>
      <c r="H47" s="2480"/>
      <c r="I47" s="168"/>
      <c r="J47" s="1812">
        <v>2</v>
      </c>
      <c r="K47" s="3080" t="s">
        <v>2197</v>
      </c>
      <c r="L47" s="3080"/>
      <c r="M47" s="3082">
        <f>'数据-取费表'!B2</f>
        <v>43202</v>
      </c>
      <c r="N47" s="3082"/>
      <c r="O47" s="3082"/>
    </row>
    <row r="48" spans="1:15" ht="25.5">
      <c r="A48" s="3148" t="s">
        <v>2198</v>
      </c>
      <c r="B48" s="3149"/>
      <c r="C48" s="3149"/>
      <c r="D48" s="140">
        <f>IF(H48="情况1",0,IF(H48="情况2",D52,IF(H48="情况3",D53,IF(H48="情况4",D54))))</f>
        <v>0</v>
      </c>
      <c r="E48" s="1801" t="str">
        <f>IF(H48="情况4","(销售额-原购置价)×税（费）率","销售额×税（费）率")</f>
        <v>销售额×税（费）率</v>
      </c>
      <c r="F48" s="175" t="str">
        <f>IF(H48="情况1","免征",'数据-取费表'!B41)</f>
        <v>免征</v>
      </c>
      <c r="G48" s="2481" t="s">
        <v>2199</v>
      </c>
      <c r="H48" s="2482" t="s">
        <v>2200</v>
      </c>
      <c r="I48" s="2480"/>
      <c r="J48" s="1812">
        <v>3</v>
      </c>
      <c r="K48" s="3080" t="s">
        <v>2201</v>
      </c>
      <c r="L48" s="3080"/>
      <c r="M48" s="3083">
        <f ca="1">H101</f>
        <v>300998</v>
      </c>
      <c r="N48" s="3083"/>
      <c r="O48" s="3083"/>
    </row>
    <row r="49" spans="1:35" ht="25.5" customHeight="1">
      <c r="A49" s="176" t="s">
        <v>2202</v>
      </c>
      <c r="B49" s="3128" t="s">
        <v>2203</v>
      </c>
      <c r="C49" s="3128"/>
      <c r="D49" s="177">
        <v>0</v>
      </c>
      <c r="E49" s="23" t="s">
        <v>2204</v>
      </c>
      <c r="F49" s="28" t="s">
        <v>34</v>
      </c>
      <c r="G49" s="3109"/>
      <c r="H49" s="138"/>
      <c r="I49" s="2483"/>
      <c r="J49" s="1812">
        <v>4</v>
      </c>
      <c r="K49" s="3080" t="str">
        <f>IF(项目基本情况!E8="房地产抵押价值","房地产抵押价值","抵押担保权已注销时的房地产抵押价值")</f>
        <v>房地产抵押价值</v>
      </c>
      <c r="L49" s="3080"/>
      <c r="M49" s="3083">
        <f ca="1">IF(项目基本情况!E8="房地产抵押价值",H107,H109)</f>
        <v>300998</v>
      </c>
      <c r="N49" s="3083"/>
      <c r="O49" s="3083"/>
    </row>
    <row r="50" spans="1:35" ht="25.5" customHeight="1">
      <c r="A50" s="178"/>
      <c r="B50" s="3128" t="s">
        <v>2205</v>
      </c>
      <c r="C50" s="3128"/>
      <c r="D50" s="179"/>
      <c r="E50" s="31"/>
      <c r="F50" s="180"/>
      <c r="G50" s="3110"/>
      <c r="H50" s="138"/>
      <c r="I50" s="2483"/>
      <c r="J50" s="3080" t="s">
        <v>2206</v>
      </c>
      <c r="K50" s="3080"/>
      <c r="L50" s="3080"/>
      <c r="M50" s="3080"/>
      <c r="N50" s="3080"/>
      <c r="O50" s="3080"/>
    </row>
    <row r="51" spans="1:35" ht="12" customHeight="1">
      <c r="A51" s="181"/>
      <c r="B51" s="3128" t="s">
        <v>2207</v>
      </c>
      <c r="C51" s="3128"/>
      <c r="D51" s="182"/>
      <c r="E51" s="30"/>
      <c r="F51" s="180"/>
      <c r="G51" s="3111"/>
      <c r="H51" s="138"/>
      <c r="I51" s="2483"/>
      <c r="J51" s="2484" t="s">
        <v>2208</v>
      </c>
      <c r="K51" s="3080" t="s">
        <v>2209</v>
      </c>
      <c r="L51" s="3080"/>
      <c r="M51" s="2484" t="s">
        <v>2210</v>
      </c>
      <c r="N51" s="2484" t="s">
        <v>2211</v>
      </c>
      <c r="O51" s="2484" t="s">
        <v>2212</v>
      </c>
    </row>
    <row r="52" spans="1:35" ht="24" customHeight="1">
      <c r="A52" s="183" t="s">
        <v>2213</v>
      </c>
      <c r="B52" s="3128" t="s">
        <v>2214</v>
      </c>
      <c r="C52" s="3128"/>
      <c r="D52" s="182">
        <f ca="1">ROUND(D45*'数据-取费表'!B41/(1+'数据-取费表'!C42),0)</f>
        <v>16053</v>
      </c>
      <c r="E52" s="11" t="s">
        <v>2215</v>
      </c>
      <c r="F52" s="184">
        <f>'数据-取费表'!B41</f>
        <v>5.6000000000000001E-2</v>
      </c>
      <c r="G52" s="2485"/>
      <c r="H52" s="138"/>
      <c r="I52" s="2483"/>
      <c r="J52" s="1812">
        <v>1</v>
      </c>
      <c r="K52" s="3103" t="s">
        <v>2216</v>
      </c>
      <c r="L52" s="3103"/>
      <c r="M52" s="1754">
        <f>D48</f>
        <v>0</v>
      </c>
      <c r="N52" s="1812" t="str">
        <f>E48</f>
        <v>销售额×税（费）率</v>
      </c>
      <c r="O52" s="1755" t="str">
        <f>F48</f>
        <v>免征</v>
      </c>
    </row>
    <row r="53" spans="1:35" ht="12" customHeight="1">
      <c r="A53" s="183" t="s">
        <v>2217</v>
      </c>
      <c r="B53" s="3129" t="s">
        <v>2218</v>
      </c>
      <c r="C53" s="3130"/>
      <c r="D53" s="182">
        <f ca="1">ROUND(D45*'数据-取费表'!B41/(1+'数据-取费表'!C42),0)</f>
        <v>16053</v>
      </c>
      <c r="E53" s="11" t="s">
        <v>2215</v>
      </c>
      <c r="F53" s="184">
        <f>'数据-取费表'!B41</f>
        <v>5.6000000000000001E-2</v>
      </c>
      <c r="G53" s="2485"/>
      <c r="H53" s="138"/>
      <c r="I53" s="2483"/>
      <c r="J53" s="1812">
        <v>2</v>
      </c>
      <c r="K53" s="3103" t="s">
        <v>2219</v>
      </c>
      <c r="L53" s="3103"/>
      <c r="M53" s="1754">
        <f t="shared" ref="M53:O54" ca="1" si="0">D55</f>
        <v>150</v>
      </c>
      <c r="N53" s="1812" t="str">
        <f t="shared" si="0"/>
        <v>销售额×税（费）率</v>
      </c>
      <c r="O53" s="1755">
        <f t="shared" si="0"/>
        <v>5.0000000000000001E-4</v>
      </c>
    </row>
    <row r="54" spans="1:35" ht="12" customHeight="1">
      <c r="A54" s="183" t="s">
        <v>2220</v>
      </c>
      <c r="B54" s="3129" t="s">
        <v>2221</v>
      </c>
      <c r="C54" s="3130"/>
      <c r="D54" s="182">
        <f ca="1">C68</f>
        <v>16053</v>
      </c>
      <c r="E54" s="30" t="s">
        <v>2222</v>
      </c>
      <c r="F54" s="184">
        <f>'数据-取费表'!B41</f>
        <v>5.6000000000000001E-2</v>
      </c>
      <c r="G54" s="2485"/>
      <c r="H54" s="2486"/>
      <c r="I54" s="2483"/>
      <c r="J54" s="1812">
        <v>3</v>
      </c>
      <c r="K54" s="3103" t="s">
        <v>2223</v>
      </c>
      <c r="L54" s="3103"/>
      <c r="M54" s="1754">
        <f t="shared" ca="1" si="0"/>
        <v>170365</v>
      </c>
      <c r="N54" s="1812" t="str">
        <f t="shared" si="0"/>
        <v>增值额×税（费）率</v>
      </c>
      <c r="O54" s="1756" t="str">
        <f t="shared" si="0"/>
        <v>——</v>
      </c>
    </row>
    <row r="55" spans="1:35" ht="24" customHeight="1">
      <c r="A55" s="3167" t="s">
        <v>2224</v>
      </c>
      <c r="B55" s="3149"/>
      <c r="C55" s="3149"/>
      <c r="D55" s="185">
        <f ca="1">IF(H55="个人住宅",0,ROUND(D45*I55,0))</f>
        <v>150</v>
      </c>
      <c r="E55" s="11" t="s">
        <v>2225</v>
      </c>
      <c r="F55" s="184">
        <f>IF(H55="正常",I55,"免征")</f>
        <v>5.0000000000000001E-4</v>
      </c>
      <c r="G55" s="2485"/>
      <c r="H55" s="2482" t="s">
        <v>2226</v>
      </c>
      <c r="I55" s="186">
        <f>'数据-取费表'!B49</f>
        <v>5.0000000000000001E-4</v>
      </c>
      <c r="J55" s="1812" t="str">
        <f>IF(H59="非个人房产","",4)</f>
        <v/>
      </c>
      <c r="K55" s="3103" t="str">
        <f>IF(H59="非个人房产","——","个人所得税")</f>
        <v>——</v>
      </c>
      <c r="L55" s="3103"/>
      <c r="M55" s="1757" t="str">
        <f>D59</f>
        <v>——</v>
      </c>
      <c r="N55" s="1810" t="str">
        <f>E59</f>
        <v>——</v>
      </c>
      <c r="O55" s="1758" t="str">
        <f>F59</f>
        <v>——</v>
      </c>
    </row>
    <row r="56" spans="1:35" ht="24.75">
      <c r="A56" s="3167" t="s">
        <v>2227</v>
      </c>
      <c r="B56" s="3149"/>
      <c r="C56" s="3149"/>
      <c r="D56" s="185">
        <f ca="1">IF(H56="个人住宅",D57,D58)</f>
        <v>170365</v>
      </c>
      <c r="E56" s="11" t="s">
        <v>2228</v>
      </c>
      <c r="F56" s="184" t="str">
        <f>IF(H56="正常",F58,"免征")</f>
        <v>——</v>
      </c>
      <c r="G56" s="2487" t="s">
        <v>2229</v>
      </c>
      <c r="H56" s="2488" t="s">
        <v>2226</v>
      </c>
      <c r="I56" s="2489"/>
      <c r="J56" s="1812" t="str">
        <f>IF(项目基本情况!K6="上海银行",IF(J55="",4,J55+1),"")</f>
        <v/>
      </c>
      <c r="K56" s="3086" t="str">
        <f>IF(项目基本情况!K6="上海银行","其他处置费用","")</f>
        <v/>
      </c>
      <c r="L56" s="3087"/>
      <c r="M56" s="1754" t="str">
        <f>IF(项目基本情况!K6="上海银行",M69,"")</f>
        <v/>
      </c>
      <c r="N56" s="3089" t="str">
        <f>IF(项目基本情况!K6="上海银行","包含处置中涉及的律师、诉讼、拍卖、评估等费用","")</f>
        <v/>
      </c>
      <c r="O56" s="3090"/>
    </row>
    <row r="57" spans="1:35" ht="12.75">
      <c r="A57" s="183" t="s">
        <v>2202</v>
      </c>
      <c r="B57" s="3134" t="s">
        <v>2230</v>
      </c>
      <c r="C57" s="3135"/>
      <c r="D57" s="187">
        <v>0</v>
      </c>
      <c r="E57" s="23" t="s">
        <v>2204</v>
      </c>
      <c r="F57" s="155"/>
      <c r="G57" s="2485"/>
      <c r="H57" s="2489"/>
      <c r="I57" s="2489"/>
      <c r="J57" s="3103">
        <f>IF(AND(J55="",J56=""),4,IF(项目基本情况!K6="上海银行",结果表!J56+1,结果表!J55+1))</f>
        <v>4</v>
      </c>
      <c r="K57" s="3103" t="s">
        <v>2231</v>
      </c>
      <c r="L57" s="2490" t="s">
        <v>2232</v>
      </c>
      <c r="M57" s="1759"/>
      <c r="N57" s="1760">
        <f ca="1">SUMIF(M52:M56,"&lt;9e307")</f>
        <v>170515</v>
      </c>
      <c r="O57" s="2491"/>
      <c r="P57" s="1753">
        <f ca="1">N57/M49</f>
        <v>0.56649878072279547</v>
      </c>
    </row>
    <row r="58" spans="1:35" ht="24.75">
      <c r="A58" s="183" t="s">
        <v>2213</v>
      </c>
      <c r="B58" s="3134" t="s">
        <v>2233</v>
      </c>
      <c r="C58" s="3147"/>
      <c r="D58" s="185">
        <f ca="1">IF(H58="转让取得",C81,C97)</f>
        <v>170365</v>
      </c>
      <c r="E58" s="11" t="s">
        <v>2228</v>
      </c>
      <c r="F58" s="24" t="s">
        <v>34</v>
      </c>
      <c r="G58" s="2485"/>
      <c r="H58" s="2488" t="s">
        <v>2234</v>
      </c>
      <c r="I58" s="2489"/>
      <c r="J58" s="3103"/>
      <c r="K58" s="3103"/>
      <c r="L58" s="2490" t="s">
        <v>2235</v>
      </c>
      <c r="M58" s="1761"/>
      <c r="N58" s="2492" t="str">
        <f ca="1">NUMBERSTRING(INT(N57*10000),2)&amp;"元整"</f>
        <v>壹拾柒亿零伍佰壹拾伍万元整</v>
      </c>
      <c r="O58" s="2493"/>
    </row>
    <row r="59" spans="1:35" ht="24.75" thickBot="1">
      <c r="A59" s="3107" t="s">
        <v>2236</v>
      </c>
      <c r="B59" s="3108"/>
      <c r="C59" s="3108"/>
      <c r="D59" s="188" t="str">
        <f>IF(H59="非个人房产","——",IF(H59="个人住宅",0,ROUND(D45*I59,0)))</f>
        <v>——</v>
      </c>
      <c r="E59" s="189" t="str">
        <f>IF(H59="非个人房产","——","销售额×税（费）率")</f>
        <v>——</v>
      </c>
      <c r="F59" s="190" t="str">
        <f>IF(H59="非个人房产","——",IF(H59="个人住宅","免征",I59))</f>
        <v>——</v>
      </c>
      <c r="G59" s="2494" t="s">
        <v>2229</v>
      </c>
      <c r="H59" s="2488" t="s">
        <v>2237</v>
      </c>
      <c r="I59" s="191">
        <v>0.01</v>
      </c>
      <c r="J59" s="3105">
        <f>J57+1</f>
        <v>5</v>
      </c>
      <c r="K59" s="3103" t="s">
        <v>2238</v>
      </c>
      <c r="L59" s="1812" t="s">
        <v>2232</v>
      </c>
      <c r="M59" s="1762"/>
      <c r="N59" s="1763">
        <f ca="1">M49-N57</f>
        <v>130483</v>
      </c>
      <c r="O59" s="2495"/>
    </row>
    <row r="60" spans="1:35" ht="12" customHeight="1">
      <c r="A60" s="2496"/>
      <c r="B60" s="2418"/>
      <c r="C60" s="2418"/>
      <c r="D60" s="2418"/>
      <c r="E60" s="2165"/>
      <c r="F60" s="2489"/>
      <c r="G60" s="2489"/>
      <c r="H60" s="2497"/>
      <c r="I60" s="138"/>
      <c r="J60" s="3106"/>
      <c r="K60" s="3103"/>
      <c r="L60" s="2490" t="s">
        <v>2235</v>
      </c>
      <c r="M60" s="1761"/>
      <c r="N60" s="2492" t="str">
        <f ca="1">NUMBERSTRING(INT(N59*10000),2)&amp;"元整"</f>
        <v>壹拾叁亿零肆佰捌拾叁万元整</v>
      </c>
      <c r="O60" s="2493"/>
    </row>
    <row r="61" spans="1:35" ht="13.5" thickBot="1">
      <c r="A61" s="3166" t="s">
        <v>2239</v>
      </c>
      <c r="B61" s="3166"/>
      <c r="C61" s="3166"/>
      <c r="D61" s="3166"/>
      <c r="E61" s="3166"/>
      <c r="F61" s="2489"/>
      <c r="G61" s="2489"/>
      <c r="H61" s="2497"/>
      <c r="I61" s="138"/>
      <c r="J61" s="1812">
        <f>J59+1</f>
        <v>6</v>
      </c>
      <c r="K61" s="3103" t="s">
        <v>2240</v>
      </c>
      <c r="L61" s="3103"/>
      <c r="M61" s="1764"/>
      <c r="N61" s="1765">
        <f ca="1">ROUND(N59*10000/'数据-汇总表'!E3,0)</f>
        <v>6974</v>
      </c>
      <c r="O61" s="2498"/>
    </row>
    <row r="62" spans="1:35" ht="12.75">
      <c r="A62" s="3123" t="s">
        <v>2241</v>
      </c>
      <c r="B62" s="3124"/>
      <c r="C62" s="1804"/>
      <c r="D62" s="1804" t="s">
        <v>2242</v>
      </c>
      <c r="E62" s="192" t="s">
        <v>2243</v>
      </c>
      <c r="F62" s="2489"/>
      <c r="G62" s="2489"/>
      <c r="H62" s="2497"/>
      <c r="I62" s="138"/>
    </row>
    <row r="63" spans="1:35" ht="12.75">
      <c r="A63" s="203" t="s">
        <v>775</v>
      </c>
      <c r="B63" s="193" t="s">
        <v>2244</v>
      </c>
      <c r="C63" s="194">
        <f ca="1">ROUND((C64+C65)/(1+'数据-取费表'!C42),0)</f>
        <v>286665</v>
      </c>
      <c r="D63" s="195"/>
      <c r="E63" s="196"/>
      <c r="F63" s="2489"/>
      <c r="G63" s="2489"/>
      <c r="H63" s="2497"/>
      <c r="I63" s="138"/>
      <c r="J63" s="3088" t="s">
        <v>2245</v>
      </c>
      <c r="K63" s="2499" t="s">
        <v>2246</v>
      </c>
      <c r="L63" s="1752">
        <f ca="1">IF(M49&gt;10000,M49*0.5%,IF(AND(M49&gt;1000,M49&lt;=10000),M49*1%,IF(AND(M49&gt;100,M49&lt;=1000),M49*3%,IF(AND(M49&gt;10,M49&lt;=100),M49*5%,M49*8%))))</f>
        <v>1504.99</v>
      </c>
      <c r="M63" s="24">
        <f ca="1">ROUND(L63,1)</f>
        <v>1505</v>
      </c>
      <c r="Z63" s="2423"/>
      <c r="AI63" s="2424"/>
    </row>
    <row r="64" spans="1:35" ht="14.25" customHeight="1">
      <c r="A64" s="197" t="s">
        <v>770</v>
      </c>
      <c r="B64" s="198" t="s">
        <v>2247</v>
      </c>
      <c r="C64" s="199">
        <f ca="1">D45</f>
        <v>300998</v>
      </c>
      <c r="D64" s="200" t="s">
        <v>32</v>
      </c>
      <c r="E64" s="201"/>
      <c r="F64" s="2489"/>
      <c r="G64" s="2489"/>
      <c r="H64" s="2497"/>
      <c r="I64" s="138"/>
      <c r="J64" s="3088"/>
      <c r="K64" s="2499" t="s">
        <v>2248</v>
      </c>
      <c r="L64" s="1752">
        <f ca="1">IF(M49&gt;2000,M49*0.5%,IF(AND(M49&gt;1000,M49&lt;=2000),M49*0.6%,IF(AND(M49&gt;500,M49&lt;=1000),M49*0.7%,IF(AND(M49&gt;200,M49&lt;=500),M49*0.8%,IF(AND(M49&gt;100,M49&lt;=200),M49*0.9%,IF(AND(M49&gt;50,M49&lt;=100),M49*1%,IF(AND(M49&gt;20,M49&lt;=50),M49*1.5%,IF(AND(M49&gt;10,M49&lt;=20),M49*2%,IF(AND(M49&gt;1,M49&lt;=10),M49*2.5%)))))))))</f>
        <v>1504.99</v>
      </c>
      <c r="M64" s="24">
        <f t="shared" ref="M64:M65" ca="1" si="1">ROUND(L64,1)</f>
        <v>1505</v>
      </c>
      <c r="N64" s="138" t="s">
        <v>2249</v>
      </c>
      <c r="Z64" s="2423"/>
      <c r="AI64" s="2424"/>
    </row>
    <row r="65" spans="1:35" ht="14.25" customHeight="1">
      <c r="A65" s="197" t="s">
        <v>771</v>
      </c>
      <c r="B65" s="198" t="s">
        <v>2250</v>
      </c>
      <c r="C65" s="202"/>
      <c r="D65" s="200"/>
      <c r="E65" s="201"/>
      <c r="F65" s="2489"/>
      <c r="G65" s="2489"/>
      <c r="H65" s="2497"/>
      <c r="I65" s="138"/>
      <c r="J65" s="3088"/>
      <c r="K65" s="2499" t="s">
        <v>2251</v>
      </c>
      <c r="L65" s="1752">
        <f ca="1">IF(M49&gt;1000,M49*0.1%,IF(AND(M49&gt;500,M49&lt;=1000),M49*0.5%,IF(AND(M49&gt;50,M49&lt;=500),M49*1%,IF(AND(M49&gt;1,M49&lt;=50),M49*1.5%))))</f>
        <v>300.99799999999999</v>
      </c>
      <c r="M65" s="24">
        <f t="shared" ca="1" si="1"/>
        <v>301</v>
      </c>
      <c r="N65" s="138" t="s">
        <v>2249</v>
      </c>
      <c r="Z65" s="2423"/>
      <c r="AI65" s="2424"/>
    </row>
    <row r="66" spans="1:35" ht="14.25" customHeight="1">
      <c r="A66" s="203" t="s">
        <v>772</v>
      </c>
      <c r="B66" s="204" t="s">
        <v>2252</v>
      </c>
      <c r="C66" s="205"/>
      <c r="D66" s="206" t="s">
        <v>32</v>
      </c>
      <c r="E66" s="1776" t="s">
        <v>1371</v>
      </c>
      <c r="F66" s="2489"/>
      <c r="G66" s="2489"/>
      <c r="H66" s="2497"/>
      <c r="I66" s="138"/>
      <c r="J66" s="3088"/>
      <c r="K66" s="2499" t="s">
        <v>2253</v>
      </c>
      <c r="L66" s="1752">
        <f ca="1">M49*0.5%</f>
        <v>1504.99</v>
      </c>
      <c r="M66" s="24">
        <f ca="1">IF(L66&gt;0.5,0.5,ROUND(L66,0))</f>
        <v>0.5</v>
      </c>
      <c r="N66" s="138" t="s">
        <v>2254</v>
      </c>
      <c r="Z66" s="2423"/>
      <c r="AI66" s="2424"/>
    </row>
    <row r="67" spans="1:35" ht="14.25" customHeight="1">
      <c r="A67" s="203" t="s">
        <v>773</v>
      </c>
      <c r="B67" s="204" t="s">
        <v>2255</v>
      </c>
      <c r="C67" s="207">
        <f ca="1">C63-C66</f>
        <v>286665</v>
      </c>
      <c r="D67" s="200" t="s">
        <v>32</v>
      </c>
      <c r="E67" s="201"/>
      <c r="F67" s="2489"/>
      <c r="G67" s="2489"/>
      <c r="H67" s="2497"/>
      <c r="I67" s="138"/>
      <c r="J67" s="3088"/>
      <c r="K67" s="2499" t="s">
        <v>2256</v>
      </c>
      <c r="L67" s="1752">
        <f ca="1">IF(M49&gt;=10000,(8.25+(M49-10000)*0.01%),IF(AND(M49&gt;=8000,M49&lt;10000),(7.85+(M49-8000)*0.02%),IF(AND(M49&gt;=5000,M49&lt;8000),(6.65+(M49-5000)*0.04%),IF(AND(M49&gt;=2000,M49&lt;5000),(4.25+(PM49-2000)*0.08%),IF(AND(M49&gt;=1000,M49&lt;2000),(2.75+(M49-1000)*0.15%),IF(AND(M49&gt;=100,M49&lt;1000),(0.5+(M49-100)*0.25%),IF(AND(M49&gt;0,M49&lt;100),M49*0.5%)))))))</f>
        <v>37.349800000000002</v>
      </c>
      <c r="M67" s="24">
        <f ca="1">ROUND(L67*0.9,1)</f>
        <v>33.6</v>
      </c>
      <c r="Z67" s="2423"/>
      <c r="AI67" s="2424"/>
    </row>
    <row r="68" spans="1:35" ht="14.25" customHeight="1" thickBot="1">
      <c r="A68" s="208" t="s">
        <v>774</v>
      </c>
      <c r="B68" s="209" t="s">
        <v>2257</v>
      </c>
      <c r="C68" s="210">
        <f ca="1">IF(C67&lt;=0,0,ROUND(C67*D68,0))</f>
        <v>16053</v>
      </c>
      <c r="D68" s="211">
        <f>'数据-取费表'!B41</f>
        <v>5.6000000000000001E-2</v>
      </c>
      <c r="E68" s="212"/>
      <c r="F68" s="2489"/>
      <c r="G68" s="2489"/>
      <c r="H68" s="2497"/>
      <c r="I68" s="138"/>
      <c r="J68" s="3088"/>
      <c r="K68" s="2499" t="s">
        <v>2258</v>
      </c>
      <c r="L68" s="1752">
        <f ca="1">IF(M49&gt;10000,M49*0.5%,IF(AND(M49&gt;5000,M49&lt;=10000),M49*1%,IF(AND(M49&gt;1000,M49&lt;=5000),M49*2%,IF(AND(M49&gt;200,M49&lt;=1000),M49*3%,M49*5%))))</f>
        <v>1504.99</v>
      </c>
      <c r="M68" s="24">
        <f ca="1">ROUND(L68,1)</f>
        <v>1505</v>
      </c>
      <c r="Z68" s="2423"/>
      <c r="AI68" s="2424"/>
    </row>
    <row r="69" spans="1:35" s="2446" customFormat="1" ht="16.5" customHeight="1">
      <c r="A69" s="2500"/>
      <c r="B69" s="2501"/>
      <c r="C69" s="2502"/>
      <c r="D69" s="2503"/>
      <c r="E69" s="2504"/>
      <c r="F69" s="2165"/>
      <c r="G69" s="2165"/>
      <c r="H69" s="2164"/>
      <c r="I69" s="2418"/>
      <c r="J69" s="3088"/>
      <c r="K69" s="2499" t="s">
        <v>2259</v>
      </c>
      <c r="L69" s="2505"/>
      <c r="M69" s="24">
        <f ca="1">ROUND(SUM(M63:M68),0)</f>
        <v>4850</v>
      </c>
      <c r="N69" s="1753">
        <f ca="1">M69/M49</f>
        <v>1.6113063874178567E-2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32" t="s">
        <v>2260</v>
      </c>
      <c r="B70" s="3133"/>
      <c r="C70" s="3133"/>
      <c r="D70" s="3133"/>
      <c r="E70" s="3133"/>
      <c r="F70" s="3133"/>
      <c r="G70" s="3133"/>
      <c r="H70" s="3133"/>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23" t="s">
        <v>2241</v>
      </c>
      <c r="B71" s="3124"/>
      <c r="C71" s="1804"/>
      <c r="D71" s="1804" t="s">
        <v>2242</v>
      </c>
      <c r="E71" s="213" t="s">
        <v>2243</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2261</v>
      </c>
      <c r="C72" s="207">
        <f ca="1">ROUND(D45/(1+'数据-取费表'!C42),0)</f>
        <v>286665</v>
      </c>
      <c r="D72" s="200" t="s">
        <v>32</v>
      </c>
      <c r="E72" s="1803"/>
      <c r="F72" s="1797"/>
      <c r="G72" s="1797"/>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2262</v>
      </c>
      <c r="C73" s="207">
        <f ca="1">C74+C78</f>
        <v>1720</v>
      </c>
      <c r="D73" s="200" t="s">
        <v>32</v>
      </c>
      <c r="E73" s="1803"/>
      <c r="F73" s="1797"/>
      <c r="G73" s="1797"/>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2263</v>
      </c>
      <c r="C74" s="200">
        <f>ROUND(IF(G77="2016年5月1日后购买",C75/(1+'数据-取费表'!C42)+C76+C77,C75+C76+C77),0)</f>
        <v>0</v>
      </c>
      <c r="D74" s="200" t="s">
        <v>32</v>
      </c>
      <c r="E74" s="1803"/>
      <c r="F74" s="1797"/>
      <c r="G74" s="1797"/>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2264</v>
      </c>
      <c r="C75" s="218"/>
      <c r="D75" s="200" t="s">
        <v>32</v>
      </c>
      <c r="E75" s="219" t="s">
        <v>2265</v>
      </c>
      <c r="F75" s="2511" t="s">
        <v>2266</v>
      </c>
      <c r="G75" s="219" t="s">
        <v>2267</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2268</v>
      </c>
      <c r="C76" s="200">
        <f>IF(F75="购房发票",ROUND(C75*H75*D76,0),0)</f>
        <v>0</v>
      </c>
      <c r="D76" s="222">
        <v>0.05</v>
      </c>
      <c r="E76" s="3129" t="s">
        <v>2269</v>
      </c>
      <c r="F76" s="3128"/>
      <c r="G76" s="3128"/>
      <c r="H76" s="3131"/>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2270</v>
      </c>
      <c r="C77" s="200">
        <f>ROUND(IF(G77="个人住宅",0,IF(G77="2016年5月1日前购买",C75*D77,C75*D77/(1+'数据-取费表'!C42))),0)</f>
        <v>0</v>
      </c>
      <c r="D77" s="223">
        <f>'数据-取费表'!B48+'数据-取费表'!B49</f>
        <v>3.0499999999999999E-2</v>
      </c>
      <c r="E77" s="15" t="s">
        <v>2271</v>
      </c>
      <c r="F77" s="224"/>
      <c r="G77" s="2513" t="s">
        <v>2272</v>
      </c>
      <c r="H77" s="1808"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2273</v>
      </c>
      <c r="C78" s="225">
        <f ca="1">ROUND(D45*D78/(1+'数据-取费表'!C42),0)</f>
        <v>1720</v>
      </c>
      <c r="D78" s="226">
        <f>'数据-取费表'!B43</f>
        <v>6.000000000000001E-3</v>
      </c>
      <c r="E78" s="3120" t="s">
        <v>2274</v>
      </c>
      <c r="F78" s="3121"/>
      <c r="G78" s="3121"/>
      <c r="H78" s="3122"/>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2275</v>
      </c>
      <c r="C79" s="207">
        <f ca="1">C72-C73</f>
        <v>284945</v>
      </c>
      <c r="D79" s="200" t="s">
        <v>32</v>
      </c>
      <c r="E79" s="1803"/>
      <c r="F79" s="1797"/>
      <c r="G79" s="1797"/>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2276</v>
      </c>
      <c r="C80" s="227">
        <f ca="1">IF(C79&lt;=0,0,C79/C73)</f>
        <v>165.6656976744186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2277</v>
      </c>
      <c r="C81" s="228">
        <f ca="1">ROUND(IF(C79&lt;=0,0,IF(C80&gt;=200%,C79*60%-C73*35%,IF(C80&gt;=100%,C79*50%-C73*15%,IF(C80&gt;=50%,C79*40%-C73*5%,IF(C80&lt;50%,C79*30%,0))))),0)</f>
        <v>170365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32" t="s">
        <v>2278</v>
      </c>
      <c r="B83" s="3133"/>
      <c r="C83" s="3133"/>
      <c r="D83" s="3133"/>
      <c r="E83" s="3133"/>
      <c r="F83" s="3133"/>
      <c r="G83" s="3133"/>
      <c r="H83" s="3133"/>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23" t="s">
        <v>2241</v>
      </c>
      <c r="B84" s="3124"/>
      <c r="C84" s="1804"/>
      <c r="D84" s="1804" t="s">
        <v>2242</v>
      </c>
      <c r="E84" s="213" t="s">
        <v>2243</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2261</v>
      </c>
      <c r="C85" s="207">
        <f ca="1">ROUND(D45/(1+'数据-取费表'!C42),0)</f>
        <v>286665</v>
      </c>
      <c r="D85" s="200" t="s">
        <v>32</v>
      </c>
      <c r="E85" s="1803"/>
      <c r="F85" s="1797"/>
      <c r="G85" s="1797"/>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2262</v>
      </c>
      <c r="C86" s="207">
        <f ca="1">IF(H88="仅含出让金",C87+C90+C91+C92+C93+C94,C87+C91+C92+C93+C94)</f>
        <v>1720</v>
      </c>
      <c r="D86" s="235"/>
      <c r="E86" s="1803"/>
      <c r="F86" s="1797"/>
      <c r="G86" s="1797"/>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2279</v>
      </c>
      <c r="C87" s="225">
        <f>C88+C89</f>
        <v>0</v>
      </c>
      <c r="D87" s="226"/>
      <c r="E87" s="1799"/>
      <c r="F87" s="1800"/>
      <c r="G87" s="1800"/>
      <c r="H87" s="1802"/>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2280</v>
      </c>
      <c r="C88" s="236"/>
      <c r="D88" s="226"/>
      <c r="E88" s="237" t="s">
        <v>2281</v>
      </c>
      <c r="F88" s="1800"/>
      <c r="G88" s="238" t="s">
        <v>2282</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2270</v>
      </c>
      <c r="C89" s="225">
        <f>ROUND(C88*D89,0)</f>
        <v>0</v>
      </c>
      <c r="D89" s="226">
        <f>'数据-取费表'!B48+'数据-取费表'!B49</f>
        <v>3.0499999999999999E-2</v>
      </c>
      <c r="E89" s="237" t="s">
        <v>2283</v>
      </c>
      <c r="F89" s="1800"/>
      <c r="G89" s="1800"/>
      <c r="H89" s="1802"/>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2284</v>
      </c>
      <c r="C90" s="236"/>
      <c r="D90" s="226"/>
      <c r="E90" s="237" t="str">
        <f>IF(H88="-","土地取得成本中已包含该笔费用"," ")</f>
        <v xml:space="preserve"> </v>
      </c>
      <c r="F90" s="1800"/>
      <c r="G90" s="1800"/>
      <c r="H90" s="1802"/>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2285</v>
      </c>
      <c r="B91" s="198" t="s">
        <v>2286</v>
      </c>
      <c r="C91" s="225">
        <f>IF(H91="——",成本法!C33,I91)</f>
        <v>0</v>
      </c>
      <c r="D91" s="226"/>
      <c r="E91" s="3120" t="s">
        <v>2287</v>
      </c>
      <c r="F91" s="3121"/>
      <c r="G91" s="3121"/>
      <c r="H91" s="2518" t="s">
        <v>2288</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2289</v>
      </c>
      <c r="B92" s="198" t="s">
        <v>2290</v>
      </c>
      <c r="C92" s="225">
        <f>ROUND((C87+C90+C91)*D92,0)</f>
        <v>0</v>
      </c>
      <c r="D92" s="226">
        <v>0.1</v>
      </c>
      <c r="E92" s="3120" t="s">
        <v>2291</v>
      </c>
      <c r="F92" s="3121"/>
      <c r="G92" s="3121"/>
      <c r="H92" s="3122"/>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2292</v>
      </c>
      <c r="B93" s="198" t="s">
        <v>2273</v>
      </c>
      <c r="C93" s="225">
        <f ca="1">ROUND(D45*D93/(1+'数据-取费表'!C42),0)</f>
        <v>1720</v>
      </c>
      <c r="D93" s="226">
        <f>'数据-取费表'!B43</f>
        <v>6.000000000000001E-3</v>
      </c>
      <c r="E93" s="3120" t="s">
        <v>2274</v>
      </c>
      <c r="F93" s="3121"/>
      <c r="G93" s="3121"/>
      <c r="H93" s="3122"/>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2293</v>
      </c>
      <c r="B94" s="198" t="s">
        <v>2294</v>
      </c>
      <c r="C94" s="236">
        <f>ROUND((C87+C90+C91)*D94,0)</f>
        <v>0</v>
      </c>
      <c r="D94" s="226">
        <v>0.2</v>
      </c>
      <c r="E94" s="3168" t="s">
        <v>2295</v>
      </c>
      <c r="F94" s="3169"/>
      <c r="G94" s="3169"/>
      <c r="H94" s="3170"/>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2275</v>
      </c>
      <c r="C95" s="207">
        <f ca="1">ROUND(C85-C86,0)</f>
        <v>284945</v>
      </c>
      <c r="D95" s="200" t="s">
        <v>32</v>
      </c>
      <c r="E95" s="1803"/>
      <c r="F95" s="1797"/>
      <c r="G95" s="1797"/>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2276</v>
      </c>
      <c r="C96" s="227">
        <f ca="1">IF(C95&lt;=0,0,C95/C86)</f>
        <v>165.6656976744186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2277</v>
      </c>
      <c r="C97" s="228">
        <f ca="1">ROUND(IF(C95&lt;=0,0,IF(C96&gt;=200%,C95*60%-C86*35%,IF(C96&gt;=100%,C95*50%-C86*15%,IF(C96&gt;=50%,C95*40%-C86*5%,IF(C96&lt;50%,C95*30%,0))))),0)</f>
        <v>170365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5"/>
      <c r="F98" s="2165"/>
      <c r="G98" s="2165"/>
      <c r="H98" s="2164"/>
      <c r="I98" s="138"/>
    </row>
    <row r="99" spans="1:35" ht="21.75" customHeight="1" thickBot="1">
      <c r="A99" s="2474" t="s">
        <v>2296</v>
      </c>
      <c r="B99" s="2418"/>
      <c r="C99" s="2418"/>
      <c r="D99" s="2418"/>
      <c r="E99" s="2165"/>
      <c r="F99" s="2165"/>
      <c r="G99" s="2165"/>
      <c r="H99" s="2164"/>
      <c r="I99" s="138"/>
    </row>
    <row r="100" spans="1:35" ht="18.75" customHeight="1">
      <c r="A100" s="3072" t="s">
        <v>2297</v>
      </c>
      <c r="B100" s="3073"/>
      <c r="C100" s="3073"/>
      <c r="D100" s="3104"/>
      <c r="E100" s="3073" t="s">
        <v>2298</v>
      </c>
      <c r="F100" s="3073"/>
      <c r="G100" s="3073"/>
      <c r="H100" s="3104"/>
      <c r="I100" s="138"/>
    </row>
    <row r="101" spans="1:35" ht="18.75" customHeight="1">
      <c r="A101" s="3112" t="s">
        <v>2299</v>
      </c>
      <c r="B101" s="3113"/>
      <c r="C101" s="736" t="str">
        <f>C4</f>
        <v>成本法</v>
      </c>
      <c r="D101" s="737" t="str">
        <f>D4</f>
        <v>假设开发法</v>
      </c>
      <c r="E101" s="3084" t="s">
        <v>2300</v>
      </c>
      <c r="F101" s="3085"/>
      <c r="G101" s="2520" t="s">
        <v>2301</v>
      </c>
      <c r="H101" s="1048">
        <f ca="1">H118</f>
        <v>300998</v>
      </c>
      <c r="I101" s="138"/>
    </row>
    <row r="102" spans="1:35" ht="18.75" customHeight="1">
      <c r="A102" s="3114" t="s">
        <v>2302</v>
      </c>
      <c r="B102" s="2520" t="s">
        <v>2301</v>
      </c>
      <c r="C102" s="736">
        <f ca="1">C19</f>
        <v>283848</v>
      </c>
      <c r="D102" s="737">
        <f ca="1">D19</f>
        <v>318148</v>
      </c>
      <c r="E102" s="3084"/>
      <c r="F102" s="3085"/>
      <c r="G102" s="2520" t="s">
        <v>2303</v>
      </c>
      <c r="H102" s="371">
        <f ca="1">I118</f>
        <v>16088</v>
      </c>
      <c r="I102" s="138"/>
    </row>
    <row r="103" spans="1:35" ht="42.75" customHeight="1">
      <c r="A103" s="3114"/>
      <c r="B103" s="2520" t="s">
        <v>2303</v>
      </c>
      <c r="C103" s="738">
        <f ca="1">C20</f>
        <v>15171</v>
      </c>
      <c r="D103" s="739">
        <f ca="1">D20</f>
        <v>17004</v>
      </c>
      <c r="E103" s="3078" t="s">
        <v>2304</v>
      </c>
      <c r="F103" s="3079"/>
      <c r="G103" s="2521" t="s">
        <v>2305</v>
      </c>
      <c r="H103" s="1048">
        <f>IF(D36="正常操作",H104+H105+H106,H105+H106)</f>
        <v>0</v>
      </c>
      <c r="I103" s="138"/>
    </row>
    <row r="104" spans="1:35" ht="18.75" customHeight="1">
      <c r="A104" s="3114" t="s">
        <v>2306</v>
      </c>
      <c r="B104" s="2522" t="s">
        <v>2301</v>
      </c>
      <c r="C104" s="740">
        <f ca="1">H118</f>
        <v>300998</v>
      </c>
      <c r="D104" s="741"/>
      <c r="E104" s="2266" t="s">
        <v>2307</v>
      </c>
      <c r="F104" s="2257"/>
      <c r="G104" s="2521" t="s">
        <v>2305</v>
      </c>
      <c r="H104" s="1049">
        <f>IF(D36="同一抵押权人同一抵押物续贷",C36&amp;"（未扣减，详见特别提示）",C36)</f>
        <v>0</v>
      </c>
      <c r="I104" s="138"/>
    </row>
    <row r="105" spans="1:35" ht="18.75" customHeight="1" thickBot="1">
      <c r="A105" s="3126"/>
      <c r="B105" s="2523" t="s">
        <v>2303</v>
      </c>
      <c r="C105" s="742">
        <f ca="1">I118</f>
        <v>16088</v>
      </c>
      <c r="D105" s="743"/>
      <c r="E105" s="2266" t="s">
        <v>2308</v>
      </c>
      <c r="F105" s="2257"/>
      <c r="G105" s="2521" t="s">
        <v>2305</v>
      </c>
      <c r="H105" s="1049">
        <f>C37</f>
        <v>0</v>
      </c>
      <c r="I105" s="138"/>
    </row>
    <row r="106" spans="1:35" ht="18.75" customHeight="1">
      <c r="A106" s="2418" t="s">
        <v>2309</v>
      </c>
      <c r="B106" s="2418"/>
      <c r="C106" s="2418"/>
      <c r="D106" s="2418"/>
      <c r="E106" s="2524" t="s">
        <v>2310</v>
      </c>
      <c r="F106" s="2257"/>
      <c r="G106" s="2521" t="s">
        <v>2305</v>
      </c>
      <c r="H106" s="1049">
        <f>C38</f>
        <v>0</v>
      </c>
      <c r="I106" s="138"/>
    </row>
    <row r="107" spans="1:35" ht="18.75" customHeight="1">
      <c r="A107" s="138"/>
      <c r="B107" s="138"/>
      <c r="C107" s="138"/>
      <c r="D107" s="138"/>
      <c r="E107" s="3115" t="str">
        <f>IF(项目基本情况!E8="已注销","——","3.房地产抵押价值")</f>
        <v>3.房地产抵押价值</v>
      </c>
      <c r="F107" s="3085"/>
      <c r="G107" s="2520" t="s">
        <v>2301</v>
      </c>
      <c r="H107" s="1048">
        <f ca="1">IF(E107="——","——",H101-H103)</f>
        <v>300998</v>
      </c>
      <c r="I107" s="138"/>
    </row>
    <row r="108" spans="1:35" ht="18.75" customHeight="1">
      <c r="A108" s="138"/>
      <c r="B108" s="138"/>
      <c r="C108" s="138"/>
      <c r="D108" s="138"/>
      <c r="E108" s="3115"/>
      <c r="F108" s="3085"/>
      <c r="G108" s="2520" t="s">
        <v>2303</v>
      </c>
      <c r="H108" s="371">
        <f ca="1">ROUND(H107*10000/'数据-汇总表'!E3,0)</f>
        <v>16088</v>
      </c>
      <c r="I108" s="138"/>
    </row>
    <row r="109" spans="1:35" ht="18.75" customHeight="1">
      <c r="A109" s="138"/>
      <c r="B109" s="138"/>
      <c r="C109" s="138"/>
      <c r="D109" s="138"/>
      <c r="E109" s="3115" t="str">
        <f>IF(项目基本情况!E8="已注销及未注销","4.抵押担保权已注销时的房地产抵押价值",IF(项目基本情况!E8="已注销","3.抵押担保权已注销时的房地产抵押价值","——"))</f>
        <v>——</v>
      </c>
      <c r="F109" s="3085"/>
      <c r="G109" s="2520" t="s">
        <v>2301</v>
      </c>
      <c r="H109" s="348" t="str">
        <f>IF(E109="——","——",H101-H105-H106)</f>
        <v>——</v>
      </c>
      <c r="I109" s="138"/>
    </row>
    <row r="110" spans="1:35" ht="18.75" customHeight="1">
      <c r="A110" s="138"/>
      <c r="B110" s="138"/>
      <c r="C110" s="138"/>
      <c r="D110" s="138"/>
      <c r="E110" s="3115"/>
      <c r="F110" s="3085"/>
      <c r="G110" s="2520" t="s">
        <v>2303</v>
      </c>
      <c r="H110" s="371" t="str">
        <f>IF(H109="——","——",ROUND(H109*10000/'数据-汇总表'!E3,0))</f>
        <v>——</v>
      </c>
      <c r="I110" s="138"/>
    </row>
    <row r="111" spans="1:35" ht="18.75" customHeight="1">
      <c r="A111" s="138"/>
      <c r="B111" s="138"/>
      <c r="C111" s="138"/>
      <c r="D111" s="138"/>
      <c r="E111" s="3116" t="str">
        <f>IF(项目基本情况!E9="抵押净值",IF(OR(项目基本情况!E8="已注销",项目基本情况!E8="房地产抵押价值"),"4.抵押净值","5.抵押净值"),"——")</f>
        <v>——</v>
      </c>
      <c r="F111" s="3117"/>
      <c r="G111" s="2520" t="s">
        <v>2301</v>
      </c>
      <c r="H111" s="1048" t="str">
        <f>IF(E111="——","——",N59)</f>
        <v>——</v>
      </c>
      <c r="I111" s="138"/>
    </row>
    <row r="112" spans="1:35" ht="18.75" customHeight="1" thickBot="1">
      <c r="A112" s="138"/>
      <c r="B112" s="138"/>
      <c r="C112" s="138"/>
      <c r="D112" s="138"/>
      <c r="E112" s="3118"/>
      <c r="F112" s="3119"/>
      <c r="G112" s="2525" t="s">
        <v>2303</v>
      </c>
      <c r="H112" s="790" t="str">
        <f>IF(E111="——","——",N61)</f>
        <v>——</v>
      </c>
      <c r="I112" s="138"/>
    </row>
    <row r="113" spans="1:11" ht="18.75" customHeight="1">
      <c r="A113" s="138"/>
      <c r="B113" s="138"/>
      <c r="C113" s="138"/>
      <c r="D113" s="138"/>
      <c r="E113" s="3127" t="s">
        <v>2309</v>
      </c>
      <c r="F113" s="3127"/>
      <c r="G113" s="3127"/>
      <c r="H113" s="3127"/>
      <c r="I113" s="138"/>
    </row>
    <row r="114" spans="1:11" ht="3.75" customHeight="1">
      <c r="A114" s="2418"/>
      <c r="B114" s="2418"/>
      <c r="C114" s="2418"/>
      <c r="D114" s="2418"/>
      <c r="E114" s="2496"/>
      <c r="F114" s="2496"/>
      <c r="G114" s="2496"/>
      <c r="H114" s="2496"/>
      <c r="I114" s="2418"/>
    </row>
    <row r="115" spans="1:11" ht="18.75" customHeight="1">
      <c r="A115" s="3140" t="s">
        <v>2311</v>
      </c>
      <c r="B115" s="3141"/>
      <c r="C115" s="3141"/>
      <c r="D115" s="3141"/>
      <c r="E115" s="3141"/>
      <c r="F115" s="3141"/>
      <c r="G115" s="3141"/>
      <c r="H115" s="3141"/>
      <c r="I115" s="3142"/>
    </row>
    <row r="116" spans="1:11" ht="27" customHeight="1">
      <c r="A116" s="3051" t="s">
        <v>2312</v>
      </c>
      <c r="B116" s="3094" t="s">
        <v>2313</v>
      </c>
      <c r="C116" s="3094" t="s">
        <v>2314</v>
      </c>
      <c r="D116" s="3100" t="s">
        <v>2315</v>
      </c>
      <c r="E116" s="3101"/>
      <c r="F116" s="3136" t="s">
        <v>2316</v>
      </c>
      <c r="G116" s="3136"/>
      <c r="H116" s="3051" t="s">
        <v>2317</v>
      </c>
      <c r="I116" s="3051"/>
    </row>
    <row r="117" spans="1:11" ht="18.75" customHeight="1">
      <c r="A117" s="3051"/>
      <c r="B117" s="3095"/>
      <c r="C117" s="3095"/>
      <c r="D117" s="1798" t="s">
        <v>2318</v>
      </c>
      <c r="E117" s="1798" t="s">
        <v>2319</v>
      </c>
      <c r="F117" s="1798" t="s">
        <v>2318</v>
      </c>
      <c r="G117" s="1798" t="s">
        <v>2320</v>
      </c>
      <c r="H117" s="1798" t="s">
        <v>2318</v>
      </c>
      <c r="I117" s="1798" t="s">
        <v>2320</v>
      </c>
    </row>
    <row r="118" spans="1:11" ht="24.75" customHeight="1">
      <c r="A118" s="2526" t="str">
        <f>项目基本情况!S2</f>
        <v>上海市崇明区长兴镇14街坊82/4丘出让国有建设用地使用权及在建建筑物房地产</v>
      </c>
      <c r="B118" s="1798">
        <f>M18</f>
        <v>187098.36000000002</v>
      </c>
      <c r="C118" s="1798">
        <f>M19</f>
        <v>87410.87</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300998</v>
      </c>
      <c r="I118" s="1798">
        <f ca="1">ROUND(IF(D32="楼面单价",C32,H118*10000/B118),0)</f>
        <v>16088</v>
      </c>
    </row>
    <row r="119" spans="1:11" ht="18.75" customHeight="1">
      <c r="A119" s="3051" t="s">
        <v>2321</v>
      </c>
      <c r="B119" s="3051"/>
      <c r="C119" s="3051"/>
      <c r="D119" s="3096" t="e">
        <f ca="1">NUMBERSTRING(INT(D118*10000),2)&amp;"元整"</f>
        <v>#REF!</v>
      </c>
      <c r="E119" s="3097"/>
      <c r="F119" s="3096" t="e">
        <f ca="1">NUMBERSTRING(INT(F118*10000),2)&amp;"元整"</f>
        <v>#REF!</v>
      </c>
      <c r="G119" s="3097"/>
      <c r="H119" s="3096" t="str">
        <f ca="1">NUMBERSTRING(INT(H118*10000),2)&amp;"元整"</f>
        <v>叁拾亿零玖佰玖拾捌万元整</v>
      </c>
      <c r="I119" s="3097"/>
    </row>
    <row r="120" spans="1:11" ht="18.75" customHeight="1">
      <c r="A120" s="3091" t="str">
        <f>IF(项目基本情况!B9="房地产市场价值","",MID(E103,3,LEN(E103)-2))</f>
        <v>估价师知悉的法定优先受偿款</v>
      </c>
      <c r="B120" s="3092"/>
      <c r="C120" s="3093"/>
      <c r="D120" s="3091">
        <f>H103</f>
        <v>0</v>
      </c>
      <c r="E120" s="3092"/>
      <c r="F120" s="3092"/>
      <c r="G120" s="3092"/>
      <c r="H120" s="3092"/>
      <c r="I120" s="3093"/>
      <c r="K120" s="2423" t="str">
        <f>IF(D120=0,"故，本次评估不存在"&amp;A120,"故，本次评估"&amp;A120&amp;"为人民币"&amp;D120&amp;"万元整。")</f>
        <v>故，本次评估不存在估价师知悉的法定优先受偿款</v>
      </c>
    </row>
    <row r="121" spans="1:11" ht="18.75" customHeight="1">
      <c r="A121" s="3137" t="s">
        <v>2321</v>
      </c>
      <c r="B121" s="3138"/>
      <c r="C121" s="3139"/>
      <c r="D121" s="3096" t="str">
        <f>IF(D120=0,"零元整",NUMBERSTRING(INT(D120*10000),2)&amp;"元整")</f>
        <v>零元整</v>
      </c>
      <c r="E121" s="3098"/>
      <c r="F121" s="3098"/>
      <c r="G121" s="3098"/>
      <c r="H121" s="3098"/>
      <c r="I121" s="3097"/>
    </row>
    <row r="122" spans="1:11" ht="18.75" customHeight="1">
      <c r="A122" s="3102" t="str">
        <f>IF(项目基本情况!B9="房地产市场价值","",MID(E107,3,LEN(E107)-2))</f>
        <v>房地产抵押价值</v>
      </c>
      <c r="B122" s="3102"/>
      <c r="C122" s="3102"/>
      <c r="D122" s="3091">
        <f ca="1">H107</f>
        <v>300998</v>
      </c>
      <c r="E122" s="3092"/>
      <c r="F122" s="3092"/>
      <c r="G122" s="3092"/>
      <c r="H122" s="3092"/>
      <c r="I122" s="3093"/>
    </row>
    <row r="123" spans="1:11" ht="18.75" customHeight="1">
      <c r="A123" s="3051" t="s">
        <v>2321</v>
      </c>
      <c r="B123" s="3051"/>
      <c r="C123" s="3051"/>
      <c r="D123" s="3096" t="str">
        <f ca="1">NUMBERSTRING(INT(D122*10000),2)&amp;"元整"</f>
        <v>叁拾亿零玖佰玖拾捌万元整</v>
      </c>
      <c r="E123" s="3098"/>
      <c r="F123" s="3098"/>
      <c r="G123" s="3098"/>
      <c r="H123" s="3098"/>
      <c r="I123" s="3097"/>
    </row>
    <row r="124" spans="1:11" ht="18.75" customHeight="1">
      <c r="A124" s="3102" t="str">
        <f>IF(项目基本情况!B9="房地产市场价值","",MID(E109,3,LEN(E109)-2))</f>
        <v/>
      </c>
      <c r="B124" s="3102"/>
      <c r="C124" s="3102"/>
      <c r="D124" s="3091" t="str">
        <f>H109</f>
        <v>——</v>
      </c>
      <c r="E124" s="3092"/>
      <c r="F124" s="3092"/>
      <c r="G124" s="3092"/>
      <c r="H124" s="3092"/>
      <c r="I124" s="3093"/>
    </row>
    <row r="125" spans="1:11" ht="18.75" customHeight="1">
      <c r="A125" s="3051" t="s">
        <v>2321</v>
      </c>
      <c r="B125" s="3051"/>
      <c r="C125" s="3051"/>
      <c r="D125" s="3096" t="e">
        <f>NUMBERSTRING(INT(D124*10000),2)&amp;"元整"</f>
        <v>#VALUE!</v>
      </c>
      <c r="E125" s="3098"/>
      <c r="F125" s="3098"/>
      <c r="G125" s="3098"/>
      <c r="H125" s="3098"/>
      <c r="I125" s="3097"/>
    </row>
    <row r="126" spans="1:11" ht="18.75" customHeight="1">
      <c r="A126" s="3102" t="str">
        <f>IF(项目基本情况!B9="房地产市场价值","",MID(E111,3,LEN(E111)-2))</f>
        <v/>
      </c>
      <c r="B126" s="3102"/>
      <c r="C126" s="3102"/>
      <c r="D126" s="3091" t="str">
        <f>H111</f>
        <v>——</v>
      </c>
      <c r="E126" s="3092"/>
      <c r="F126" s="3092"/>
      <c r="G126" s="3092"/>
      <c r="H126" s="3092"/>
      <c r="I126" s="3093"/>
    </row>
    <row r="127" spans="1:11" ht="18.75" customHeight="1">
      <c r="A127" s="3051" t="s">
        <v>2321</v>
      </c>
      <c r="B127" s="3051"/>
      <c r="C127" s="3051"/>
      <c r="D127" s="3096" t="e">
        <f>NUMBERSTRING(INT(D126*10000),2)&amp;"元整"</f>
        <v>#VALUE!</v>
      </c>
      <c r="E127" s="3098"/>
      <c r="F127" s="3098"/>
      <c r="G127" s="3098"/>
      <c r="H127" s="3098"/>
      <c r="I127" s="3097"/>
    </row>
    <row r="128" spans="1:11" ht="21.75" customHeight="1">
      <c r="A128" s="3099" t="s">
        <v>2322</v>
      </c>
      <c r="B128" s="3099"/>
      <c r="C128" s="3099"/>
      <c r="D128" s="3099"/>
      <c r="E128" s="3099"/>
      <c r="F128" s="3099"/>
      <c r="G128" s="3099"/>
      <c r="H128" s="3099"/>
      <c r="I128" s="3099"/>
    </row>
    <row r="129" spans="1:35" ht="21.75" customHeight="1">
      <c r="A129" s="2527" t="s">
        <v>2323</v>
      </c>
      <c r="B129" s="2528"/>
      <c r="C129" s="2529" t="s">
        <v>2324</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2325</v>
      </c>
      <c r="G135" s="2544"/>
      <c r="H135" s="2544"/>
      <c r="I135" s="2545" t="s">
        <v>2326</v>
      </c>
    </row>
    <row r="136" spans="1:35" ht="21.75" customHeight="1">
      <c r="A136" s="795"/>
      <c r="B136" s="2546" t="s">
        <v>2327</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2328</v>
      </c>
    </row>
    <row r="139" spans="1:35" ht="21.75" customHeight="1">
      <c r="A139" s="795"/>
      <c r="B139" s="2546" t="s">
        <v>2329</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2328</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85" t="str">
        <f>项目基本情况!B1</f>
        <v>上海市崇明区长兴镇14街坊82/4丘出让国有建设用地使用权及在建建筑物房地产抵押价值预评估</v>
      </c>
      <c r="C37" s="2985"/>
      <c r="D37" s="2985"/>
      <c r="E37" s="2985"/>
      <c r="F37" s="2985"/>
      <c r="G37" s="2985"/>
      <c r="H37" s="2985"/>
      <c r="I37" s="2985"/>
    </row>
    <row r="38" spans="1:9">
      <c r="A38" s="1019"/>
      <c r="B38" s="1019"/>
    </row>
    <row r="39" spans="1:9">
      <c r="A39" s="1017" t="s">
        <v>818</v>
      </c>
      <c r="B39" s="1017" t="s">
        <v>820</v>
      </c>
    </row>
    <row r="40" spans="1:9">
      <c r="A40" s="1017"/>
      <c r="B40" s="1945" t="str">
        <f>项目基本情况!B5</f>
        <v>上海禾柃房地产开发有限公司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郑燚（注册号：1120070131)、王鹏（注册号：1120050019)</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25" sqref="I2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2330</v>
      </c>
      <c r="B1" s="1940"/>
      <c r="C1" s="242"/>
      <c r="D1" s="242"/>
      <c r="E1" s="242"/>
      <c r="F1" s="242"/>
      <c r="G1" s="1382">
        <f>MATCH(B1,'数据-取费表'!A6:A16,0)+5</f>
        <v>12</v>
      </c>
    </row>
    <row r="2" spans="1:9" s="244" customFormat="1" ht="18" customHeight="1">
      <c r="A2" s="245" t="s">
        <v>2331</v>
      </c>
      <c r="B2" s="246">
        <f ca="1">IF(D2="——",C52,C52-E2)</f>
        <v>283848</v>
      </c>
      <c r="C2" s="243" t="s">
        <v>2332</v>
      </c>
      <c r="D2" s="2549" t="s">
        <v>70</v>
      </c>
      <c r="E2" s="1443" t="e">
        <f ca="1">SUMIF(INDIRECT("'"&amp;G2&amp;"'"&amp;"!A:A"),"承租人权益价值",INDIRECT("'"&amp;G2&amp;"'"&amp;"!c:c"))</f>
        <v>#REF!</v>
      </c>
      <c r="F2" s="2550" t="s">
        <v>2332</v>
      </c>
      <c r="G2" s="2551"/>
    </row>
    <row r="3" spans="1:9" s="244" customFormat="1" ht="18" customHeight="1" thickBot="1">
      <c r="A3" s="247" t="s">
        <v>2333</v>
      </c>
      <c r="B3" s="248">
        <f ca="1">ROUND(B2*10000/(IF(B1="",'数据-汇总表'!E3,INDIRECT("'数据-取费表'!k"&amp;$G$1))),0)</f>
        <v>15171</v>
      </c>
      <c r="C3" s="243" t="s">
        <v>2334</v>
      </c>
      <c r="D3" s="243"/>
      <c r="E3" s="243"/>
      <c r="F3" s="243"/>
      <c r="G3" s="243"/>
    </row>
    <row r="4" spans="1:9" s="252" customFormat="1" ht="15.75">
      <c r="A4" s="249" t="s">
        <v>2335</v>
      </c>
      <c r="B4" s="250"/>
      <c r="C4" s="250"/>
      <c r="D4" s="250"/>
      <c r="E4" s="250"/>
      <c r="F4" s="250"/>
      <c r="G4" s="251"/>
    </row>
    <row r="5" spans="1:9" s="258" customFormat="1" ht="13.5" customHeight="1">
      <c r="A5" s="299" t="s">
        <v>2336</v>
      </c>
      <c r="B5" s="254" t="s">
        <v>2337</v>
      </c>
      <c r="C5" s="255">
        <f>C6+C7+C8</f>
        <v>204300</v>
      </c>
      <c r="D5" s="255" t="s">
        <v>2338</v>
      </c>
      <c r="E5" s="256" t="s">
        <v>2339</v>
      </c>
      <c r="F5" s="256" t="s">
        <v>2340</v>
      </c>
      <c r="G5" s="257"/>
    </row>
    <row r="6" spans="1:9" s="258" customFormat="1" ht="13.5" customHeight="1">
      <c r="A6" s="952" t="s">
        <v>2341</v>
      </c>
      <c r="B6" s="259" t="s">
        <v>2342</v>
      </c>
      <c r="C6" s="260">
        <f>'土地比较法-住宅、综合'!B2</f>
        <v>198253</v>
      </c>
      <c r="D6" s="261"/>
      <c r="E6" s="262"/>
      <c r="F6" s="262"/>
      <c r="G6" s="263"/>
    </row>
    <row r="7" spans="1:9" s="258" customFormat="1" ht="13.5" customHeight="1">
      <c r="A7" s="952" t="s">
        <v>2343</v>
      </c>
      <c r="B7" s="259" t="s">
        <v>2344</v>
      </c>
      <c r="C7" s="264">
        <f>ROUND(C6*F7,0)</f>
        <v>6047</v>
      </c>
      <c r="D7" s="264"/>
      <c r="E7" s="262"/>
      <c r="F7" s="265">
        <f>'数据-取费表'!B48+'数据-取费表'!B49</f>
        <v>3.0499999999999999E-2</v>
      </c>
      <c r="G7" s="263"/>
    </row>
    <row r="8" spans="1:9" s="267" customFormat="1">
      <c r="A8" s="952" t="s">
        <v>2345</v>
      </c>
      <c r="B8" s="259" t="s">
        <v>2346</v>
      </c>
      <c r="C8" s="264">
        <f>IF(G8="已包含在土地购买价格中","0",IF(B1="",'数据-取费表'!B29,IF(G9="全部缴纳",C9+C10,H9)))</f>
        <v>0</v>
      </c>
      <c r="D8" s="266"/>
      <c r="E8" s="264"/>
      <c r="F8" s="265"/>
      <c r="G8" s="2552" t="s">
        <v>3282</v>
      </c>
    </row>
    <row r="9" spans="1:9" s="258" customFormat="1" ht="13.5" customHeight="1">
      <c r="A9" s="953" t="s">
        <v>800</v>
      </c>
      <c r="B9" s="268" t="s">
        <v>2347</v>
      </c>
      <c r="C9" s="269">
        <f ca="1">ROUND(D9*E9/10000,0)</f>
        <v>5187</v>
      </c>
      <c r="D9" s="1035">
        <f ca="1">IF(B1="",'数据-汇总表'!E5,IF(INDIRECT("'数据-取费表'!c"&amp;$G$1)="住宅",INDIRECT("'数据-取费表'!k"&amp;$G$1),0))</f>
        <v>120626.62</v>
      </c>
      <c r="E9" s="269">
        <f>'数据-取费表'!B27</f>
        <v>430</v>
      </c>
      <c r="F9" s="265"/>
      <c r="G9" s="2553" t="s">
        <v>3281</v>
      </c>
      <c r="H9" s="1393"/>
      <c r="I9" s="2554" t="s">
        <v>2348</v>
      </c>
    </row>
    <row r="10" spans="1:9" s="258" customFormat="1" ht="13.5" customHeight="1">
      <c r="A10" s="953" t="s">
        <v>801</v>
      </c>
      <c r="B10" s="268" t="s">
        <v>2349</v>
      </c>
      <c r="C10" s="269">
        <f ca="1">ROUND(D10*E10/10000,0)</f>
        <v>0</v>
      </c>
      <c r="D10" s="1035">
        <f ca="1">IF(B1="",'数据-汇总表'!E6,IF(INDIRECT("'数据-取费表'!c"&amp;$G$1)="住宅",INDIRECT("'数据-取费表'!s"&amp;$G$1),INDIRECT("'数据-取费表'!k"&amp;$G$1)+INDIRECT("'数据-取费表'!s"&amp;$G$1)))</f>
        <v>66471.74000000002</v>
      </c>
      <c r="E10" s="269">
        <f>'数据-取费表'!B28</f>
        <v>0</v>
      </c>
      <c r="F10" s="265"/>
      <c r="G10" s="270"/>
    </row>
    <row r="11" spans="1:9" s="258" customFormat="1" ht="13.5" hidden="1" customHeight="1">
      <c r="A11" s="271" t="s">
        <v>7</v>
      </c>
      <c r="B11" s="259" t="s">
        <v>2350</v>
      </c>
      <c r="C11" s="255"/>
      <c r="D11" s="1037"/>
      <c r="E11" s="262"/>
      <c r="F11" s="262"/>
      <c r="G11" s="263"/>
    </row>
    <row r="12" spans="1:9" s="258" customFormat="1" ht="13.5" hidden="1" customHeight="1">
      <c r="A12" s="271" t="s">
        <v>8</v>
      </c>
      <c r="B12" s="259" t="s">
        <v>2351</v>
      </c>
      <c r="C12" s="255">
        <v>0</v>
      </c>
      <c r="D12" s="1037"/>
      <c r="E12" s="272"/>
      <c r="F12" s="265">
        <v>3.0499999999999999E-2</v>
      </c>
      <c r="G12" s="263"/>
    </row>
    <row r="13" spans="1:9" s="258" customFormat="1" ht="13.5" hidden="1" customHeight="1">
      <c r="A13" s="271" t="s">
        <v>9</v>
      </c>
      <c r="B13" s="259" t="s">
        <v>2352</v>
      </c>
      <c r="C13" s="255"/>
      <c r="D13" s="1037"/>
      <c r="E13" s="262"/>
      <c r="F13" s="262"/>
      <c r="G13" s="263"/>
    </row>
    <row r="14" spans="1:9" s="258" customFormat="1" ht="13.5" hidden="1" customHeight="1">
      <c r="A14" s="271" t="s">
        <v>10</v>
      </c>
      <c r="B14" s="259" t="s">
        <v>2353</v>
      </c>
      <c r="C14" s="255"/>
      <c r="D14" s="1037"/>
      <c r="E14" s="262"/>
      <c r="F14" s="262"/>
      <c r="G14" s="263" t="s">
        <v>2354</v>
      </c>
    </row>
    <row r="15" spans="1:9" s="258" customFormat="1" ht="13.5" hidden="1" customHeight="1">
      <c r="A15" s="271" t="s">
        <v>11</v>
      </c>
      <c r="B15" s="259" t="s">
        <v>2355</v>
      </c>
      <c r="C15" s="264"/>
      <c r="D15" s="1037"/>
      <c r="E15" s="262"/>
      <c r="F15" s="262"/>
      <c r="G15" s="263" t="s">
        <v>2356</v>
      </c>
    </row>
    <row r="16" spans="1:9" s="258" customFormat="1" ht="13.5" hidden="1" customHeight="1">
      <c r="A16" s="271" t="s">
        <v>12</v>
      </c>
      <c r="B16" s="259" t="s">
        <v>2353</v>
      </c>
      <c r="C16" s="264"/>
      <c r="D16" s="1037"/>
      <c r="E16" s="262"/>
      <c r="F16" s="262"/>
      <c r="G16" s="263"/>
    </row>
    <row r="17" spans="1:7" s="258" customFormat="1" ht="13.5" hidden="1" customHeight="1">
      <c r="A17" s="271" t="s">
        <v>13</v>
      </c>
      <c r="B17" s="259" t="s">
        <v>2357</v>
      </c>
      <c r="C17" s="273"/>
      <c r="D17" s="1038"/>
      <c r="E17" s="273"/>
      <c r="F17" s="273"/>
      <c r="G17" s="263" t="s">
        <v>2356</v>
      </c>
    </row>
    <row r="18" spans="1:7" s="258" customFormat="1" ht="13.5" hidden="1" customHeight="1">
      <c r="A18" s="271" t="s">
        <v>14</v>
      </c>
      <c r="B18" s="259" t="s">
        <v>2358</v>
      </c>
      <c r="C18" s="264">
        <v>0</v>
      </c>
      <c r="D18" s="1037"/>
      <c r="E18" s="262"/>
      <c r="F18" s="265">
        <v>3.0499999999999999E-2</v>
      </c>
      <c r="G18" s="263" t="s">
        <v>2359</v>
      </c>
    </row>
    <row r="19" spans="1:7" s="267" customFormat="1" ht="13.5" customHeight="1">
      <c r="A19" s="299" t="s">
        <v>2360</v>
      </c>
      <c r="B19" s="254" t="s">
        <v>2361</v>
      </c>
      <c r="C19" s="255">
        <f ca="1">IF(G19="已包含在土地取得成本中","0",ROUND(D19*E19/10000,0))</f>
        <v>3742</v>
      </c>
      <c r="D19" s="1039">
        <f ca="1">D9+D10</f>
        <v>187098.36000000002</v>
      </c>
      <c r="E19" s="255">
        <f>'数据-取费表'!B31</f>
        <v>200</v>
      </c>
      <c r="F19" s="275"/>
      <c r="G19" s="2552" t="s">
        <v>1074</v>
      </c>
    </row>
    <row r="20" spans="1:7" s="258" customFormat="1" ht="13.5" customHeight="1">
      <c r="A20" s="299" t="s">
        <v>2362</v>
      </c>
      <c r="B20" s="254" t="s">
        <v>2363</v>
      </c>
      <c r="C20" s="276">
        <f ca="1">ROUND((C5+C19)*F20,0)</f>
        <v>4161</v>
      </c>
      <c r="D20" s="276"/>
      <c r="E20" s="276"/>
      <c r="F20" s="277">
        <f>'数据-取费表'!B37</f>
        <v>0.02</v>
      </c>
      <c r="G20" s="278" t="s">
        <v>2364</v>
      </c>
    </row>
    <row r="21" spans="1:7" s="258" customFormat="1" ht="13.5" customHeight="1">
      <c r="A21" s="299" t="s">
        <v>2365</v>
      </c>
      <c r="B21" s="254" t="s">
        <v>2366</v>
      </c>
      <c r="C21" s="279">
        <f>F21</f>
        <v>0.02</v>
      </c>
      <c r="D21" s="280" t="s">
        <v>2367</v>
      </c>
      <c r="E21" s="276"/>
      <c r="F21" s="277">
        <f>'数据-取费表'!B38</f>
        <v>0.02</v>
      </c>
      <c r="G21" s="278" t="s">
        <v>2368</v>
      </c>
    </row>
    <row r="22" spans="1:7" s="258" customFormat="1" ht="13.5" customHeight="1">
      <c r="A22" s="299" t="s">
        <v>2369</v>
      </c>
      <c r="B22" s="254" t="s">
        <v>2370</v>
      </c>
      <c r="C22" s="1357">
        <f ca="1">ROUND(SUM(C23:C25),0)</f>
        <v>9980</v>
      </c>
      <c r="D22" s="279">
        <f ca="1">C26</f>
        <v>5.0000000000000001E-4</v>
      </c>
      <c r="E22" s="280" t="s">
        <v>2367</v>
      </c>
      <c r="F22" s="281">
        <f ca="1">'数据-取费表'!B40</f>
        <v>4.7500000000000001E-2</v>
      </c>
      <c r="G22" s="278" t="str">
        <f>IF('数据-取费表'!B22&lt;=1,"单利计息","复利计息")</f>
        <v>复利计息</v>
      </c>
    </row>
    <row r="23" spans="1:7" s="258" customFormat="1" ht="13.5" customHeight="1">
      <c r="A23" s="954" t="s">
        <v>2371</v>
      </c>
      <c r="B23" s="259" t="s">
        <v>2372</v>
      </c>
      <c r="C23" s="1358">
        <f ca="1">ROUND(IF('数据-取费表'!B22&lt;=1,C5*F22*'数据-取费表'!B23,C5*(POWER((1+F22),'数据-取费表'!B23)-1)),0)</f>
        <v>9704</v>
      </c>
      <c r="D23" s="282"/>
      <c r="E23" s="282"/>
      <c r="F23" s="283"/>
      <c r="G23" s="284" t="s">
        <v>2373</v>
      </c>
    </row>
    <row r="24" spans="1:7" s="258" customFormat="1" ht="13.5" customHeight="1">
      <c r="A24" s="954" t="s">
        <v>2374</v>
      </c>
      <c r="B24" s="259" t="s">
        <v>2375</v>
      </c>
      <c r="C24" s="1358">
        <f ca="1">ROUND(IF('数据-取费表'!B22&lt;=1,C19*F22*('数据-取费表'!B19/2+'数据-取费表'!B21),C19*(POWER((1+F22),('数据-取费表'!B19/2+'数据-取费表'!B21))-1)),0)</f>
        <v>178</v>
      </c>
      <c r="D24" s="282"/>
      <c r="E24" s="282"/>
      <c r="F24" s="283"/>
      <c r="G24" s="284" t="s">
        <v>2376</v>
      </c>
    </row>
    <row r="25" spans="1:7" s="258" customFormat="1" ht="24">
      <c r="A25" s="954" t="s">
        <v>2377</v>
      </c>
      <c r="B25" s="259" t="s">
        <v>2378</v>
      </c>
      <c r="C25" s="1358">
        <f ca="1">ROUND(IF('数据-取费表'!B22&lt;=1,C20*F22*'数据-取费表'!B23/2,C20*(POWER((1+F22),'数据-取费表'!B23/2)-1)),0)</f>
        <v>98</v>
      </c>
      <c r="D25" s="282"/>
      <c r="E25" s="285"/>
      <c r="F25" s="283"/>
      <c r="G25" s="286" t="s">
        <v>2379</v>
      </c>
    </row>
    <row r="26" spans="1:7" s="258" customFormat="1">
      <c r="A26" s="954" t="s">
        <v>795</v>
      </c>
      <c r="B26" s="259" t="s">
        <v>2380</v>
      </c>
      <c r="C26" s="282">
        <f ca="1">ROUND(IF('数据-取费表'!B22&lt;=1,F21*F22*'数据-取费表'!B23/2,F21*(POWER((1+F22),'数据-取费表'!B23/2)-1)),4)</f>
        <v>5.0000000000000001E-4</v>
      </c>
      <c r="D26" s="282"/>
      <c r="E26" s="285"/>
      <c r="F26" s="283"/>
      <c r="G26" s="287"/>
    </row>
    <row r="27" spans="1:7" s="258" customFormat="1" ht="24.75">
      <c r="A27" s="299" t="s">
        <v>2381</v>
      </c>
      <c r="B27" s="288" t="s">
        <v>2382</v>
      </c>
      <c r="C27" s="289">
        <f ca="1">C28</f>
        <v>16976</v>
      </c>
      <c r="D27" s="279">
        <f ca="1">C29</f>
        <v>1.6000000000000001E-3</v>
      </c>
      <c r="E27" s="280" t="s">
        <v>2383</v>
      </c>
      <c r="F27" s="290">
        <f ca="1">IF(B1="",'数据-取费表'!Q16,INDIRECT("'数据-取费表'!q"&amp;$G$1))</f>
        <v>0.16</v>
      </c>
      <c r="G27" s="291" t="s">
        <v>2384</v>
      </c>
    </row>
    <row r="28" spans="1:7" s="258" customFormat="1" ht="13.5" customHeight="1">
      <c r="A28" s="954" t="s">
        <v>791</v>
      </c>
      <c r="B28" s="292" t="s">
        <v>2385</v>
      </c>
      <c r="C28" s="293">
        <f ca="1">ROUND((C5+C19+C20)*F27*'数据-取费表'!B21/'数据-取费表'!B20,0)</f>
        <v>16976</v>
      </c>
      <c r="D28" s="279"/>
      <c r="E28" s="280"/>
      <c r="F28" s="290"/>
      <c r="G28" s="291"/>
    </row>
    <row r="29" spans="1:7" s="258" customFormat="1" ht="13.5" customHeight="1">
      <c r="A29" s="954" t="s">
        <v>792</v>
      </c>
      <c r="B29" s="292" t="s">
        <v>2386</v>
      </c>
      <c r="C29" s="282">
        <f ca="1">ROUND(C21*F27*'数据-取费表'!B21/'数据-取费表'!B20,4)</f>
        <v>1.6000000000000001E-3</v>
      </c>
      <c r="D29" s="279"/>
      <c r="E29" s="280"/>
      <c r="F29" s="290"/>
      <c r="G29" s="291"/>
    </row>
    <row r="30" spans="1:7" s="258" customFormat="1" ht="13.5" customHeight="1">
      <c r="A30" s="299" t="s">
        <v>2387</v>
      </c>
      <c r="B30" s="254" t="s">
        <v>2388</v>
      </c>
      <c r="C30" s="279">
        <f>ROUND(F30/(1+'数据-取费表'!C42),4)</f>
        <v>5.33E-2</v>
      </c>
      <c r="D30" s="280" t="s">
        <v>2383</v>
      </c>
      <c r="E30" s="285"/>
      <c r="F30" s="281">
        <f>'数据-取费表'!B41</f>
        <v>5.6000000000000001E-2</v>
      </c>
      <c r="G30" s="278" t="s">
        <v>2389</v>
      </c>
    </row>
    <row r="31" spans="1:7" ht="16.5" customHeight="1">
      <c r="A31" s="253">
        <v>1</v>
      </c>
      <c r="B31" s="254" t="s">
        <v>2390</v>
      </c>
      <c r="C31" s="255">
        <f ca="1">ROUND((C5+C19+C20+C22+C27)/(1-C21-D22-D27-C30),0)</f>
        <v>258662</v>
      </c>
      <c r="D31" s="274"/>
      <c r="E31" s="255"/>
      <c r="F31" s="294"/>
      <c r="G31" s="278" t="s">
        <v>2391</v>
      </c>
    </row>
    <row r="32" spans="1:7" s="252" customFormat="1" ht="15.75">
      <c r="A32" s="296" t="s">
        <v>2392</v>
      </c>
      <c r="B32" s="297"/>
      <c r="C32" s="297"/>
      <c r="D32" s="297"/>
      <c r="E32" s="297"/>
      <c r="F32" s="297"/>
      <c r="G32" s="298"/>
    </row>
    <row r="33" spans="1:7" s="258" customFormat="1" ht="13.5" customHeight="1">
      <c r="A33" s="299" t="s">
        <v>782</v>
      </c>
      <c r="B33" s="254" t="s">
        <v>2393</v>
      </c>
      <c r="C33" s="300">
        <f ca="1">SUM(C34:C38)</f>
        <v>19258</v>
      </c>
      <c r="D33" s="276"/>
      <c r="E33" s="256"/>
      <c r="F33" s="285"/>
      <c r="G33" s="278"/>
    </row>
    <row r="34" spans="1:7" s="302" customFormat="1" ht="13.5" customHeight="1">
      <c r="A34" s="954" t="s">
        <v>791</v>
      </c>
      <c r="B34" s="259" t="s">
        <v>2394</v>
      </c>
      <c r="C34" s="264">
        <f ca="1">IF(B1="",IF(F34=100%,'数据-取费表'!M16,'数据-取费表'!O16),IF(F34=100%,INDIRECT("'数据-取费表'!m"&amp;$G$1)+INDIRECT("'数据-取费表'!t"&amp;$G$1),INDIRECT("'数据-取费表'!o"&amp;$G$1)+INDIRECT("'数据-取费表'!aq"&amp;$G$1)))</f>
        <v>16866</v>
      </c>
      <c r="D34" s="261"/>
      <c r="E34" s="264"/>
      <c r="F34" s="301">
        <f ca="1">IF('数据-取费表'!B24=0,1,IF(B1="",'数据-取费表'!N16,INDIRECT("'数据-取费表'!n"&amp;$G$1)))</f>
        <v>0.27600000000000002</v>
      </c>
      <c r="G34" s="263" t="s">
        <v>2395</v>
      </c>
    </row>
    <row r="35" spans="1:7" ht="13.5" customHeight="1">
      <c r="A35" s="954" t="s">
        <v>796</v>
      </c>
      <c r="B35" s="259" t="s">
        <v>2396</v>
      </c>
      <c r="C35" s="264">
        <f ca="1">ROUND(C34*F35,0)</f>
        <v>506</v>
      </c>
      <c r="D35" s="264"/>
      <c r="E35" s="264"/>
      <c r="F35" s="303">
        <f>'数据-取费表'!B33</f>
        <v>0.03</v>
      </c>
      <c r="G35" s="263" t="s">
        <v>2397</v>
      </c>
    </row>
    <row r="36" spans="1:7" ht="24">
      <c r="A36" s="954" t="s">
        <v>797</v>
      </c>
      <c r="B36" s="259" t="s">
        <v>2398</v>
      </c>
      <c r="C36" s="264">
        <f ca="1">ROUND(IF(B1="",SUMIF('数据-取费表'!C:C,"住宅",IF(F34=100%,'数据-取费表'!M:M,'数据-取费表'!O:O))*F36,IF(INDIRECT("'数据-取费表'!c"&amp;$G$1)="住宅",IF(F34=100%,INDIRECT("'数据-取费表'!m"&amp;$G$1)*F36,INDIRECT("'数据-取费表'!o"&amp;$G$1)*F36),0)),0)</f>
        <v>600</v>
      </c>
      <c r="D36" s="264"/>
      <c r="E36" s="264"/>
      <c r="F36" s="303">
        <f>'数据-取费表'!B34</f>
        <v>0.05</v>
      </c>
      <c r="G36" s="304" t="s">
        <v>2399</v>
      </c>
    </row>
    <row r="37" spans="1:7" s="302" customFormat="1" ht="13.5" customHeight="1">
      <c r="A37" s="954" t="s">
        <v>798</v>
      </c>
      <c r="B37" s="259" t="s">
        <v>2400</v>
      </c>
      <c r="C37" s="293">
        <f ca="1">ROUND(E37*D37*F34/10000,0)</f>
        <v>1033</v>
      </c>
      <c r="D37" s="261">
        <f ca="1">D19</f>
        <v>187098.36000000002</v>
      </c>
      <c r="E37" s="293">
        <f>'数据-取费表'!B35</f>
        <v>200</v>
      </c>
      <c r="F37" s="303"/>
      <c r="G37" s="305" t="s">
        <v>2401</v>
      </c>
    </row>
    <row r="38" spans="1:7" ht="13.5" customHeight="1">
      <c r="A38" s="954" t="s">
        <v>799</v>
      </c>
      <c r="B38" s="259" t="s">
        <v>2402</v>
      </c>
      <c r="C38" s="264">
        <f ca="1">ROUND(C34*F38,0)</f>
        <v>253</v>
      </c>
      <c r="D38" s="264"/>
      <c r="E38" s="264"/>
      <c r="F38" s="303">
        <f>'数据-取费表'!B36</f>
        <v>1.4999999999999999E-2</v>
      </c>
      <c r="G38" s="263" t="s">
        <v>2397</v>
      </c>
    </row>
    <row r="39" spans="1:7" s="258" customFormat="1" ht="13.5" customHeight="1">
      <c r="A39" s="299" t="s">
        <v>2403</v>
      </c>
      <c r="B39" s="254" t="s">
        <v>2404</v>
      </c>
      <c r="C39" s="276">
        <f ca="1">ROUND(C33*F20,0)</f>
        <v>385</v>
      </c>
      <c r="D39" s="276"/>
      <c r="E39" s="276"/>
      <c r="F39" s="277"/>
      <c r="G39" s="278" t="s">
        <v>2405</v>
      </c>
    </row>
    <row r="40" spans="1:7" s="258" customFormat="1" ht="13.5" customHeight="1">
      <c r="A40" s="299" t="s">
        <v>2406</v>
      </c>
      <c r="B40" s="254" t="s">
        <v>2407</v>
      </c>
      <c r="C40" s="1731">
        <f>F21</f>
        <v>0.02</v>
      </c>
      <c r="D40" s="280" t="s">
        <v>2408</v>
      </c>
      <c r="E40" s="276"/>
      <c r="F40" s="277"/>
      <c r="G40" s="278" t="s">
        <v>2409</v>
      </c>
    </row>
    <row r="41" spans="1:7" s="258" customFormat="1" ht="13.5" customHeight="1">
      <c r="A41" s="299" t="s">
        <v>2410</v>
      </c>
      <c r="B41" s="254" t="s">
        <v>2411</v>
      </c>
      <c r="C41" s="276">
        <f ca="1">ROUND(SUM(C42:C43),0)</f>
        <v>461</v>
      </c>
      <c r="D41" s="279">
        <f ca="1">C44</f>
        <v>5.0000000000000001E-4</v>
      </c>
      <c r="E41" s="280" t="s">
        <v>2408</v>
      </c>
      <c r="F41" s="281"/>
      <c r="G41" s="278" t="str">
        <f>IF('数据-取费表'!B22&lt;=1,"单利计息","复利计息")</f>
        <v>复利计息</v>
      </c>
    </row>
    <row r="42" spans="1:7" ht="13.5" customHeight="1">
      <c r="A42" s="954" t="s">
        <v>791</v>
      </c>
      <c r="B42" s="259" t="s">
        <v>2412</v>
      </c>
      <c r="C42" s="282">
        <f ca="1">ROUND(IF('数据-取费表'!B22&lt;=1,C33*F22*'数据-取费表'!B21/2,C33*(POWER((1+F22),'数据-取费表'!B21/2)-1)),0)</f>
        <v>452</v>
      </c>
      <c r="D42" s="282"/>
      <c r="E42" s="282"/>
      <c r="F42" s="283"/>
      <c r="G42" s="3171" t="s">
        <v>2413</v>
      </c>
    </row>
    <row r="43" spans="1:7" ht="13.5" customHeight="1">
      <c r="A43" s="954" t="s">
        <v>792</v>
      </c>
      <c r="B43" s="259" t="s">
        <v>2414</v>
      </c>
      <c r="C43" s="282">
        <f ca="1">ROUND(IF('数据-取费表'!B22&lt;=1,C39*F22*'数据-取费表'!B21/2,C39*(POWER((1+F22),'数据-取费表'!B21/2)-1)),0)</f>
        <v>9</v>
      </c>
      <c r="D43" s="282"/>
      <c r="E43" s="282"/>
      <c r="F43" s="283"/>
      <c r="G43" s="3172"/>
    </row>
    <row r="44" spans="1:7" ht="13.5" customHeight="1">
      <c r="A44" s="954" t="s">
        <v>793</v>
      </c>
      <c r="B44" s="259" t="s">
        <v>2415</v>
      </c>
      <c r="C44" s="282">
        <f ca="1">ROUND(IF('数据-取费表'!B22&lt;=1,C40*F22*'数据-取费表'!B21/2,C40*(POWER((1+F22),'数据-取费表'!B21/2)-1)),4)</f>
        <v>5.0000000000000001E-4</v>
      </c>
      <c r="D44" s="282"/>
      <c r="E44" s="282"/>
      <c r="F44" s="283"/>
      <c r="G44" s="3173"/>
    </row>
    <row r="45" spans="1:7" s="258" customFormat="1" ht="13.5" customHeight="1">
      <c r="A45" s="299" t="s">
        <v>2416</v>
      </c>
      <c r="B45" s="288" t="s">
        <v>2382</v>
      </c>
      <c r="C45" s="289">
        <f ca="1">C46</f>
        <v>3143</v>
      </c>
      <c r="D45" s="279">
        <f ca="1">C47</f>
        <v>3.2000000000000002E-3</v>
      </c>
      <c r="E45" s="280" t="s">
        <v>2408</v>
      </c>
      <c r="F45" s="290"/>
      <c r="G45" s="291" t="s">
        <v>2417</v>
      </c>
    </row>
    <row r="46" spans="1:7" s="258" customFormat="1" ht="13.5" customHeight="1">
      <c r="A46" s="954" t="s">
        <v>791</v>
      </c>
      <c r="B46" s="292" t="s">
        <v>2418</v>
      </c>
      <c r="C46" s="293">
        <f ca="1">ROUND((C33+C39)*F27,0)</f>
        <v>3143</v>
      </c>
      <c r="D46" s="307"/>
      <c r="E46" s="280"/>
      <c r="F46" s="290"/>
      <c r="G46" s="291"/>
    </row>
    <row r="47" spans="1:7" s="258" customFormat="1" ht="13.5" customHeight="1">
      <c r="A47" s="954" t="s">
        <v>792</v>
      </c>
      <c r="B47" s="292" t="s">
        <v>2419</v>
      </c>
      <c r="C47" s="282">
        <f ca="1">ROUND(C40*F27,4)</f>
        <v>3.2000000000000002E-3</v>
      </c>
      <c r="D47" s="307"/>
      <c r="E47" s="280"/>
      <c r="F47" s="290"/>
      <c r="G47" s="291"/>
    </row>
    <row r="48" spans="1:7" s="258" customFormat="1" ht="13.5" customHeight="1">
      <c r="A48" s="299" t="s">
        <v>2381</v>
      </c>
      <c r="B48" s="254" t="s">
        <v>2420</v>
      </c>
      <c r="C48" s="1731">
        <f>ROUND(F30/(1+'数据-取费表'!C42),4)</f>
        <v>5.33E-2</v>
      </c>
      <c r="D48" s="280" t="s">
        <v>2408</v>
      </c>
      <c r="E48" s="276"/>
      <c r="F48" s="281"/>
      <c r="G48" s="278" t="s">
        <v>2421</v>
      </c>
    </row>
    <row r="49" spans="1:7" ht="16.5" customHeight="1">
      <c r="A49" s="299" t="s">
        <v>2387</v>
      </c>
      <c r="B49" s="254" t="s">
        <v>2422</v>
      </c>
      <c r="C49" s="276">
        <f ca="1">ROUND((C33+C39+C41+C45)/(1-C40-D41-D45-C48),0)</f>
        <v>25186</v>
      </c>
      <c r="D49" s="276"/>
      <c r="E49" s="276"/>
      <c r="F49" s="308"/>
      <c r="G49" s="278" t="s">
        <v>2423</v>
      </c>
    </row>
    <row r="50" spans="1:7" s="302" customFormat="1" ht="24">
      <c r="A50" s="299" t="s">
        <v>2424</v>
      </c>
      <c r="B50" s="254" t="s">
        <v>2425</v>
      </c>
      <c r="C50" s="276"/>
      <c r="D50" s="276"/>
      <c r="E50" s="276"/>
      <c r="F50" s="308">
        <f>IF('数据-取费表'!B24=0,'数据-取费表'!N16,1)</f>
        <v>1</v>
      </c>
      <c r="G50" s="291" t="s">
        <v>2426</v>
      </c>
    </row>
    <row r="51" spans="1:7" ht="16.5" customHeight="1">
      <c r="A51" s="299" t="s">
        <v>2427</v>
      </c>
      <c r="B51" s="254" t="s">
        <v>2428</v>
      </c>
      <c r="C51" s="276">
        <f ca="1">ROUND(C49*F50,0)</f>
        <v>25186</v>
      </c>
      <c r="D51" s="276"/>
      <c r="E51" s="276"/>
      <c r="F51" s="308"/>
      <c r="G51" s="278" t="s">
        <v>2429</v>
      </c>
    </row>
    <row r="52" spans="1:7" s="252" customFormat="1" ht="16.5" thickBot="1">
      <c r="A52" s="309" t="s">
        <v>2430</v>
      </c>
      <c r="B52" s="310"/>
      <c r="C52" s="311">
        <f ca="1">C31+C51</f>
        <v>283848</v>
      </c>
      <c r="D52" s="310"/>
      <c r="E52" s="310"/>
      <c r="F52" s="310"/>
      <c r="G52" s="312"/>
    </row>
    <row r="55" spans="1:7" ht="15">
      <c r="B55" s="314" t="s">
        <v>2431</v>
      </c>
      <c r="C55" s="315"/>
    </row>
    <row r="56" spans="1:7">
      <c r="B56" s="317" t="s">
        <v>1513</v>
      </c>
      <c r="C56" s="319">
        <f ca="1">1-C57</f>
        <v>0.91100000000000003</v>
      </c>
    </row>
    <row r="57" spans="1:7">
      <c r="B57" s="317" t="s">
        <v>1514</v>
      </c>
      <c r="C57" s="318">
        <f ca="1">ROUND(C51/C52,3)</f>
        <v>8.8999999999999996E-2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7" zoomScale="80" zoomScaleNormal="80" workbookViewId="0">
      <selection activeCell="E15" sqref="E15"/>
    </sheetView>
  </sheetViews>
  <sheetFormatPr defaultRowHeight="14.25"/>
  <cols>
    <col min="1" max="1" width="14.375" style="403" customWidth="1"/>
    <col min="2" max="2" width="15.75" style="403" customWidth="1"/>
    <col min="3" max="3" width="14.375" style="403" customWidth="1"/>
    <col min="4" max="4" width="9.375" style="403" customWidth="1"/>
    <col min="5" max="5" width="16.5" style="403" customWidth="1"/>
    <col min="6" max="6" width="10" style="403" customWidth="1"/>
    <col min="7" max="7" width="14.5" style="403" customWidth="1"/>
    <col min="8" max="8" width="9.75" style="403" customWidth="1"/>
    <col min="9" max="9" width="14.5" style="403" customWidth="1"/>
    <col min="10" max="10" width="9"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2331</v>
      </c>
      <c r="B2" s="671">
        <f>F66</f>
        <v>198253</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2333</v>
      </c>
      <c r="B3" s="609">
        <f>ROUND(IF(D3="",B2*10000/'数据-汇总表'!E3,B2*10000/D3),0)</f>
        <v>10596</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175" t="s">
        <v>2649</v>
      </c>
      <c r="AC4" s="3174" t="s">
        <v>2650</v>
      </c>
    </row>
    <row r="5" spans="1:30" ht="15">
      <c r="A5" s="404"/>
      <c r="B5" s="405"/>
      <c r="C5" s="3185" t="s">
        <v>2543</v>
      </c>
      <c r="D5" s="3186"/>
      <c r="E5" s="3183" t="s">
        <v>3089</v>
      </c>
      <c r="F5" s="3184"/>
      <c r="G5" s="3185" t="s">
        <v>3090</v>
      </c>
      <c r="H5" s="3186"/>
      <c r="I5" s="3185" t="s">
        <v>3096</v>
      </c>
      <c r="J5" s="3186"/>
      <c r="K5" s="610"/>
      <c r="L5" s="1133"/>
      <c r="M5" s="1134"/>
      <c r="N5" s="1134"/>
      <c r="O5" s="1134"/>
      <c r="P5" s="3198"/>
      <c r="Q5" s="3199"/>
      <c r="R5" s="3181"/>
      <c r="S5" s="3182"/>
      <c r="T5" s="3181"/>
      <c r="U5" s="3182"/>
      <c r="V5" s="3204"/>
      <c r="W5" s="3204"/>
      <c r="X5" s="1816"/>
      <c r="Y5" s="3181"/>
      <c r="Z5" s="3182"/>
      <c r="AA5" s="3175"/>
      <c r="AB5" s="3175"/>
      <c r="AC5" s="3175"/>
    </row>
    <row r="6" spans="1:30" ht="15.75" thickBot="1">
      <c r="A6" s="406"/>
      <c r="B6" s="407"/>
      <c r="C6" s="3187" t="s">
        <v>2547</v>
      </c>
      <c r="D6" s="3188"/>
      <c r="E6" s="3189" t="s">
        <v>3091</v>
      </c>
      <c r="F6" s="3190"/>
      <c r="G6" s="3187" t="s">
        <v>3092</v>
      </c>
      <c r="H6" s="3188"/>
      <c r="I6" s="3187" t="s">
        <v>3097</v>
      </c>
      <c r="J6" s="3188"/>
      <c r="K6" s="610" t="s">
        <v>2548</v>
      </c>
      <c r="L6" s="1133"/>
      <c r="M6" s="1134"/>
      <c r="N6" s="1134"/>
      <c r="O6" s="1134"/>
      <c r="P6" s="3200"/>
      <c r="Q6" s="3201"/>
      <c r="R6" s="3181"/>
      <c r="S6" s="3182"/>
      <c r="T6" s="3202"/>
      <c r="U6" s="3203"/>
      <c r="V6" s="3204"/>
      <c r="W6" s="3204"/>
      <c r="X6" s="1816"/>
      <c r="Y6" s="3202"/>
      <c r="Z6" s="3203"/>
      <c r="AA6" s="3176"/>
      <c r="AB6" s="3176"/>
      <c r="AC6" s="3176"/>
    </row>
    <row r="7" spans="1:30" s="117" customFormat="1" ht="15.75" thickBot="1">
      <c r="A7" s="408" t="s">
        <v>2549</v>
      </c>
      <c r="B7" s="409"/>
      <c r="C7" s="410">
        <f>'数据-取费表'!B2</f>
        <v>43202</v>
      </c>
      <c r="D7" s="411">
        <v>100</v>
      </c>
      <c r="E7" s="412">
        <v>42740</v>
      </c>
      <c r="F7" s="413">
        <f>SUMIF(70:70,YEAR(E7)&amp;"-"&amp;INT((MONTH(E7)+2)/3),71:71)</f>
        <v>97.5</v>
      </c>
      <c r="G7" s="2698">
        <v>42491</v>
      </c>
      <c r="H7" s="411">
        <f>SUMIF(70:70,YEAR(G7)&amp;"-"&amp;INT((MONTH(G7)+2)/3),71:71)</f>
        <v>96</v>
      </c>
      <c r="I7" s="2698">
        <v>42993</v>
      </c>
      <c r="J7" s="411">
        <f>SUMIF(70:70,YEAR(I7)&amp;"-"&amp;INT((MONTH(I7)+2)/3),71:71)</f>
        <v>98.5</v>
      </c>
      <c r="K7" s="611"/>
      <c r="L7" s="1135"/>
      <c r="M7" s="1136"/>
      <c r="N7" s="1136"/>
      <c r="O7" s="1136"/>
      <c r="P7" s="3177" t="s">
        <v>2550</v>
      </c>
      <c r="Q7" s="3205"/>
      <c r="R7" s="770" t="s">
        <v>17</v>
      </c>
      <c r="S7" s="771">
        <f t="shared" ref="S7:S15" si="0">F7</f>
        <v>97.5</v>
      </c>
      <c r="T7" s="770" t="s">
        <v>17</v>
      </c>
      <c r="U7" s="771">
        <f t="shared" ref="U7:U15" si="1">H7</f>
        <v>96</v>
      </c>
      <c r="V7" s="770" t="s">
        <v>17</v>
      </c>
      <c r="W7" s="771">
        <f t="shared" ref="W7:W15" si="2">J7</f>
        <v>98.5</v>
      </c>
      <c r="X7" s="772"/>
      <c r="Y7" s="3177" t="s">
        <v>2550</v>
      </c>
      <c r="Z7" s="3178"/>
      <c r="AA7" s="773">
        <f>D7/F7</f>
        <v>1.0256410256410255</v>
      </c>
      <c r="AB7" s="773">
        <f>D7/H7</f>
        <v>1.0416666666666667</v>
      </c>
      <c r="AC7" s="773">
        <f>D7/J7</f>
        <v>1.015228426395939</v>
      </c>
    </row>
    <row r="8" spans="1:30" s="117" customFormat="1" ht="15.75" thickBot="1">
      <c r="A8" s="408" t="s">
        <v>2551</v>
      </c>
      <c r="B8" s="409"/>
      <c r="C8" s="2601" t="s">
        <v>3062</v>
      </c>
      <c r="D8" s="411">
        <v>100</v>
      </c>
      <c r="E8" s="414" t="s">
        <v>3063</v>
      </c>
      <c r="F8" s="413">
        <f>SUMIF(73:73,E8,74:74)-SUMIF(73:73,C8,74:74)+100</f>
        <v>100</v>
      </c>
      <c r="G8" s="414" t="s">
        <v>3063</v>
      </c>
      <c r="H8" s="411">
        <f>SUMIF(73:73,G8,74:74)-SUMIF(73:73,C8,74:74)+100</f>
        <v>100</v>
      </c>
      <c r="I8" s="414" t="s">
        <v>3063</v>
      </c>
      <c r="J8" s="411">
        <f>SUMIF(73:73,I8,74:74)-SUMIF(73:73,C8,74:74)+100</f>
        <v>100</v>
      </c>
      <c r="K8" s="611"/>
      <c r="L8" s="1135"/>
      <c r="M8" s="1136"/>
      <c r="N8" s="1136"/>
      <c r="O8" s="1136"/>
      <c r="P8" s="3177" t="s">
        <v>2553</v>
      </c>
      <c r="Q8" s="3178"/>
      <c r="R8" s="770" t="s">
        <v>17</v>
      </c>
      <c r="S8" s="771">
        <f t="shared" si="0"/>
        <v>100</v>
      </c>
      <c r="T8" s="770" t="s">
        <v>17</v>
      </c>
      <c r="U8" s="771">
        <f t="shared" si="1"/>
        <v>100</v>
      </c>
      <c r="V8" s="770" t="s">
        <v>17</v>
      </c>
      <c r="W8" s="771">
        <f t="shared" si="2"/>
        <v>100</v>
      </c>
      <c r="X8" s="772"/>
      <c r="Y8" s="3177" t="s">
        <v>2553</v>
      </c>
      <c r="Z8" s="3178"/>
      <c r="AA8" s="773">
        <f t="shared" ref="AA8:AA45" si="3">D8/F8</f>
        <v>1</v>
      </c>
      <c r="AB8" s="773">
        <f t="shared" ref="AB8:AB45" si="4">D8/H8</f>
        <v>1</v>
      </c>
      <c r="AC8" s="773">
        <f t="shared" ref="AC8:AC45" si="5">D8/J8</f>
        <v>1</v>
      </c>
    </row>
    <row r="9" spans="1:30" s="117" customFormat="1">
      <c r="A9" s="415" t="s">
        <v>2554</v>
      </c>
      <c r="B9" s="71" t="s">
        <v>2555</v>
      </c>
      <c r="C9" s="2948" t="s">
        <v>3086</v>
      </c>
      <c r="D9" s="135">
        <v>100</v>
      </c>
      <c r="E9" s="2701" t="s">
        <v>3086</v>
      </c>
      <c r="F9" s="135">
        <f>SUMIF(75:75,E9,76:76)-SUMIF(75:75,C9,76:76)+100</f>
        <v>100</v>
      </c>
      <c r="G9" s="2701" t="s">
        <v>3086</v>
      </c>
      <c r="H9" s="135">
        <f>SUMIF(75:75,G9,76:76)-SUMIF(75:75,C9,76:76)+100</f>
        <v>100</v>
      </c>
      <c r="I9" s="2701" t="s">
        <v>3086</v>
      </c>
      <c r="J9" s="135">
        <f>SUMIF(75:75,I9,76:76)-SUMIF(75:75,C9,76:76)+100</f>
        <v>100</v>
      </c>
      <c r="K9" s="611"/>
      <c r="L9" s="1135"/>
      <c r="M9" s="1136"/>
      <c r="N9" s="1136"/>
      <c r="O9" s="1137"/>
      <c r="P9" s="3191"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773">
        <f t="shared" si="5"/>
        <v>1</v>
      </c>
    </row>
    <row r="10" spans="1:30" s="427" customFormat="1" ht="27">
      <c r="A10" s="421"/>
      <c r="B10" s="422" t="s">
        <v>2558</v>
      </c>
      <c r="C10" s="2674">
        <f>'数据-取费表'!F6</f>
        <v>68.56</v>
      </c>
      <c r="D10" s="136">
        <v>100</v>
      </c>
      <c r="E10" s="465" t="s">
        <v>3098</v>
      </c>
      <c r="F10" s="136">
        <f>ROUND(100/'数据-取费表'!G16,0)</f>
        <v>100</v>
      </c>
      <c r="G10" s="463" t="s">
        <v>3098</v>
      </c>
      <c r="H10" s="136">
        <f>ROUND(100/'数据-取费表'!G16,0)</f>
        <v>100</v>
      </c>
      <c r="I10" s="463" t="s">
        <v>3099</v>
      </c>
      <c r="J10" s="136">
        <f>ROUND(100/'数据-取费表'!G16,0)</f>
        <v>100</v>
      </c>
      <c r="K10" s="672"/>
      <c r="L10" s="1138"/>
      <c r="M10" s="1139"/>
      <c r="N10" s="1139"/>
      <c r="O10" s="1140"/>
      <c r="P10" s="3191"/>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30" ht="15">
      <c r="A11" s="428"/>
      <c r="B11" s="422" t="s">
        <v>2559</v>
      </c>
      <c r="C11" s="430">
        <f>'数据-汇总表'!I4</f>
        <v>1.51</v>
      </c>
      <c r="D11" s="136">
        <v>100</v>
      </c>
      <c r="E11" s="429">
        <v>1.5</v>
      </c>
      <c r="F11" s="136">
        <f>LOOKUP(E11,80:80,81:81)-LOOKUP(C11,80:80,81:81)+100</f>
        <v>100</v>
      </c>
      <c r="G11" s="430">
        <v>1.5</v>
      </c>
      <c r="H11" s="136">
        <f>LOOKUP(G11,80:80,81:81)-LOOKUP(C11,80:80,81:81)+100</f>
        <v>100</v>
      </c>
      <c r="I11" s="429">
        <v>2.2000000000000002</v>
      </c>
      <c r="J11" s="136">
        <f>LOOKUP(I11,80:80,81:81)-LOOKUP(C11,80:80,81:81)+100</f>
        <v>98</v>
      </c>
      <c r="K11" s="673">
        <v>2</v>
      </c>
      <c r="L11" s="1141"/>
      <c r="M11" s="1134"/>
      <c r="N11" s="1134"/>
      <c r="O11" s="1142"/>
      <c r="P11" s="3191"/>
      <c r="Q11" s="1798" t="str">
        <f t="shared" si="6"/>
        <v>容积率</v>
      </c>
      <c r="R11" s="770" t="s">
        <v>17</v>
      </c>
      <c r="S11" s="771">
        <f t="shared" si="0"/>
        <v>100</v>
      </c>
      <c r="T11" s="770" t="s">
        <v>17</v>
      </c>
      <c r="U11" s="771">
        <f t="shared" si="1"/>
        <v>100</v>
      </c>
      <c r="V11" s="770" t="s">
        <v>17</v>
      </c>
      <c r="W11" s="771">
        <f t="shared" si="2"/>
        <v>98</v>
      </c>
      <c r="X11" s="772"/>
      <c r="Y11" s="3051"/>
      <c r="Z11" s="55" t="str">
        <f t="shared" si="7"/>
        <v>容积率</v>
      </c>
      <c r="AA11" s="773">
        <f t="shared" si="3"/>
        <v>1</v>
      </c>
      <c r="AB11" s="773">
        <f t="shared" si="4"/>
        <v>1</v>
      </c>
      <c r="AC11" s="773">
        <f t="shared" si="5"/>
        <v>1.0204081632653061</v>
      </c>
    </row>
    <row r="12" spans="1:30" s="117" customFormat="1" ht="15.75" thickBot="1">
      <c r="A12" s="431"/>
      <c r="B12" s="2602" t="s">
        <v>2748</v>
      </c>
      <c r="C12" s="432" t="s">
        <v>3094</v>
      </c>
      <c r="D12" s="433">
        <v>100</v>
      </c>
      <c r="E12" s="432" t="s">
        <v>3095</v>
      </c>
      <c r="F12" s="136">
        <f>SUMIF(82:82,E12,83:83)-SUMIF(82:82,C12,83:83)+100</f>
        <v>100</v>
      </c>
      <c r="G12" s="432" t="s">
        <v>3094</v>
      </c>
      <c r="H12" s="136">
        <f>SUMIF(82:82,G12,83:83)-SUMIF(82:82,C12,83:83)+100</f>
        <v>100</v>
      </c>
      <c r="I12" s="432" t="s">
        <v>3094</v>
      </c>
      <c r="J12" s="136">
        <f>SUMIF(82:82,I12,83:83)-SUMIF(82:82,C12,83:83)+100</f>
        <v>100</v>
      </c>
      <c r="K12" s="672"/>
      <c r="L12" s="1135"/>
      <c r="M12" s="1136"/>
      <c r="N12" s="1136"/>
      <c r="O12" s="1137"/>
      <c r="P12" s="3191"/>
      <c r="Q12" s="1798" t="str">
        <f t="shared" si="6"/>
        <v>配建</v>
      </c>
      <c r="R12" s="770" t="s">
        <v>17</v>
      </c>
      <c r="S12" s="771">
        <f t="shared" si="0"/>
        <v>100</v>
      </c>
      <c r="T12" s="770" t="s">
        <v>17</v>
      </c>
      <c r="U12" s="771">
        <f t="shared" si="1"/>
        <v>100</v>
      </c>
      <c r="V12" s="770" t="s">
        <v>17</v>
      </c>
      <c r="W12" s="771">
        <f t="shared" si="2"/>
        <v>100</v>
      </c>
      <c r="X12" s="772"/>
      <c r="Y12" s="3051"/>
      <c r="Z12" s="55" t="str">
        <f t="shared" si="7"/>
        <v>配建</v>
      </c>
      <c r="AA12" s="773">
        <f>D12/F12</f>
        <v>1</v>
      </c>
      <c r="AB12" s="773">
        <f>D12/H12</f>
        <v>1</v>
      </c>
      <c r="AC12" s="773">
        <f>D12/J12</f>
        <v>1</v>
      </c>
    </row>
    <row r="13" spans="1:30" ht="15" hidden="1">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91"/>
      <c r="Q13" s="1798">
        <f t="shared" si="6"/>
        <v>111</v>
      </c>
      <c r="R13" s="770" t="s">
        <v>17</v>
      </c>
      <c r="S13" s="771">
        <f t="shared" si="0"/>
        <v>100</v>
      </c>
      <c r="T13" s="770" t="s">
        <v>17</v>
      </c>
      <c r="U13" s="771">
        <f t="shared" si="1"/>
        <v>100</v>
      </c>
      <c r="V13" s="770" t="s">
        <v>17</v>
      </c>
      <c r="W13" s="771">
        <f t="shared" si="2"/>
        <v>100</v>
      </c>
      <c r="X13" s="772"/>
      <c r="Y13" s="3051"/>
      <c r="Z13" s="55">
        <f t="shared" si="7"/>
        <v>111</v>
      </c>
      <c r="AA13" s="773">
        <f>D13/F13</f>
        <v>1</v>
      </c>
      <c r="AB13" s="773">
        <f>D13/H13</f>
        <v>1</v>
      </c>
      <c r="AC13" s="773">
        <f>D13/J13</f>
        <v>1</v>
      </c>
    </row>
    <row r="14" spans="1:30" ht="15.75" hidden="1"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91"/>
      <c r="Q14" s="1798">
        <f t="shared" si="6"/>
        <v>111</v>
      </c>
      <c r="R14" s="770" t="s">
        <v>17</v>
      </c>
      <c r="S14" s="771">
        <f t="shared" si="0"/>
        <v>100</v>
      </c>
      <c r="T14" s="770" t="s">
        <v>17</v>
      </c>
      <c r="U14" s="771">
        <f t="shared" si="1"/>
        <v>100</v>
      </c>
      <c r="V14" s="770" t="s">
        <v>17</v>
      </c>
      <c r="W14" s="771">
        <f t="shared" si="2"/>
        <v>100</v>
      </c>
      <c r="X14" s="772"/>
      <c r="Y14" s="3051"/>
      <c r="Z14" s="55">
        <f t="shared" si="7"/>
        <v>111</v>
      </c>
      <c r="AA14" s="773">
        <f>D14/F14</f>
        <v>1</v>
      </c>
      <c r="AB14" s="773">
        <f>D14/H14</f>
        <v>1</v>
      </c>
      <c r="AC14" s="773">
        <f>D14/J14</f>
        <v>1</v>
      </c>
    </row>
    <row r="15" spans="1:30" ht="99.75">
      <c r="A15" s="440" t="s">
        <v>2560</v>
      </c>
      <c r="B15" s="69" t="s">
        <v>2087</v>
      </c>
      <c r="C15" s="2605" t="str">
        <f>估价对象房地状况!C15</f>
        <v>估价对象周边居住用地比例、居住小区规模和社区发展完善程度，综合评价居住社区成熟度一般</v>
      </c>
      <c r="D15" s="441">
        <v>100</v>
      </c>
      <c r="E15" s="442"/>
      <c r="F15" s="441">
        <f>SUMIF(88:88,E16,89:89)-SUMIF(88:88,C16,89:89)+100</f>
        <v>103</v>
      </c>
      <c r="G15" s="442"/>
      <c r="H15" s="441">
        <f>SUMIF(88:88,G16,89:89)-SUMIF(88:88,C16,89:89)+100</f>
        <v>100</v>
      </c>
      <c r="I15" s="444"/>
      <c r="J15" s="441">
        <f>SUMIF(88:88,I16,89:89)-SUMIF(88:88,C16,89:89)+100</f>
        <v>103</v>
      </c>
      <c r="K15" s="673">
        <v>3</v>
      </c>
      <c r="L15" s="1143"/>
      <c r="M15" s="1134"/>
      <c r="N15" s="1134"/>
      <c r="O15" s="1142"/>
      <c r="P15" s="3206" t="s">
        <v>2561</v>
      </c>
      <c r="Q15" s="1813" t="str">
        <f t="shared" si="6"/>
        <v>居住社区成熟度</v>
      </c>
      <c r="R15" s="774" t="s">
        <v>17</v>
      </c>
      <c r="S15" s="775">
        <f t="shared" si="0"/>
        <v>103</v>
      </c>
      <c r="T15" s="774" t="s">
        <v>17</v>
      </c>
      <c r="U15" s="775">
        <f t="shared" si="1"/>
        <v>100</v>
      </c>
      <c r="V15" s="774" t="s">
        <v>17</v>
      </c>
      <c r="W15" s="775">
        <f t="shared" si="2"/>
        <v>103</v>
      </c>
      <c r="X15" s="1816"/>
      <c r="Y15" s="3206" t="s">
        <v>2561</v>
      </c>
      <c r="Z15" s="1817" t="str">
        <f t="shared" si="7"/>
        <v>居住社区成熟度</v>
      </c>
      <c r="AA15" s="1814">
        <f t="shared" si="3"/>
        <v>0.970873786407767</v>
      </c>
      <c r="AB15" s="1814">
        <f t="shared" si="4"/>
        <v>1</v>
      </c>
      <c r="AC15" s="1814">
        <f t="shared" si="5"/>
        <v>0.970873786407767</v>
      </c>
    </row>
    <row r="16" spans="1:30" ht="15">
      <c r="A16" s="428"/>
      <c r="B16" s="446"/>
      <c r="C16" s="447" t="s">
        <v>3100</v>
      </c>
      <c r="D16" s="448"/>
      <c r="E16" s="2607" t="s">
        <v>3064</v>
      </c>
      <c r="F16" s="448"/>
      <c r="G16" s="2607" t="s">
        <v>3100</v>
      </c>
      <c r="H16" s="450"/>
      <c r="I16" s="2606" t="s">
        <v>3064</v>
      </c>
      <c r="J16" s="448"/>
      <c r="K16" s="672"/>
      <c r="L16" s="1143"/>
      <c r="M16" s="1134"/>
      <c r="N16" s="1134"/>
      <c r="O16" s="1142"/>
      <c r="P16" s="3207"/>
      <c r="Q16" s="1813"/>
      <c r="R16" s="774"/>
      <c r="S16" s="775"/>
      <c r="T16" s="774"/>
      <c r="U16" s="775"/>
      <c r="V16" s="774"/>
      <c r="W16" s="775"/>
      <c r="X16" s="1816"/>
      <c r="Y16" s="3207"/>
      <c r="Z16" s="1817"/>
      <c r="AA16" s="1814">
        <v>1</v>
      </c>
      <c r="AB16" s="1814">
        <v>1</v>
      </c>
      <c r="AC16" s="1814">
        <v>1</v>
      </c>
    </row>
    <row r="17" spans="1:29" ht="71.25" hidden="1">
      <c r="A17" s="428"/>
      <c r="B17" s="451" t="s">
        <v>2654</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v>5</v>
      </c>
      <c r="L17" s="1143"/>
      <c r="M17" s="1134"/>
      <c r="N17" s="1134"/>
      <c r="O17" s="1142"/>
      <c r="P17" s="3207"/>
      <c r="Q17" s="1813" t="str">
        <f>B17</f>
        <v>商业繁华度</v>
      </c>
      <c r="R17" s="774" t="s">
        <v>17</v>
      </c>
      <c r="S17" s="775">
        <f>F17</f>
        <v>100</v>
      </c>
      <c r="T17" s="774" t="s">
        <v>17</v>
      </c>
      <c r="U17" s="775">
        <f>H17</f>
        <v>100</v>
      </c>
      <c r="V17" s="774" t="s">
        <v>17</v>
      </c>
      <c r="W17" s="775">
        <f>J17</f>
        <v>100</v>
      </c>
      <c r="X17" s="1816"/>
      <c r="Y17" s="3207"/>
      <c r="Z17" s="1817" t="str">
        <f>Q17</f>
        <v>商业繁华度</v>
      </c>
      <c r="AA17" s="1814">
        <f t="shared" si="3"/>
        <v>1</v>
      </c>
      <c r="AB17" s="1814">
        <f t="shared" si="4"/>
        <v>1</v>
      </c>
      <c r="AC17" s="1814">
        <f t="shared" si="5"/>
        <v>1</v>
      </c>
    </row>
    <row r="18" spans="1:29" ht="15" hidden="1">
      <c r="A18" s="428"/>
      <c r="B18" s="456"/>
      <c r="C18" s="2610" t="s">
        <v>3064</v>
      </c>
      <c r="D18" s="450"/>
      <c r="E18" s="2612" t="s">
        <v>3064</v>
      </c>
      <c r="F18" s="450"/>
      <c r="G18" s="2612" t="s">
        <v>3064</v>
      </c>
      <c r="H18" s="448"/>
      <c r="I18" s="2611" t="s">
        <v>3064</v>
      </c>
      <c r="J18" s="448"/>
      <c r="K18" s="672"/>
      <c r="L18" s="1143"/>
      <c r="M18" s="1134"/>
      <c r="N18" s="1134"/>
      <c r="O18" s="1142"/>
      <c r="P18" s="3207"/>
      <c r="Q18" s="1813"/>
      <c r="R18" s="774"/>
      <c r="S18" s="775"/>
      <c r="T18" s="774"/>
      <c r="U18" s="775"/>
      <c r="V18" s="774"/>
      <c r="W18" s="775"/>
      <c r="X18" s="1816"/>
      <c r="Y18" s="3207"/>
      <c r="Z18" s="1817"/>
      <c r="AA18" s="1814">
        <v>1</v>
      </c>
      <c r="AB18" s="1814">
        <v>1</v>
      </c>
      <c r="AC18" s="1814">
        <v>1</v>
      </c>
    </row>
    <row r="19" spans="1:29" ht="71.25" hidden="1">
      <c r="A19" s="428"/>
      <c r="B19" s="451" t="s">
        <v>2688</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v>5</v>
      </c>
      <c r="L19" s="1143"/>
      <c r="M19" s="1134"/>
      <c r="N19" s="1134"/>
      <c r="O19" s="1142"/>
      <c r="P19" s="3207"/>
      <c r="Q19" s="1813" t="str">
        <f>B19</f>
        <v>办公集聚程度</v>
      </c>
      <c r="R19" s="774" t="s">
        <v>17</v>
      </c>
      <c r="S19" s="775">
        <f>F19</f>
        <v>100</v>
      </c>
      <c r="T19" s="774" t="s">
        <v>17</v>
      </c>
      <c r="U19" s="775">
        <f>H19</f>
        <v>100</v>
      </c>
      <c r="V19" s="774" t="s">
        <v>17</v>
      </c>
      <c r="W19" s="775">
        <f>J19</f>
        <v>100</v>
      </c>
      <c r="X19" s="1816"/>
      <c r="Y19" s="3207"/>
      <c r="Z19" s="1817" t="str">
        <f>Q19</f>
        <v>办公集聚程度</v>
      </c>
      <c r="AA19" s="1814">
        <f t="shared" si="3"/>
        <v>1</v>
      </c>
      <c r="AB19" s="1814">
        <f t="shared" si="4"/>
        <v>1</v>
      </c>
      <c r="AC19" s="1814">
        <f t="shared" si="5"/>
        <v>1</v>
      </c>
    </row>
    <row r="20" spans="1:29" ht="15" hidden="1">
      <c r="A20" s="428"/>
      <c r="B20" s="456"/>
      <c r="C20" s="447" t="s">
        <v>3065</v>
      </c>
      <c r="D20" s="448"/>
      <c r="E20" s="2607" t="s">
        <v>3065</v>
      </c>
      <c r="F20" s="448"/>
      <c r="G20" s="2607" t="s">
        <v>3065</v>
      </c>
      <c r="H20" s="448"/>
      <c r="I20" s="2606" t="s">
        <v>3065</v>
      </c>
      <c r="J20" s="448"/>
      <c r="K20" s="672"/>
      <c r="L20" s="1143"/>
      <c r="M20" s="1134"/>
      <c r="N20" s="1134"/>
      <c r="O20" s="1142"/>
      <c r="P20" s="3207"/>
      <c r="Q20" s="1813"/>
      <c r="R20" s="774"/>
      <c r="S20" s="775"/>
      <c r="T20" s="774"/>
      <c r="U20" s="775"/>
      <c r="V20" s="774"/>
      <c r="W20" s="775"/>
      <c r="X20" s="1816"/>
      <c r="Y20" s="3207"/>
      <c r="Z20" s="1817"/>
      <c r="AA20" s="1814">
        <v>1</v>
      </c>
      <c r="AB20" s="1814">
        <v>1</v>
      </c>
      <c r="AC20" s="1814">
        <v>1</v>
      </c>
    </row>
    <row r="21" spans="1:29" ht="85.5">
      <c r="A21" s="428"/>
      <c r="B21" s="451" t="s">
        <v>2710</v>
      </c>
      <c r="C21" s="2609" t="str">
        <f>估价对象房地状况!C18</f>
        <v>估价对象周边道路状况、公共交通通达情况、停车便捷程度，综合评价交通便捷度较好</v>
      </c>
      <c r="D21" s="450">
        <v>100</v>
      </c>
      <c r="E21" s="452"/>
      <c r="F21" s="455">
        <f>SUMIF(94:94,E22,95:95)-SUMIF(94:94,C22,95:95)+100</f>
        <v>103</v>
      </c>
      <c r="G21" s="452"/>
      <c r="H21" s="450">
        <f>SUMIF(94:94,G22,95:95)-SUMIF(94:94,C22,95:95)+100</f>
        <v>100</v>
      </c>
      <c r="I21" s="454"/>
      <c r="J21" s="450">
        <f>SUMIF(94:94,I22,95:95)-SUMIF(94:94,C22,95:95)+100</f>
        <v>103</v>
      </c>
      <c r="K21" s="673">
        <v>3</v>
      </c>
      <c r="L21" s="1143"/>
      <c r="M21" s="1134"/>
      <c r="N21" s="1134"/>
      <c r="O21" s="1142"/>
      <c r="P21" s="3207"/>
      <c r="Q21" s="1813" t="str">
        <f>B21</f>
        <v>交通便捷度</v>
      </c>
      <c r="R21" s="774" t="s">
        <v>17</v>
      </c>
      <c r="S21" s="775">
        <f>F21</f>
        <v>103</v>
      </c>
      <c r="T21" s="774" t="s">
        <v>17</v>
      </c>
      <c r="U21" s="775">
        <f>H21</f>
        <v>100</v>
      </c>
      <c r="V21" s="774" t="s">
        <v>17</v>
      </c>
      <c r="W21" s="775">
        <f>J21</f>
        <v>103</v>
      </c>
      <c r="X21" s="1816"/>
      <c r="Y21" s="3207"/>
      <c r="Z21" s="1817" t="str">
        <f>Q21</f>
        <v>交通便捷度</v>
      </c>
      <c r="AA21" s="1814">
        <f t="shared" si="3"/>
        <v>0.970873786407767</v>
      </c>
      <c r="AB21" s="1814">
        <f t="shared" si="4"/>
        <v>1</v>
      </c>
      <c r="AC21" s="1814">
        <f t="shared" si="5"/>
        <v>0.970873786407767</v>
      </c>
    </row>
    <row r="22" spans="1:29" ht="15">
      <c r="A22" s="428"/>
      <c r="B22" s="1387"/>
      <c r="C22" s="447" t="s">
        <v>3064</v>
      </c>
      <c r="D22" s="450"/>
      <c r="E22" s="2607" t="s">
        <v>3065</v>
      </c>
      <c r="F22" s="448"/>
      <c r="G22" s="2607" t="s">
        <v>3064</v>
      </c>
      <c r="H22" s="448"/>
      <c r="I22" s="2606" t="s">
        <v>3065</v>
      </c>
      <c r="J22" s="448"/>
      <c r="K22" s="672"/>
      <c r="L22" s="1143"/>
      <c r="M22" s="1134"/>
      <c r="N22" s="1134"/>
      <c r="O22" s="1142"/>
      <c r="P22" s="3207"/>
      <c r="Q22" s="1813"/>
      <c r="R22" s="774"/>
      <c r="S22" s="775"/>
      <c r="T22" s="774"/>
      <c r="U22" s="775"/>
      <c r="V22" s="774"/>
      <c r="W22" s="775"/>
      <c r="X22" s="1816"/>
      <c r="Y22" s="3207"/>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207"/>
      <c r="Q23" s="1813" t="str">
        <f t="shared" ref="Q23:Q37" si="8">B23</f>
        <v>区域土地利用方向</v>
      </c>
      <c r="R23" s="774" t="s">
        <v>17</v>
      </c>
      <c r="S23" s="775">
        <f>F23</f>
        <v>100</v>
      </c>
      <c r="T23" s="774" t="s">
        <v>17</v>
      </c>
      <c r="U23" s="775">
        <f>H23</f>
        <v>100</v>
      </c>
      <c r="V23" s="774" t="s">
        <v>17</v>
      </c>
      <c r="W23" s="775">
        <f>J23</f>
        <v>100</v>
      </c>
      <c r="X23" s="1816"/>
      <c r="Y23" s="3207"/>
      <c r="Z23" s="1817" t="str">
        <f>Q23</f>
        <v>区域土地利用方向</v>
      </c>
      <c r="AA23" s="1814">
        <f t="shared" si="3"/>
        <v>1</v>
      </c>
      <c r="AB23" s="1814">
        <f t="shared" si="4"/>
        <v>1</v>
      </c>
      <c r="AC23" s="1814">
        <f t="shared" si="5"/>
        <v>1</v>
      </c>
    </row>
    <row r="24" spans="1:29" ht="15">
      <c r="A24" s="404"/>
      <c r="B24" s="456"/>
      <c r="C24" s="616" t="s">
        <v>3065</v>
      </c>
      <c r="D24" s="448"/>
      <c r="E24" s="2607" t="s">
        <v>3065</v>
      </c>
      <c r="F24" s="448"/>
      <c r="G24" s="2606" t="s">
        <v>3065</v>
      </c>
      <c r="H24" s="448"/>
      <c r="I24" s="2606" t="s">
        <v>3065</v>
      </c>
      <c r="J24" s="448"/>
      <c r="K24" s="812"/>
      <c r="L24" s="1143"/>
      <c r="M24" s="1134"/>
      <c r="N24" s="1134"/>
      <c r="O24" s="1142"/>
      <c r="P24" s="3207"/>
      <c r="Q24" s="1813"/>
      <c r="R24" s="774"/>
      <c r="S24" s="775"/>
      <c r="T24" s="774"/>
      <c r="U24" s="775"/>
      <c r="V24" s="774"/>
      <c r="W24" s="775"/>
      <c r="X24" s="1816"/>
      <c r="Y24" s="3207"/>
      <c r="Z24" s="1817"/>
      <c r="AA24" s="1814"/>
      <c r="AB24" s="1814"/>
      <c r="AC24" s="1814"/>
    </row>
    <row r="25" spans="1:29" ht="57">
      <c r="A25" s="404"/>
      <c r="B25" s="1387" t="s">
        <v>2750</v>
      </c>
      <c r="C25" s="2666" t="str">
        <f>估价对象房地状况!C20</f>
        <v>区域自然环境：；人文环境；综合评价环境状况一般</v>
      </c>
      <c r="D25" s="450">
        <v>100</v>
      </c>
      <c r="E25" s="452"/>
      <c r="F25" s="450">
        <f>SUMIF(98:98,E26,99:99)-SUMIF(98:98,C26,99:99)+100</f>
        <v>97</v>
      </c>
      <c r="G25" s="452"/>
      <c r="H25" s="450">
        <f>SUMIF(98:98,G26,99:99)-SUMIF(98:98,C26,99:99)+100</f>
        <v>100</v>
      </c>
      <c r="I25" s="454"/>
      <c r="J25" s="450">
        <f>SUMIF(98:98,I26,99:99)-SUMIF(98:98,C26,99:99)+100</f>
        <v>100</v>
      </c>
      <c r="K25" s="673">
        <v>3</v>
      </c>
      <c r="L25" s="1143"/>
      <c r="M25" s="1134"/>
      <c r="N25" s="1134"/>
      <c r="O25" s="1142"/>
      <c r="P25" s="3207"/>
      <c r="Q25" s="1813" t="str">
        <f t="shared" si="8"/>
        <v>自然及人文环境状况</v>
      </c>
      <c r="R25" s="774" t="s">
        <v>17</v>
      </c>
      <c r="S25" s="775">
        <f>F25</f>
        <v>97</v>
      </c>
      <c r="T25" s="774" t="s">
        <v>17</v>
      </c>
      <c r="U25" s="775">
        <f>H25</f>
        <v>100</v>
      </c>
      <c r="V25" s="774" t="s">
        <v>17</v>
      </c>
      <c r="W25" s="775">
        <f>J25</f>
        <v>100</v>
      </c>
      <c r="X25" s="1816"/>
      <c r="Y25" s="3207"/>
      <c r="Z25" s="1817" t="str">
        <f>Q25</f>
        <v>自然及人文环境状况</v>
      </c>
      <c r="AA25" s="1814">
        <f t="shared" si="3"/>
        <v>1.0309278350515463</v>
      </c>
      <c r="AB25" s="1814">
        <f t="shared" si="4"/>
        <v>1</v>
      </c>
      <c r="AC25" s="1814">
        <f t="shared" si="5"/>
        <v>1</v>
      </c>
    </row>
    <row r="26" spans="1:29" ht="15">
      <c r="A26" s="404"/>
      <c r="B26" s="456"/>
      <c r="C26" s="447" t="s">
        <v>3065</v>
      </c>
      <c r="D26" s="448"/>
      <c r="E26" s="2613" t="s">
        <v>3064</v>
      </c>
      <c r="F26" s="448"/>
      <c r="G26" s="2613" t="s">
        <v>3065</v>
      </c>
      <c r="H26" s="448"/>
      <c r="I26" s="447" t="s">
        <v>3065</v>
      </c>
      <c r="J26" s="448"/>
      <c r="K26" s="672"/>
      <c r="L26" s="1143"/>
      <c r="M26" s="1134"/>
      <c r="N26" s="1134"/>
      <c r="O26" s="1142"/>
      <c r="P26" s="3207"/>
      <c r="Q26" s="1813"/>
      <c r="R26" s="774"/>
      <c r="S26" s="775"/>
      <c r="T26" s="774"/>
      <c r="U26" s="775"/>
      <c r="V26" s="774"/>
      <c r="W26" s="775"/>
      <c r="X26" s="1816"/>
      <c r="Y26" s="3207"/>
      <c r="Z26" s="1817"/>
      <c r="AA26" s="1814">
        <v>1</v>
      </c>
      <c r="AB26" s="1814">
        <v>1</v>
      </c>
      <c r="AC26" s="1814">
        <v>1</v>
      </c>
    </row>
    <row r="27" spans="1:29" s="117" customFormat="1" ht="42.75">
      <c r="A27" s="649"/>
      <c r="B27" s="1387" t="s">
        <v>2655</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103</v>
      </c>
      <c r="K27" s="673">
        <v>3</v>
      </c>
      <c r="L27" s="1135"/>
      <c r="M27" s="1136"/>
      <c r="N27" s="1136"/>
      <c r="O27" s="1137"/>
      <c r="P27" s="3207"/>
      <c r="Q27" s="1798" t="str">
        <f t="shared" si="8"/>
        <v>公共配套设施</v>
      </c>
      <c r="R27" s="770" t="s">
        <v>17</v>
      </c>
      <c r="S27" s="771">
        <f>F27</f>
        <v>100</v>
      </c>
      <c r="T27" s="770" t="s">
        <v>17</v>
      </c>
      <c r="U27" s="771">
        <f>H27</f>
        <v>100</v>
      </c>
      <c r="V27" s="770" t="s">
        <v>17</v>
      </c>
      <c r="W27" s="771">
        <f>J27</f>
        <v>103</v>
      </c>
      <c r="X27" s="772"/>
      <c r="Y27" s="3207"/>
      <c r="Z27" s="55" t="str">
        <f>Q27</f>
        <v>公共配套设施</v>
      </c>
      <c r="AA27" s="1814">
        <f>D27/F27</f>
        <v>1</v>
      </c>
      <c r="AB27" s="1814">
        <f>D27/H27</f>
        <v>1</v>
      </c>
      <c r="AC27" s="1814">
        <f>D27/J27</f>
        <v>0.970873786407767</v>
      </c>
    </row>
    <row r="28" spans="1:29" s="117" customFormat="1" ht="15">
      <c r="A28" s="649"/>
      <c r="B28" s="456"/>
      <c r="C28" s="2702" t="s">
        <v>3064</v>
      </c>
      <c r="D28" s="448"/>
      <c r="E28" s="2613" t="s">
        <v>3064</v>
      </c>
      <c r="F28" s="448"/>
      <c r="G28" s="2613" t="s">
        <v>3064</v>
      </c>
      <c r="H28" s="448"/>
      <c r="I28" s="447" t="s">
        <v>3065</v>
      </c>
      <c r="J28" s="448"/>
      <c r="K28" s="672"/>
      <c r="L28" s="1135"/>
      <c r="M28" s="1136"/>
      <c r="N28" s="1136"/>
      <c r="O28" s="1137"/>
      <c r="P28" s="3207"/>
      <c r="Q28" s="1798"/>
      <c r="R28" s="770"/>
      <c r="S28" s="771"/>
      <c r="T28" s="770"/>
      <c r="U28" s="771"/>
      <c r="V28" s="770"/>
      <c r="W28" s="771"/>
      <c r="X28" s="772"/>
      <c r="Y28" s="3207"/>
      <c r="Z28" s="55"/>
      <c r="AA28" s="1814">
        <v>1</v>
      </c>
      <c r="AB28" s="1814">
        <v>1</v>
      </c>
      <c r="AC28" s="1814">
        <v>1</v>
      </c>
    </row>
    <row r="29" spans="1:29" s="117" customFormat="1" ht="28.5">
      <c r="A29" s="649"/>
      <c r="B29" s="1387" t="s">
        <v>2656</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2</v>
      </c>
      <c r="L29" s="1135"/>
      <c r="M29" s="1136"/>
      <c r="N29" s="1136"/>
      <c r="O29" s="1137"/>
      <c r="P29" s="3207"/>
      <c r="Q29" s="1798" t="str">
        <f t="shared" ref="Q29" si="9">B29</f>
        <v>基础设施水平</v>
      </c>
      <c r="R29" s="770" t="s">
        <v>17</v>
      </c>
      <c r="S29" s="771">
        <f>F29</f>
        <v>100</v>
      </c>
      <c r="T29" s="770" t="s">
        <v>17</v>
      </c>
      <c r="U29" s="771">
        <f>H29</f>
        <v>100</v>
      </c>
      <c r="V29" s="770" t="s">
        <v>17</v>
      </c>
      <c r="W29" s="771">
        <f>J29</f>
        <v>100</v>
      </c>
      <c r="X29" s="772"/>
      <c r="Y29" s="3207"/>
      <c r="Z29" s="55" t="str">
        <f>Q29</f>
        <v>基础设施水平</v>
      </c>
      <c r="AA29" s="1814">
        <f>D29/F29</f>
        <v>1</v>
      </c>
      <c r="AB29" s="1814">
        <f>D29/H29</f>
        <v>1</v>
      </c>
      <c r="AC29" s="1814">
        <f>D29/J29</f>
        <v>1</v>
      </c>
    </row>
    <row r="30" spans="1:29" s="117" customFormat="1" ht="15">
      <c r="A30" s="649"/>
      <c r="B30" s="456"/>
      <c r="C30" s="2702" t="s">
        <v>3066</v>
      </c>
      <c r="D30" s="448"/>
      <c r="E30" s="2703" t="s">
        <v>3066</v>
      </c>
      <c r="F30" s="448"/>
      <c r="G30" s="2703" t="s">
        <v>3066</v>
      </c>
      <c r="H30" s="448"/>
      <c r="I30" s="2703" t="s">
        <v>3066</v>
      </c>
      <c r="J30" s="448"/>
      <c r="K30" s="672"/>
      <c r="L30" s="1135"/>
      <c r="M30" s="1136"/>
      <c r="N30" s="1136"/>
      <c r="O30" s="1137"/>
      <c r="P30" s="3207"/>
      <c r="Q30" s="1798"/>
      <c r="R30" s="770"/>
      <c r="S30" s="771"/>
      <c r="T30" s="770"/>
      <c r="U30" s="771"/>
      <c r="V30" s="770"/>
      <c r="W30" s="771"/>
      <c r="X30" s="772"/>
      <c r="Y30" s="3207"/>
      <c r="Z30" s="55"/>
      <c r="AA30" s="1814">
        <v>1</v>
      </c>
      <c r="AB30" s="1814">
        <v>1</v>
      </c>
      <c r="AC30" s="1814">
        <v>1</v>
      </c>
    </row>
    <row r="31" spans="1:29" ht="15">
      <c r="A31" s="428"/>
      <c r="B31" s="456" t="s">
        <v>2657</v>
      </c>
      <c r="C31" s="616" t="s">
        <v>3067</v>
      </c>
      <c r="D31" s="435">
        <v>100</v>
      </c>
      <c r="E31" s="634" t="s">
        <v>3101</v>
      </c>
      <c r="F31" s="435">
        <f>SUMIF(104:104,E31,105:105)-SUMIF(104:104,C31,105:105)+100</f>
        <v>98</v>
      </c>
      <c r="G31" s="634" t="s">
        <v>3067</v>
      </c>
      <c r="H31" s="435">
        <f>SUMIF(104:104,G31,105:105)-SUMIF(104:104,C31,105:105)+100</f>
        <v>100</v>
      </c>
      <c r="I31" s="634" t="s">
        <v>3067</v>
      </c>
      <c r="J31" s="435">
        <f>SUMIF(104:104,I31,105:105)-SUMIF(104:104,C31,105:105)+100</f>
        <v>100</v>
      </c>
      <c r="K31" s="673">
        <v>2</v>
      </c>
      <c r="L31" s="1143"/>
      <c r="M31" s="1134"/>
      <c r="N31" s="1134"/>
      <c r="O31" s="1142"/>
      <c r="P31" s="3207"/>
      <c r="Q31" s="1813" t="str">
        <f t="shared" si="8"/>
        <v>临街状况</v>
      </c>
      <c r="R31" s="774" t="s">
        <v>17</v>
      </c>
      <c r="S31" s="775">
        <f t="shared" ref="S31:S45" si="10">F31</f>
        <v>98</v>
      </c>
      <c r="T31" s="774" t="s">
        <v>17</v>
      </c>
      <c r="U31" s="775">
        <f t="shared" ref="U31:U45" si="11">H31</f>
        <v>100</v>
      </c>
      <c r="V31" s="774" t="s">
        <v>17</v>
      </c>
      <c r="W31" s="775">
        <f t="shared" ref="W31:W45" si="12">J31</f>
        <v>100</v>
      </c>
      <c r="X31" s="1816"/>
      <c r="Y31" s="3207"/>
      <c r="Z31" s="1817" t="str">
        <f t="shared" ref="Z31:Z45" si="13">Q31</f>
        <v>临街状况</v>
      </c>
      <c r="AA31" s="1814">
        <f t="shared" si="3"/>
        <v>1.0204081632653061</v>
      </c>
      <c r="AB31" s="1814">
        <f t="shared" si="4"/>
        <v>1</v>
      </c>
      <c r="AC31" s="1814">
        <f t="shared" si="5"/>
        <v>1</v>
      </c>
    </row>
    <row r="32" spans="1:29" ht="27">
      <c r="A32" s="428"/>
      <c r="B32" s="1387" t="s">
        <v>2692</v>
      </c>
      <c r="C32" s="454"/>
      <c r="D32" s="450">
        <v>100</v>
      </c>
      <c r="E32" s="452"/>
      <c r="F32" s="450">
        <f>SUMIF(106:106,E33,107:107)-SUMIF(106:106,C33,107:107)+100</f>
        <v>100</v>
      </c>
      <c r="G32" s="452"/>
      <c r="H32" s="450">
        <f>SUMIF(106:106,G33,107:107)-SUMIF(106:106,C33,107:107)+100</f>
        <v>100</v>
      </c>
      <c r="I32" s="454"/>
      <c r="J32" s="450">
        <f>SUMIF(106:106,I33,107:107)-SUMIF(106:106,C33,107:107)+100</f>
        <v>102</v>
      </c>
      <c r="K32" s="673">
        <v>2</v>
      </c>
      <c r="L32" s="1143"/>
      <c r="M32" s="1134"/>
      <c r="N32" s="1134"/>
      <c r="O32" s="1142"/>
      <c r="P32" s="3207"/>
      <c r="Q32" s="1813" t="str">
        <f t="shared" si="8"/>
        <v>毗邻道路的类型与等级</v>
      </c>
      <c r="R32" s="774" t="s">
        <v>17</v>
      </c>
      <c r="S32" s="775">
        <f t="shared" si="10"/>
        <v>100</v>
      </c>
      <c r="T32" s="774" t="s">
        <v>17</v>
      </c>
      <c r="U32" s="775">
        <f t="shared" si="11"/>
        <v>100</v>
      </c>
      <c r="V32" s="774" t="s">
        <v>17</v>
      </c>
      <c r="W32" s="775">
        <f t="shared" si="12"/>
        <v>102</v>
      </c>
      <c r="X32" s="1816"/>
      <c r="Y32" s="3207"/>
      <c r="Z32" s="1817" t="str">
        <f t="shared" si="13"/>
        <v>毗邻道路的类型与等级</v>
      </c>
      <c r="AA32" s="1814">
        <f t="shared" si="3"/>
        <v>1</v>
      </c>
      <c r="AB32" s="1814">
        <f t="shared" si="4"/>
        <v>1</v>
      </c>
      <c r="AC32" s="1814">
        <f t="shared" si="5"/>
        <v>0.98039215686274506</v>
      </c>
    </row>
    <row r="33" spans="1:29" ht="15.75" thickBot="1">
      <c r="A33" s="428"/>
      <c r="B33" s="456"/>
      <c r="C33" s="447" t="s">
        <v>3071</v>
      </c>
      <c r="D33" s="448"/>
      <c r="E33" s="2613" t="s">
        <v>3071</v>
      </c>
      <c r="F33" s="448"/>
      <c r="G33" s="2613" t="s">
        <v>3071</v>
      </c>
      <c r="H33" s="448"/>
      <c r="I33" s="447" t="s">
        <v>3070</v>
      </c>
      <c r="J33" s="448"/>
      <c r="K33" s="613"/>
      <c r="L33" s="1143"/>
      <c r="M33" s="1134"/>
      <c r="N33" s="1134"/>
      <c r="O33" s="1142"/>
      <c r="P33" s="3207"/>
      <c r="Q33" s="1813"/>
      <c r="R33" s="774"/>
      <c r="S33" s="775"/>
      <c r="T33" s="774"/>
      <c r="U33" s="775"/>
      <c r="V33" s="774"/>
      <c r="W33" s="775"/>
      <c r="X33" s="1816"/>
      <c r="Y33" s="3207"/>
      <c r="Z33" s="1817"/>
      <c r="AA33" s="1814">
        <v>1</v>
      </c>
      <c r="AB33" s="1814">
        <v>1</v>
      </c>
      <c r="AC33" s="1814">
        <v>1</v>
      </c>
    </row>
    <row r="34" spans="1:29" ht="15" hidden="1">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07"/>
      <c r="Q34" s="1813" t="str">
        <f t="shared" si="8"/>
        <v>土地级别</v>
      </c>
      <c r="R34" s="774" t="s">
        <v>17</v>
      </c>
      <c r="S34" s="775">
        <f t="shared" si="10"/>
        <v>100</v>
      </c>
      <c r="T34" s="774" t="s">
        <v>17</v>
      </c>
      <c r="U34" s="775">
        <f t="shared" si="11"/>
        <v>100</v>
      </c>
      <c r="V34" s="774" t="s">
        <v>17</v>
      </c>
      <c r="W34" s="775">
        <f t="shared" si="12"/>
        <v>100</v>
      </c>
      <c r="X34" s="1816"/>
      <c r="Y34" s="3207"/>
      <c r="Z34" s="1817" t="str">
        <f t="shared" si="13"/>
        <v>土地级别</v>
      </c>
      <c r="AA34" s="1814">
        <f t="shared" si="3"/>
        <v>1</v>
      </c>
      <c r="AB34" s="1814">
        <f t="shared" si="4"/>
        <v>1</v>
      </c>
      <c r="AC34" s="1814">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07"/>
      <c r="Q35" s="1813">
        <f t="shared" si="8"/>
        <v>111</v>
      </c>
      <c r="R35" s="774" t="s">
        <v>17</v>
      </c>
      <c r="S35" s="775">
        <f t="shared" si="10"/>
        <v>100</v>
      </c>
      <c r="T35" s="774" t="s">
        <v>17</v>
      </c>
      <c r="U35" s="775">
        <f t="shared" si="11"/>
        <v>100</v>
      </c>
      <c r="V35" s="774" t="s">
        <v>17</v>
      </c>
      <c r="W35" s="775">
        <f t="shared" si="12"/>
        <v>100</v>
      </c>
      <c r="X35" s="1816"/>
      <c r="Y35" s="3207"/>
      <c r="Z35" s="1817">
        <f t="shared" si="13"/>
        <v>111</v>
      </c>
      <c r="AA35" s="1814">
        <f t="shared" si="3"/>
        <v>1</v>
      </c>
      <c r="AB35" s="1814">
        <f t="shared" si="4"/>
        <v>1</v>
      </c>
      <c r="AC35" s="1814">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08" t="s">
        <v>2566</v>
      </c>
      <c r="Q36" s="1813">
        <f t="shared" si="8"/>
        <v>111</v>
      </c>
      <c r="R36" s="774" t="s">
        <v>17</v>
      </c>
      <c r="S36" s="775">
        <f t="shared" si="10"/>
        <v>100</v>
      </c>
      <c r="T36" s="774" t="s">
        <v>17</v>
      </c>
      <c r="U36" s="775">
        <f t="shared" si="11"/>
        <v>100</v>
      </c>
      <c r="V36" s="774" t="s">
        <v>17</v>
      </c>
      <c r="W36" s="775">
        <f t="shared" si="12"/>
        <v>100</v>
      </c>
      <c r="X36" s="1816"/>
      <c r="Y36" s="3209" t="s">
        <v>2566</v>
      </c>
      <c r="Z36" s="1817">
        <f t="shared" si="13"/>
        <v>111</v>
      </c>
      <c r="AA36" s="1814">
        <f t="shared" si="3"/>
        <v>1</v>
      </c>
      <c r="AB36" s="1814">
        <f t="shared" si="4"/>
        <v>1</v>
      </c>
      <c r="AC36" s="1814">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09"/>
      <c r="Q37" s="1813">
        <f t="shared" si="8"/>
        <v>111</v>
      </c>
      <c r="R37" s="777" t="s">
        <v>17</v>
      </c>
      <c r="S37" s="778">
        <f t="shared" si="10"/>
        <v>100</v>
      </c>
      <c r="T37" s="777" t="s">
        <v>17</v>
      </c>
      <c r="U37" s="778">
        <f t="shared" si="11"/>
        <v>100</v>
      </c>
      <c r="V37" s="777" t="s">
        <v>17</v>
      </c>
      <c r="W37" s="778">
        <f t="shared" si="12"/>
        <v>100</v>
      </c>
      <c r="X37" s="779"/>
      <c r="Y37" s="3209"/>
      <c r="Z37" s="780">
        <f t="shared" si="13"/>
        <v>111</v>
      </c>
      <c r="AA37" s="1814">
        <f t="shared" si="3"/>
        <v>1</v>
      </c>
      <c r="AB37" s="1814">
        <f t="shared" si="4"/>
        <v>1</v>
      </c>
      <c r="AC37" s="1814">
        <f t="shared" si="5"/>
        <v>1</v>
      </c>
    </row>
    <row r="38" spans="1:29" ht="15">
      <c r="A38" s="472" t="s">
        <v>2564</v>
      </c>
      <c r="B38" s="456" t="s">
        <v>2752</v>
      </c>
      <c r="C38" s="679">
        <v>114854</v>
      </c>
      <c r="D38" s="467">
        <v>100</v>
      </c>
      <c r="E38" s="679">
        <v>89155.3</v>
      </c>
      <c r="F38" s="467">
        <f>LOOKUP(E38,117:117,118:118)-LOOKUP(C38,117:117,118:118)+100</f>
        <v>99</v>
      </c>
      <c r="G38" s="679">
        <v>89802</v>
      </c>
      <c r="H38" s="467">
        <f>LOOKUP(G38,117:117,118:118)-LOOKUP(C38,117:117,118:118)+100</f>
        <v>99</v>
      </c>
      <c r="I38" s="530">
        <v>172497.7</v>
      </c>
      <c r="J38" s="467">
        <f>LOOKUP(I38,117:117,118:118)-LOOKUP(C38,117:117,118:118)+100</f>
        <v>101</v>
      </c>
      <c r="K38" s="613"/>
      <c r="L38" s="1143"/>
      <c r="M38" s="1134"/>
      <c r="N38" s="1134"/>
      <c r="O38" s="1142"/>
      <c r="P38" s="3209"/>
      <c r="Q38" s="1813" t="str">
        <f>B38</f>
        <v>宗地面积</v>
      </c>
      <c r="R38" s="774" t="s">
        <v>17</v>
      </c>
      <c r="S38" s="775">
        <f t="shared" si="10"/>
        <v>99</v>
      </c>
      <c r="T38" s="774" t="s">
        <v>17</v>
      </c>
      <c r="U38" s="775">
        <f t="shared" si="11"/>
        <v>99</v>
      </c>
      <c r="V38" s="774" t="s">
        <v>17</v>
      </c>
      <c r="W38" s="775">
        <f t="shared" si="12"/>
        <v>101</v>
      </c>
      <c r="X38" s="1816"/>
      <c r="Y38" s="3209"/>
      <c r="Z38" s="1817" t="str">
        <f t="shared" si="13"/>
        <v>宗地面积</v>
      </c>
      <c r="AA38" s="1814">
        <f t="shared" si="3"/>
        <v>1.0101010101010102</v>
      </c>
      <c r="AB38" s="1814">
        <f t="shared" si="4"/>
        <v>1.0101010101010102</v>
      </c>
      <c r="AC38" s="1814">
        <f t="shared" si="5"/>
        <v>0.99009900990099009</v>
      </c>
    </row>
    <row r="39" spans="1:29" ht="15">
      <c r="A39" s="472"/>
      <c r="B39" s="422" t="s">
        <v>2753</v>
      </c>
      <c r="C39" s="2615" t="s">
        <v>3072</v>
      </c>
      <c r="D39" s="435">
        <v>100</v>
      </c>
      <c r="E39" s="2615" t="s">
        <v>3072</v>
      </c>
      <c r="F39" s="435">
        <f>SUMIF(119:119,E39,120:120)-SUMIF(119:119,C39,120:120)+100</f>
        <v>100</v>
      </c>
      <c r="G39" s="2615" t="s">
        <v>3072</v>
      </c>
      <c r="H39" s="435">
        <f>SUMIF(119:119,G39,120:120)-SUMIF(119:119,C39,120:120)+100</f>
        <v>100</v>
      </c>
      <c r="I39" s="2615" t="s">
        <v>3072</v>
      </c>
      <c r="J39" s="435">
        <f>SUMIF(119:119,I39,120:120)-SUMIF(119:119,C39,120:120)+100</f>
        <v>100</v>
      </c>
      <c r="K39" s="612"/>
      <c r="L39" s="1143"/>
      <c r="M39" s="1134"/>
      <c r="N39" s="1134"/>
      <c r="O39" s="1142"/>
      <c r="P39" s="3209"/>
      <c r="Q39" s="1813" t="str">
        <f t="shared" ref="Q39:Q45" si="14">B39</f>
        <v>宗地形状</v>
      </c>
      <c r="R39" s="774" t="s">
        <v>17</v>
      </c>
      <c r="S39" s="775">
        <f t="shared" si="10"/>
        <v>100</v>
      </c>
      <c r="T39" s="774" t="s">
        <v>17</v>
      </c>
      <c r="U39" s="775">
        <f t="shared" si="11"/>
        <v>100</v>
      </c>
      <c r="V39" s="774" t="s">
        <v>17</v>
      </c>
      <c r="W39" s="775">
        <f t="shared" si="12"/>
        <v>100</v>
      </c>
      <c r="X39" s="1816"/>
      <c r="Y39" s="3209"/>
      <c r="Z39" s="1817" t="str">
        <f t="shared" si="13"/>
        <v>宗地形状</v>
      </c>
      <c r="AA39" s="1814">
        <f t="shared" si="3"/>
        <v>1</v>
      </c>
      <c r="AB39" s="1814">
        <f t="shared" si="4"/>
        <v>1</v>
      </c>
      <c r="AC39" s="1814">
        <f t="shared" si="5"/>
        <v>1</v>
      </c>
    </row>
    <row r="40" spans="1:29" ht="15">
      <c r="A40" s="472"/>
      <c r="B40" s="422" t="s">
        <v>2754</v>
      </c>
      <c r="C40" s="2615" t="s">
        <v>3073</v>
      </c>
      <c r="D40" s="435">
        <v>100</v>
      </c>
      <c r="E40" s="2615" t="s">
        <v>3073</v>
      </c>
      <c r="F40" s="435">
        <f>SUMIF(121:121,E40,122:122)-SUMIF(121:121,C40,122:122)+100</f>
        <v>100</v>
      </c>
      <c r="G40" s="2615" t="s">
        <v>3073</v>
      </c>
      <c r="H40" s="435">
        <f>SUMIF(121:121,G40,122:122)-SUMIF(121:121,C40,122:122)+100</f>
        <v>100</v>
      </c>
      <c r="I40" s="2615" t="s">
        <v>3073</v>
      </c>
      <c r="J40" s="435">
        <f>SUMIF(121:121,I40,122:122)-SUMIF(121:121,C40,122:122)+100</f>
        <v>100</v>
      </c>
      <c r="K40" s="612"/>
      <c r="L40" s="1143"/>
      <c r="M40" s="1134"/>
      <c r="N40" s="1134"/>
      <c r="O40" s="1142"/>
      <c r="P40" s="3209"/>
      <c r="Q40" s="1813" t="str">
        <f t="shared" si="14"/>
        <v>临街宽度及深度</v>
      </c>
      <c r="R40" s="774" t="s">
        <v>17</v>
      </c>
      <c r="S40" s="775">
        <f t="shared" si="10"/>
        <v>100</v>
      </c>
      <c r="T40" s="774" t="s">
        <v>17</v>
      </c>
      <c r="U40" s="775">
        <f t="shared" si="11"/>
        <v>100</v>
      </c>
      <c r="V40" s="774" t="s">
        <v>17</v>
      </c>
      <c r="W40" s="775">
        <f t="shared" si="12"/>
        <v>100</v>
      </c>
      <c r="X40" s="1816"/>
      <c r="Y40" s="3209"/>
      <c r="Z40" s="1817" t="str">
        <f t="shared" si="13"/>
        <v>临街宽度及深度</v>
      </c>
      <c r="AA40" s="1814">
        <f t="shared" si="3"/>
        <v>1</v>
      </c>
      <c r="AB40" s="1814">
        <f t="shared" si="4"/>
        <v>1</v>
      </c>
      <c r="AC40" s="1814">
        <f t="shared" si="5"/>
        <v>1</v>
      </c>
    </row>
    <row r="41" spans="1:29" s="117" customFormat="1" ht="15">
      <c r="A41" s="473"/>
      <c r="B41" s="422" t="s">
        <v>2755</v>
      </c>
      <c r="C41" s="2704" t="s">
        <v>3075</v>
      </c>
      <c r="D41" s="136">
        <v>100</v>
      </c>
      <c r="E41" s="2704" t="s">
        <v>3075</v>
      </c>
      <c r="F41" s="435">
        <f>SUMIF(123:123,E41,124:124)-SUMIF(123:123,C41,124:124)+100</f>
        <v>100</v>
      </c>
      <c r="G41" s="2704" t="s">
        <v>3075</v>
      </c>
      <c r="H41" s="435">
        <f>SUMIF(123:123,G41,124:124)-SUMIF(123:123,C41,124:124)+100</f>
        <v>100</v>
      </c>
      <c r="I41" s="2704" t="s">
        <v>3075</v>
      </c>
      <c r="J41" s="435">
        <f>SUMIF(123:123,I41,124:124)-SUMIF(123:123,C41,124:124)+100</f>
        <v>100</v>
      </c>
      <c r="K41" s="612">
        <v>2</v>
      </c>
      <c r="L41" s="1135"/>
      <c r="M41" s="1136"/>
      <c r="N41" s="1136"/>
      <c r="O41" s="1137"/>
      <c r="P41" s="3209"/>
      <c r="Q41" s="1813" t="str">
        <f t="shared" si="14"/>
        <v>宗地开发程度</v>
      </c>
      <c r="R41" s="770" t="s">
        <v>17</v>
      </c>
      <c r="S41" s="771">
        <f t="shared" si="10"/>
        <v>100</v>
      </c>
      <c r="T41" s="770" t="s">
        <v>17</v>
      </c>
      <c r="U41" s="771">
        <f t="shared" si="11"/>
        <v>100</v>
      </c>
      <c r="V41" s="770" t="s">
        <v>17</v>
      </c>
      <c r="W41" s="771">
        <f t="shared" si="12"/>
        <v>100</v>
      </c>
      <c r="X41" s="772"/>
      <c r="Y41" s="3209"/>
      <c r="Z41" s="55" t="str">
        <f t="shared" si="13"/>
        <v>宗地开发程度</v>
      </c>
      <c r="AA41" s="773">
        <f t="shared" si="3"/>
        <v>1</v>
      </c>
      <c r="AB41" s="773">
        <f t="shared" si="4"/>
        <v>1</v>
      </c>
      <c r="AC41" s="773">
        <f t="shared" si="5"/>
        <v>1</v>
      </c>
    </row>
    <row r="42" spans="1:29" ht="15.75" thickBot="1">
      <c r="A42" s="472"/>
      <c r="B42" s="422" t="s">
        <v>2756</v>
      </c>
      <c r="C42" s="2615" t="s">
        <v>3065</v>
      </c>
      <c r="D42" s="435">
        <v>100</v>
      </c>
      <c r="E42" s="2615" t="s">
        <v>3065</v>
      </c>
      <c r="F42" s="435">
        <f>SUMIF(125:125,E42,126:126)-SUMIF(125:125,C42,126:126)+100</f>
        <v>100</v>
      </c>
      <c r="G42" s="2615" t="s">
        <v>3065</v>
      </c>
      <c r="H42" s="435">
        <f>SUMIF(125:125,G42,126:126)-SUMIF(125:125,C42,126:126)+100</f>
        <v>100</v>
      </c>
      <c r="I42" s="2615" t="s">
        <v>3065</v>
      </c>
      <c r="J42" s="435">
        <f>SUMIF(125:125,I42,126:126)-SUMIF(125:125,C42,126:126)+100</f>
        <v>100</v>
      </c>
      <c r="K42" s="612"/>
      <c r="L42" s="1143"/>
      <c r="M42" s="1134"/>
      <c r="N42" s="1134"/>
      <c r="O42" s="1142"/>
      <c r="P42" s="3209" t="s">
        <v>2566</v>
      </c>
      <c r="Q42" s="1813" t="str">
        <f t="shared" si="14"/>
        <v>工程地质条件</v>
      </c>
      <c r="R42" s="774" t="s">
        <v>17</v>
      </c>
      <c r="S42" s="775">
        <f t="shared" si="10"/>
        <v>100</v>
      </c>
      <c r="T42" s="774" t="s">
        <v>17</v>
      </c>
      <c r="U42" s="775">
        <f t="shared" si="11"/>
        <v>100</v>
      </c>
      <c r="V42" s="774" t="s">
        <v>17</v>
      </c>
      <c r="W42" s="775">
        <f t="shared" si="12"/>
        <v>100</v>
      </c>
      <c r="X42" s="1816"/>
      <c r="Y42" s="3209" t="s">
        <v>2566</v>
      </c>
      <c r="Z42" s="1817" t="str">
        <f t="shared" si="13"/>
        <v>工程地质条件</v>
      </c>
      <c r="AA42" s="1814">
        <f t="shared" si="3"/>
        <v>1</v>
      </c>
      <c r="AB42" s="1814">
        <f t="shared" si="4"/>
        <v>1</v>
      </c>
      <c r="AC42" s="1814">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09"/>
      <c r="Q43" s="1813">
        <f t="shared" si="14"/>
        <v>111</v>
      </c>
      <c r="R43" s="774" t="s">
        <v>17</v>
      </c>
      <c r="S43" s="775">
        <f t="shared" si="10"/>
        <v>100</v>
      </c>
      <c r="T43" s="774" t="s">
        <v>17</v>
      </c>
      <c r="U43" s="775">
        <f t="shared" si="11"/>
        <v>100</v>
      </c>
      <c r="V43" s="774" t="s">
        <v>17</v>
      </c>
      <c r="W43" s="775">
        <f t="shared" si="12"/>
        <v>100</v>
      </c>
      <c r="X43" s="1816"/>
      <c r="Y43" s="3209"/>
      <c r="Z43" s="1817">
        <f t="shared" si="13"/>
        <v>111</v>
      </c>
      <c r="AA43" s="1814">
        <f t="shared" si="3"/>
        <v>1</v>
      </c>
      <c r="AB43" s="1814">
        <f t="shared" si="4"/>
        <v>1</v>
      </c>
      <c r="AC43" s="1814">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09"/>
      <c r="Q44" s="1813">
        <f t="shared" si="14"/>
        <v>111</v>
      </c>
      <c r="R44" s="774" t="s">
        <v>17</v>
      </c>
      <c r="S44" s="775">
        <f t="shared" si="10"/>
        <v>100</v>
      </c>
      <c r="T44" s="774" t="s">
        <v>17</v>
      </c>
      <c r="U44" s="775">
        <f t="shared" si="11"/>
        <v>100</v>
      </c>
      <c r="V44" s="774" t="s">
        <v>17</v>
      </c>
      <c r="W44" s="775">
        <f t="shared" si="12"/>
        <v>100</v>
      </c>
      <c r="X44" s="1816"/>
      <c r="Y44" s="3209"/>
      <c r="Z44" s="1817">
        <f t="shared" si="13"/>
        <v>111</v>
      </c>
      <c r="AA44" s="1814">
        <f t="shared" si="3"/>
        <v>1</v>
      </c>
      <c r="AB44" s="1814">
        <f t="shared" si="4"/>
        <v>1</v>
      </c>
      <c r="AC44" s="1814">
        <f t="shared" si="5"/>
        <v>1</v>
      </c>
    </row>
    <row r="45" spans="1:29" s="471" customFormat="1" ht="15.75" hidden="1"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09"/>
      <c r="Q45" s="1813">
        <f t="shared" si="14"/>
        <v>111</v>
      </c>
      <c r="R45" s="777" t="s">
        <v>17</v>
      </c>
      <c r="S45" s="778">
        <f t="shared" si="10"/>
        <v>100</v>
      </c>
      <c r="T45" s="777" t="s">
        <v>17</v>
      </c>
      <c r="U45" s="778">
        <f t="shared" si="11"/>
        <v>100</v>
      </c>
      <c r="V45" s="777" t="s">
        <v>17</v>
      </c>
      <c r="W45" s="778">
        <f t="shared" si="12"/>
        <v>100</v>
      </c>
      <c r="X45" s="779"/>
      <c r="Y45" s="3209"/>
      <c r="Z45" s="780">
        <f t="shared" si="13"/>
        <v>111</v>
      </c>
      <c r="AA45" s="1814">
        <f t="shared" si="3"/>
        <v>1</v>
      </c>
      <c r="AB45" s="1814">
        <f t="shared" si="4"/>
        <v>1</v>
      </c>
      <c r="AC45" s="1814">
        <f t="shared" si="5"/>
        <v>1</v>
      </c>
    </row>
    <row r="46" spans="1:29" ht="15">
      <c r="A46" s="479" t="s">
        <v>2721</v>
      </c>
      <c r="B46" s="2706" t="s">
        <v>2757</v>
      </c>
      <c r="C46" s="682" t="s">
        <v>1</v>
      </c>
      <c r="D46" s="481"/>
      <c r="E46" s="482">
        <v>16942</v>
      </c>
      <c r="F46" s="483"/>
      <c r="G46" s="484">
        <v>15957</v>
      </c>
      <c r="H46" s="485"/>
      <c r="I46" s="482">
        <v>15789.59</v>
      </c>
      <c r="J46" s="485"/>
      <c r="K46" s="783"/>
      <c r="L46" s="1146"/>
      <c r="M46" s="1147"/>
      <c r="N46" s="1134"/>
      <c r="O46" s="1147"/>
      <c r="P46" s="3191" t="str">
        <f>A46</f>
        <v>成交单价</v>
      </c>
      <c r="Q46" s="3191"/>
      <c r="R46" s="3204">
        <f>E46</f>
        <v>16942</v>
      </c>
      <c r="S46" s="3204"/>
      <c r="T46" s="3204">
        <f>G46</f>
        <v>15957</v>
      </c>
      <c r="U46" s="3204"/>
      <c r="V46" s="3204">
        <f>I46</f>
        <v>15789.59</v>
      </c>
      <c r="W46" s="3204"/>
      <c r="X46" s="759"/>
      <c r="Y46" s="781"/>
      <c r="Z46" s="759"/>
      <c r="AA46" s="759"/>
      <c r="AB46" s="759"/>
      <c r="AC46" s="759"/>
    </row>
    <row r="47" spans="1:29" ht="15.75" thickBot="1">
      <c r="A47" s="486" t="s">
        <v>2670</v>
      </c>
      <c r="B47" s="683"/>
      <c r="C47" s="490">
        <f>R48</f>
        <v>16241</v>
      </c>
      <c r="D47" s="489"/>
      <c r="E47" s="490">
        <f>R47</f>
        <v>17404</v>
      </c>
      <c r="F47" s="491"/>
      <c r="G47" s="488">
        <f>T47</f>
        <v>16790</v>
      </c>
      <c r="H47" s="489"/>
      <c r="I47" s="490">
        <f>V47</f>
        <v>14530</v>
      </c>
      <c r="J47" s="489"/>
      <c r="K47" s="784"/>
      <c r="L47" s="1146"/>
      <c r="M47" s="1147"/>
      <c r="N47" s="1147"/>
      <c r="O47" s="1147"/>
      <c r="P47" s="3191" t="str">
        <f>A47</f>
        <v>比较价值（元/平方米）</v>
      </c>
      <c r="Q47" s="3191"/>
      <c r="R47" s="3210">
        <f>ROUND(PRODUCT(R46,AA7:AA45),0)</f>
        <v>17404</v>
      </c>
      <c r="S47" s="3210"/>
      <c r="T47" s="3210">
        <f>ROUND(PRODUCT(T46,AB7:AB45),0)</f>
        <v>16790</v>
      </c>
      <c r="U47" s="3210"/>
      <c r="V47" s="3210">
        <f>ROUND(PRODUCT(V46,AC7:AC45),0)</f>
        <v>14530</v>
      </c>
      <c r="W47" s="3210"/>
      <c r="X47" s="759"/>
      <c r="Y47" s="759"/>
      <c r="Z47" s="759"/>
      <c r="AA47" s="759"/>
      <c r="AB47" s="759"/>
      <c r="AC47" s="759"/>
    </row>
    <row r="48" spans="1:29" ht="15.75" thickBot="1">
      <c r="A48" s="492" t="s">
        <v>2758</v>
      </c>
      <c r="B48" s="493"/>
      <c r="C48" s="494">
        <f>R48</f>
        <v>16241</v>
      </c>
      <c r="D48" s="494"/>
      <c r="E48" s="494"/>
      <c r="F48" s="494"/>
      <c r="G48" s="494"/>
      <c r="H48" s="494"/>
      <c r="I48" s="494"/>
      <c r="J48" s="494"/>
      <c r="K48" s="785"/>
      <c r="L48" s="1146"/>
      <c r="M48" s="1147"/>
      <c r="N48" s="1147"/>
      <c r="O48" s="1147"/>
      <c r="P48" s="3211" t="str">
        <f>A48</f>
        <v>估价对象XX用房的比较价值（楼面单价，元/平方米）</v>
      </c>
      <c r="Q48" s="3212"/>
      <c r="R48" s="3213">
        <f>ROUND(AVERAGE(R47:V47),0)</f>
        <v>16241</v>
      </c>
      <c r="S48" s="3213"/>
      <c r="T48" s="3213"/>
      <c r="U48" s="3213"/>
      <c r="V48" s="3213"/>
      <c r="W48" s="321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f>IF(E46&lt;E47,E47/E46-1,E46/E47-1)</f>
        <v>2.726950773226311E-2</v>
      </c>
      <c r="F51" s="500" t="str">
        <f>IF(OR(E51&gt;=0.3,E51&lt;=-0.3),"超过30%","")</f>
        <v/>
      </c>
      <c r="G51" s="499">
        <f>IF(G46&lt;G47,G47/G46-1,G46/G47-1)</f>
        <v>5.220279501159375E-2</v>
      </c>
      <c r="H51" s="500" t="str">
        <f>IF(OR(G51&gt;=0.3,G51&lt;=-0.3),"超过30%","")</f>
        <v/>
      </c>
      <c r="I51" s="499">
        <f>IF(I46&lt;I47,I47/I46-1,I46/I47-1)</f>
        <v>8.6688919476944237E-2</v>
      </c>
      <c r="J51" s="500" t="str">
        <f>IF(OR(I51&gt;=0.3,I51&lt;=-0.3),"超过30%","")</f>
        <v/>
      </c>
      <c r="K51" s="1108"/>
      <c r="L51" s="1109"/>
      <c r="M51" s="1147"/>
      <c r="N51" s="1147"/>
      <c r="O51" s="1147"/>
    </row>
    <row r="52" spans="1:15" ht="13.5" customHeight="1">
      <c r="A52" s="1147"/>
      <c r="B52" s="1147"/>
      <c r="C52" s="497" t="s">
        <v>2673</v>
      </c>
      <c r="D52" s="501"/>
      <c r="E52" s="499">
        <f>IF(E47&lt;G47,G47/E47-1,E47/G47-1)</f>
        <v>3.6569386539606841E-2</v>
      </c>
      <c r="F52" s="500" t="str">
        <f>IF(OR(E52&gt;=0.2,E52&lt;=-0.2),"超过20%","")</f>
        <v/>
      </c>
      <c r="G52" s="499">
        <f>IF(G47&lt;I47,I47/G47-1,G47/I47-1)</f>
        <v>0.15554026152787337</v>
      </c>
      <c r="H52" s="500" t="str">
        <f>IF(OR(G52&gt;=0.2,G52&lt;=-0.2),"超过20%","")</f>
        <v/>
      </c>
      <c r="I52" s="499">
        <f>IF(I47&lt;E47,E47/I47-1,I47/E47-1)</f>
        <v>0.19779766001376453</v>
      </c>
      <c r="J52" s="500" t="str">
        <f>IF(OR(I52&gt;=0.2,I52&lt;=-0.2),"超过20%","")</f>
        <v/>
      </c>
      <c r="K52" s="1108"/>
      <c r="L52" s="1109"/>
      <c r="M52" s="1147"/>
      <c r="N52" s="1147"/>
      <c r="O52" s="1147"/>
    </row>
    <row r="53" spans="1:15" s="502" customFormat="1" ht="13.5" customHeight="1">
      <c r="A53" s="1148"/>
      <c r="B53" s="1148"/>
      <c r="C53" s="497" t="s">
        <v>2674</v>
      </c>
      <c r="D53" s="501"/>
      <c r="E53" s="499">
        <f>IF(E46&lt;G46,G46/E46-1,E46/G46-1)</f>
        <v>6.1728395061728447E-2</v>
      </c>
      <c r="F53" s="500" t="str">
        <f>IF(OR(E53&gt;=0.3,E53&lt;=-0.3),"超过30%","")</f>
        <v/>
      </c>
      <c r="G53" s="499">
        <f>IF(G46&lt;I46,I46/G46-1,G46/I46-1)</f>
        <v>1.0602555227843036E-2</v>
      </c>
      <c r="H53" s="500" t="str">
        <f>IF(OR(G53&gt;=0.3,G53&lt;=-0.3),"超过30%","")</f>
        <v/>
      </c>
      <c r="I53" s="499">
        <f>IF(I46&lt;E46,E46/I46-1,I46/E46-1)</f>
        <v>7.298542900733973E-2</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07" t="s">
        <v>2761</v>
      </c>
      <c r="D55" s="2708" t="s">
        <v>2762</v>
      </c>
      <c r="E55" s="686" t="s">
        <v>2763</v>
      </c>
      <c r="F55" s="1110" t="s">
        <v>2764</v>
      </c>
      <c r="G55" s="3192" t="s">
        <v>2765</v>
      </c>
      <c r="H55" s="3214"/>
      <c r="I55" s="144" t="s">
        <v>2766</v>
      </c>
      <c r="J55" s="2709" t="str">
        <f>项目基本情况!F35</f>
        <v>上海市</v>
      </c>
      <c r="K55" s="2710" t="s">
        <v>2767</v>
      </c>
      <c r="L55" s="1109"/>
      <c r="M55" s="1147"/>
      <c r="N55" s="1147"/>
      <c r="O55" s="1147"/>
    </row>
    <row r="56" spans="1:15" s="692" customFormat="1">
      <c r="A56" s="688" t="s">
        <v>2768</v>
      </c>
      <c r="B56" s="689">
        <f>C48</f>
        <v>16241</v>
      </c>
      <c r="C56" s="690">
        <v>1</v>
      </c>
      <c r="D56" s="1166">
        <v>1</v>
      </c>
      <c r="E56" s="690">
        <f>'数据-汇总表'!E8+'数据-汇总表'!E9</f>
        <v>122069.68</v>
      </c>
      <c r="F56" s="1106">
        <f t="shared" ref="F56:F65" si="15">ROUND(B56*E56/10000,0)</f>
        <v>198253</v>
      </c>
      <c r="G56" s="3215"/>
      <c r="H56" s="3191"/>
      <c r="I56" s="1111">
        <v>1</v>
      </c>
      <c r="J56" s="1114">
        <v>1</v>
      </c>
      <c r="K56" s="1148"/>
      <c r="L56" s="944"/>
      <c r="M56" s="944"/>
      <c r="N56" s="944"/>
      <c r="O56" s="944"/>
    </row>
    <row r="57" spans="1:15" s="692" customFormat="1">
      <c r="A57" s="693" t="s">
        <v>2769</v>
      </c>
      <c r="B57" s="262">
        <f>ROUND($C$48*C57*D57,0)</f>
        <v>0</v>
      </c>
      <c r="C57" s="200">
        <f t="shared" ref="C57:C65" si="16">IF($C$55="北京市系数",I57,J57)</f>
        <v>0</v>
      </c>
      <c r="D57" s="1167">
        <v>0.25</v>
      </c>
      <c r="E57" s="694"/>
      <c r="F57" s="1106">
        <f t="shared" si="15"/>
        <v>0</v>
      </c>
      <c r="G57" s="3216" t="s">
        <v>2770</v>
      </c>
      <c r="H57" s="1107">
        <f>项目基本情况!B37</f>
        <v>0</v>
      </c>
      <c r="I57" s="1111">
        <f>SUMIF(修正!A45:A56,H57,修正!B45:B56)</f>
        <v>0</v>
      </c>
      <c r="J57" s="1115"/>
      <c r="K57" s="1147"/>
      <c r="L57" s="944"/>
      <c r="M57" s="944"/>
      <c r="N57" s="944"/>
      <c r="O57" s="944"/>
    </row>
    <row r="58" spans="1:15" s="692" customFormat="1">
      <c r="A58" s="693" t="s">
        <v>2771</v>
      </c>
      <c r="B58" s="262">
        <f t="shared" ref="B58:B65" si="17">ROUND($C$48*C58*D58,0)</f>
        <v>0</v>
      </c>
      <c r="C58" s="200">
        <f t="shared" si="16"/>
        <v>0</v>
      </c>
      <c r="D58" s="1167">
        <v>0.25</v>
      </c>
      <c r="E58" s="694"/>
      <c r="F58" s="1106">
        <f t="shared" si="15"/>
        <v>0</v>
      </c>
      <c r="G58" s="3216"/>
      <c r="H58" s="1107">
        <f>项目基本情况!B37</f>
        <v>0</v>
      </c>
      <c r="I58" s="1111">
        <f>SUMIF(修正!A45:A56,H58,修正!C45:C56)</f>
        <v>0</v>
      </c>
      <c r="J58" s="1115"/>
      <c r="K58" s="1148"/>
      <c r="L58" s="944"/>
      <c r="M58" s="944"/>
      <c r="N58" s="944"/>
      <c r="O58" s="944"/>
    </row>
    <row r="59" spans="1:15" s="692" customFormat="1">
      <c r="A59" s="693" t="s">
        <v>2772</v>
      </c>
      <c r="B59" s="262">
        <f t="shared" si="17"/>
        <v>0</v>
      </c>
      <c r="C59" s="200">
        <f t="shared" si="16"/>
        <v>0</v>
      </c>
      <c r="D59" s="1167">
        <v>0.25</v>
      </c>
      <c r="E59" s="694"/>
      <c r="F59" s="1106">
        <f t="shared" si="15"/>
        <v>0</v>
      </c>
      <c r="G59" s="3216"/>
      <c r="H59" s="1107">
        <f>项目基本情况!B37</f>
        <v>0</v>
      </c>
      <c r="I59" s="1111">
        <f>SUMIF(修正!A45:A56,H59,修正!D45:D56)</f>
        <v>0</v>
      </c>
      <c r="J59" s="1115"/>
      <c r="K59" s="1147"/>
      <c r="L59" s="944"/>
      <c r="M59" s="944"/>
      <c r="N59" s="944"/>
      <c r="O59" s="944"/>
    </row>
    <row r="60" spans="1:15" s="692" customFormat="1">
      <c r="A60" s="693" t="s">
        <v>2773</v>
      </c>
      <c r="B60" s="262">
        <f t="shared" si="17"/>
        <v>0</v>
      </c>
      <c r="C60" s="200">
        <f t="shared" si="16"/>
        <v>0</v>
      </c>
      <c r="D60" s="1167">
        <v>0.25</v>
      </c>
      <c r="E60" s="694"/>
      <c r="F60" s="1106">
        <f t="shared" si="15"/>
        <v>0</v>
      </c>
      <c r="G60" s="3216"/>
      <c r="H60" s="1107">
        <f>项目基本情况!B37</f>
        <v>0</v>
      </c>
      <c r="I60" s="1111">
        <f>SUMIF(修正!A45:A56,H60,修正!E45:E56)</f>
        <v>0</v>
      </c>
      <c r="J60" s="1115"/>
      <c r="K60" s="1148"/>
      <c r="L60" s="944"/>
      <c r="M60" s="944"/>
      <c r="N60" s="944"/>
      <c r="O60" s="944"/>
    </row>
    <row r="61" spans="1:15" s="692" customFormat="1">
      <c r="A61" s="693" t="s">
        <v>2774</v>
      </c>
      <c r="B61" s="262">
        <f t="shared" si="17"/>
        <v>0</v>
      </c>
      <c r="C61" s="200">
        <f t="shared" si="16"/>
        <v>0</v>
      </c>
      <c r="D61" s="1167">
        <v>0.25</v>
      </c>
      <c r="E61" s="261">
        <f>'数据-汇总表'!E11</f>
        <v>0</v>
      </c>
      <c r="F61" s="1106">
        <f t="shared" si="15"/>
        <v>0</v>
      </c>
      <c r="G61" s="2711" t="s">
        <v>2775</v>
      </c>
      <c r="H61" s="1107">
        <f>项目基本情况!C37</f>
        <v>0</v>
      </c>
      <c r="I61" s="1111">
        <f>SUMIF(修正!A45:A56,H61,修正!F45:F56)</f>
        <v>0</v>
      </c>
      <c r="J61" s="1115"/>
      <c r="K61" s="1147"/>
      <c r="L61" s="944"/>
      <c r="M61" s="944"/>
      <c r="N61" s="944"/>
      <c r="O61" s="944"/>
    </row>
    <row r="62" spans="1:15" s="692" customFormat="1">
      <c r="A62" s="693" t="s">
        <v>2776</v>
      </c>
      <c r="B62" s="262">
        <f t="shared" si="17"/>
        <v>0</v>
      </c>
      <c r="C62" s="200">
        <f t="shared" si="16"/>
        <v>0</v>
      </c>
      <c r="D62" s="1167">
        <v>0.25</v>
      </c>
      <c r="E62" s="261">
        <f>'数据-汇总表'!E12</f>
        <v>0</v>
      </c>
      <c r="F62" s="1106">
        <f t="shared" si="15"/>
        <v>0</v>
      </c>
      <c r="G62" s="1112" t="s">
        <v>2777</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2778</v>
      </c>
      <c r="B63" s="262">
        <f t="shared" si="17"/>
        <v>0</v>
      </c>
      <c r="C63" s="200">
        <f t="shared" si="16"/>
        <v>0</v>
      </c>
      <c r="D63" s="1167">
        <v>0.25</v>
      </c>
      <c r="E63" s="261">
        <f>'数据-汇总表'!E13</f>
        <v>58557.179999999993</v>
      </c>
      <c r="F63" s="1106">
        <f t="shared" si="15"/>
        <v>0</v>
      </c>
      <c r="G63" s="1112" t="s">
        <v>2779</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2780</v>
      </c>
      <c r="B64" s="262">
        <f t="shared" si="17"/>
        <v>0</v>
      </c>
      <c r="C64" s="200">
        <f t="shared" si="16"/>
        <v>0</v>
      </c>
      <c r="D64" s="1167">
        <v>0.25</v>
      </c>
      <c r="E64" s="261">
        <f>'数据-汇总表'!E14</f>
        <v>0</v>
      </c>
      <c r="F64" s="1106">
        <f t="shared" si="15"/>
        <v>0</v>
      </c>
      <c r="G64" s="2711" t="s">
        <v>2770</v>
      </c>
      <c r="H64" s="1107">
        <f>项目基本情况!B37</f>
        <v>0</v>
      </c>
      <c r="I64" s="1111">
        <f>SUMIF(修正!A45:A56,H64,修正!H45:H56)</f>
        <v>0</v>
      </c>
      <c r="J64" s="1115"/>
      <c r="K64" s="1148"/>
      <c r="L64" s="944"/>
      <c r="M64" s="944"/>
      <c r="N64" s="944"/>
      <c r="O64" s="944"/>
    </row>
    <row r="65" spans="1:17" s="692" customFormat="1" ht="15" thickBot="1">
      <c r="A65" s="693" t="s">
        <v>2781</v>
      </c>
      <c r="B65" s="262">
        <f t="shared" si="17"/>
        <v>0</v>
      </c>
      <c r="C65" s="200">
        <f t="shared" si="16"/>
        <v>0</v>
      </c>
      <c r="D65" s="1167">
        <v>0.25</v>
      </c>
      <c r="E65" s="261">
        <f>'数据-汇总表'!E15</f>
        <v>0</v>
      </c>
      <c r="F65" s="1106">
        <f t="shared" si="15"/>
        <v>0</v>
      </c>
      <c r="G65" s="2712" t="s">
        <v>2775</v>
      </c>
      <c r="H65" s="1117">
        <f>项目基本情况!C37</f>
        <v>0</v>
      </c>
      <c r="I65" s="1113">
        <f>SUMIF(修正!A45:A56,H65,修正!H45:H56)</f>
        <v>0</v>
      </c>
      <c r="J65" s="1116"/>
      <c r="K65" s="1147"/>
      <c r="L65" s="944"/>
      <c r="M65" s="944"/>
      <c r="N65" s="944"/>
      <c r="O65" s="944"/>
    </row>
    <row r="66" spans="1:17" s="692" customFormat="1" ht="13.5" thickBot="1">
      <c r="A66" s="695" t="s">
        <v>2782</v>
      </c>
      <c r="B66" s="696" t="s">
        <v>28</v>
      </c>
      <c r="C66" s="696" t="s">
        <v>29</v>
      </c>
      <c r="D66" s="696" t="s">
        <v>1029</v>
      </c>
      <c r="E66" s="696">
        <f>IF(B46="楼面地价",SUM(E56:E65),'数据-汇总表'!D3)</f>
        <v>180626.86</v>
      </c>
      <c r="F66" s="697">
        <f>IF(B46="楼面地价",SUM(F56:F65),ROUND(C48*E66/10000,0))</f>
        <v>198253</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2018-4-1</v>
      </c>
      <c r="D68" s="761">
        <f>EDATE(C68,-3)</f>
        <v>43101</v>
      </c>
      <c r="E68" s="761">
        <f>EDATE(D68,-3)</f>
        <v>43009</v>
      </c>
      <c r="F68" s="761">
        <f t="shared" ref="F68:O68" si="18">EDATE(E68,-3)</f>
        <v>42917</v>
      </c>
      <c r="G68" s="761">
        <f t="shared" si="18"/>
        <v>42826</v>
      </c>
      <c r="H68" s="761">
        <f t="shared" si="18"/>
        <v>42736</v>
      </c>
      <c r="I68" s="761">
        <f t="shared" si="18"/>
        <v>42644</v>
      </c>
      <c r="J68" s="761">
        <f t="shared" si="18"/>
        <v>42552</v>
      </c>
      <c r="K68" s="761">
        <f t="shared" si="18"/>
        <v>42461</v>
      </c>
      <c r="L68" s="761">
        <f t="shared" si="18"/>
        <v>42370</v>
      </c>
      <c r="M68" s="761">
        <f t="shared" si="18"/>
        <v>42278</v>
      </c>
      <c r="N68" s="761">
        <f t="shared" si="18"/>
        <v>42186</v>
      </c>
      <c r="O68" s="761">
        <f t="shared" si="18"/>
        <v>42095</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3" t="s">
        <v>2783</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4" t="s">
        <v>2784</v>
      </c>
      <c r="B71" s="332" t="str">
        <f>"北京市平均增长率"&amp;TEXT(SUMIF(基准地价修正!N21:N25,A71,基准地价修正!P21:P25),"0.00%")</f>
        <v>北京市平均增长率2.41%</v>
      </c>
      <c r="C71" s="603">
        <v>100</v>
      </c>
      <c r="D71" s="595">
        <v>99.5</v>
      </c>
      <c r="E71" s="595">
        <v>99</v>
      </c>
      <c r="F71" s="595">
        <v>98.5</v>
      </c>
      <c r="G71" s="595">
        <v>98</v>
      </c>
      <c r="H71" s="595">
        <v>97.5</v>
      </c>
      <c r="I71" s="595">
        <v>97</v>
      </c>
      <c r="J71" s="595">
        <v>96.5</v>
      </c>
      <c r="K71" s="595">
        <v>96</v>
      </c>
      <c r="L71" s="595">
        <v>95.5</v>
      </c>
      <c r="M71" s="1570">
        <v>95</v>
      </c>
      <c r="N71" s="595">
        <v>94.5</v>
      </c>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2954" t="s">
        <v>3093</v>
      </c>
      <c r="D75" s="530"/>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1（含）-2</v>
      </c>
      <c r="D79" s="547" t="str">
        <f t="shared" ref="D79:L79" si="20">D80&amp;"（含）"&amp;"-"&amp;E80</f>
        <v>2（含）-3</v>
      </c>
      <c r="E79" s="547" t="str">
        <f t="shared" si="20"/>
        <v>3（含）-4</v>
      </c>
      <c r="F79" s="547" t="str">
        <f t="shared" si="20"/>
        <v>4（含）-5</v>
      </c>
      <c r="G79" s="547" t="str">
        <f t="shared" si="20"/>
        <v>5（含）-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v>1</v>
      </c>
      <c r="D80" s="549">
        <v>2</v>
      </c>
      <c r="E80" s="549">
        <v>3</v>
      </c>
      <c r="F80" s="549">
        <v>4</v>
      </c>
      <c r="G80" s="549">
        <v>5</v>
      </c>
      <c r="H80" s="549"/>
      <c r="I80" s="549"/>
      <c r="J80" s="549"/>
      <c r="K80" s="550"/>
      <c r="L80" s="551"/>
      <c r="M80" s="552"/>
      <c r="N80" s="1155"/>
      <c r="O80" s="1155"/>
      <c r="P80" s="45"/>
      <c r="Q80" s="504"/>
    </row>
    <row r="81" spans="1:17" ht="15.75" thickBot="1">
      <c r="A81" s="534"/>
      <c r="B81" s="535"/>
      <c r="C81" s="544">
        <v>100</v>
      </c>
      <c r="D81" s="544">
        <f t="shared" ref="D81:M81" si="21">IF($B$46="单位面积地价",C81+$K11,C81-$K11)</f>
        <v>98</v>
      </c>
      <c r="E81" s="544">
        <f t="shared" si="21"/>
        <v>96</v>
      </c>
      <c r="F81" s="544">
        <f t="shared" si="21"/>
        <v>94</v>
      </c>
      <c r="G81" s="544">
        <f t="shared" si="21"/>
        <v>92</v>
      </c>
      <c r="H81" s="544">
        <f t="shared" si="21"/>
        <v>90</v>
      </c>
      <c r="I81" s="544">
        <f t="shared" si="21"/>
        <v>88</v>
      </c>
      <c r="J81" s="544">
        <f t="shared" si="21"/>
        <v>86</v>
      </c>
      <c r="K81" s="544">
        <f t="shared" si="21"/>
        <v>84</v>
      </c>
      <c r="L81" s="544">
        <f t="shared" si="21"/>
        <v>82</v>
      </c>
      <c r="M81" s="544">
        <f t="shared" si="21"/>
        <v>80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97</v>
      </c>
      <c r="E89" s="544">
        <f>D89-$K15</f>
        <v>94</v>
      </c>
      <c r="F89" s="544">
        <f>E89-$K15</f>
        <v>91</v>
      </c>
      <c r="G89" s="544">
        <f>F89-$K15</f>
        <v>88</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95</v>
      </c>
      <c r="E91" s="544">
        <f>D91-$K17</f>
        <v>90</v>
      </c>
      <c r="F91" s="544">
        <f>E91-$K17</f>
        <v>85</v>
      </c>
      <c r="G91" s="544">
        <f>F91-$K17</f>
        <v>80</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95</v>
      </c>
      <c r="E93" s="544">
        <f>D93-$K19</f>
        <v>90</v>
      </c>
      <c r="F93" s="544">
        <f>E93-$K19</f>
        <v>85</v>
      </c>
      <c r="G93" s="544">
        <f>F93-$K19</f>
        <v>80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97</v>
      </c>
      <c r="E95" s="544">
        <f>D95-$K21</f>
        <v>94</v>
      </c>
      <c r="F95" s="544">
        <f>E95-$K21</f>
        <v>91</v>
      </c>
      <c r="G95" s="544">
        <f>F95-$K21</f>
        <v>88</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97</v>
      </c>
      <c r="E99" s="544">
        <f>D99-$K25</f>
        <v>94</v>
      </c>
      <c r="F99" s="544">
        <f>E99-$K25</f>
        <v>91</v>
      </c>
      <c r="G99" s="544">
        <f>F99-$K25</f>
        <v>88</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97</v>
      </c>
      <c r="E101" s="544">
        <f>D101-$K27</f>
        <v>94</v>
      </c>
      <c r="F101" s="544">
        <f>E101-$K27</f>
        <v>91</v>
      </c>
      <c r="G101" s="544">
        <f>F101-$K27</f>
        <v>88</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98</v>
      </c>
      <c r="E103" s="544">
        <f>D103-$K29</f>
        <v>96</v>
      </c>
      <c r="F103" s="544">
        <f>E103-$K29</f>
        <v>94</v>
      </c>
      <c r="G103" s="544">
        <f>F103-$K29</f>
        <v>92</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98</v>
      </c>
      <c r="E105" s="544">
        <f t="shared" ref="E105:M105" si="22">D105-$K31</f>
        <v>96</v>
      </c>
      <c r="F105" s="544">
        <f t="shared" si="22"/>
        <v>94</v>
      </c>
      <c r="G105" s="544">
        <f t="shared" si="22"/>
        <v>92</v>
      </c>
      <c r="H105" s="544">
        <f t="shared" si="22"/>
        <v>90</v>
      </c>
      <c r="I105" s="544">
        <f t="shared" si="22"/>
        <v>88</v>
      </c>
      <c r="J105" s="544">
        <f t="shared" si="22"/>
        <v>86</v>
      </c>
      <c r="K105" s="544">
        <f t="shared" si="22"/>
        <v>84</v>
      </c>
      <c r="L105" s="544">
        <f t="shared" si="22"/>
        <v>82</v>
      </c>
      <c r="M105" s="544">
        <f t="shared" si="22"/>
        <v>80</v>
      </c>
      <c r="N105" s="1156"/>
      <c r="O105" s="1156"/>
      <c r="P105" s="45"/>
      <c r="Q105" s="504"/>
    </row>
    <row r="106" spans="1:17" ht="27.75" thickTop="1">
      <c r="A106" s="534"/>
      <c r="B106" s="538" t="s">
        <v>2692</v>
      </c>
      <c r="C106" s="554" t="s">
        <v>3068</v>
      </c>
      <c r="D106" s="554" t="s">
        <v>3069</v>
      </c>
      <c r="E106" s="554" t="s">
        <v>3070</v>
      </c>
      <c r="F106" s="554" t="s">
        <v>3071</v>
      </c>
      <c r="G106" s="554"/>
      <c r="H106" s="583"/>
      <c r="I106" s="583"/>
      <c r="J106" s="583"/>
      <c r="K106" s="584"/>
      <c r="L106" s="585"/>
      <c r="M106" s="586"/>
      <c r="N106" s="1155"/>
      <c r="O106" s="1155"/>
      <c r="P106" s="45"/>
      <c r="Q106" s="504"/>
    </row>
    <row r="107" spans="1:17" ht="15.75" thickBot="1">
      <c r="A107" s="534"/>
      <c r="B107" s="543"/>
      <c r="C107" s="544">
        <v>100</v>
      </c>
      <c r="D107" s="544">
        <f>C107-$K32</f>
        <v>98</v>
      </c>
      <c r="E107" s="544">
        <f t="shared" ref="E107:M107" si="23">D107-$K32</f>
        <v>96</v>
      </c>
      <c r="F107" s="544">
        <f t="shared" si="23"/>
        <v>94</v>
      </c>
      <c r="G107" s="544">
        <f t="shared" si="23"/>
        <v>92</v>
      </c>
      <c r="H107" s="544">
        <f t="shared" si="23"/>
        <v>90</v>
      </c>
      <c r="I107" s="544">
        <f t="shared" si="23"/>
        <v>88</v>
      </c>
      <c r="J107" s="544">
        <f t="shared" si="23"/>
        <v>86</v>
      </c>
      <c r="K107" s="544">
        <f t="shared" si="23"/>
        <v>84</v>
      </c>
      <c r="L107" s="544">
        <f t="shared" si="23"/>
        <v>82</v>
      </c>
      <c r="M107" s="544">
        <f t="shared" si="23"/>
        <v>80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2564</v>
      </c>
      <c r="B116" s="528" t="s">
        <v>2792</v>
      </c>
      <c r="C116" s="529" t="str">
        <f>C117&amp;"(含)"&amp;"-"&amp;D117</f>
        <v>10000(含)-50000</v>
      </c>
      <c r="D116" s="529" t="str">
        <f t="shared" ref="D116:M116" si="25">D117&amp;"(含)"&amp;"-"&amp;E117</f>
        <v>50000(含)-100000</v>
      </c>
      <c r="E116" s="529" t="str">
        <f t="shared" si="25"/>
        <v>100000(含)-150000</v>
      </c>
      <c r="F116" s="529" t="str">
        <f t="shared" si="25"/>
        <v>150000(含)-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v>10000</v>
      </c>
      <c r="D117" s="595">
        <v>50000</v>
      </c>
      <c r="E117" s="595">
        <v>100000</v>
      </c>
      <c r="F117" s="595">
        <v>150000</v>
      </c>
      <c r="G117" s="595"/>
      <c r="H117" s="595"/>
      <c r="I117" s="595"/>
      <c r="J117" s="596"/>
      <c r="K117" s="596"/>
      <c r="L117" s="597"/>
      <c r="M117" s="598"/>
      <c r="N117" s="1155"/>
      <c r="O117" s="1155"/>
      <c r="P117" s="45"/>
      <c r="Q117" s="504"/>
    </row>
    <row r="118" spans="1:17" ht="15.75" thickBot="1">
      <c r="A118" s="534"/>
      <c r="B118" s="543"/>
      <c r="C118" s="570">
        <v>100</v>
      </c>
      <c r="D118" s="591">
        <v>101</v>
      </c>
      <c r="E118" s="591">
        <v>102</v>
      </c>
      <c r="F118" s="591">
        <v>103</v>
      </c>
      <c r="G118" s="591"/>
      <c r="H118" s="591"/>
      <c r="I118" s="591"/>
      <c r="J118" s="591"/>
      <c r="K118" s="591"/>
      <c r="L118" s="591"/>
      <c r="M118" s="592"/>
      <c r="N118" s="1156"/>
      <c r="O118" s="1156"/>
      <c r="P118" s="45"/>
      <c r="Q118" s="504"/>
    </row>
    <row r="119" spans="1:17" ht="15" thickTop="1">
      <c r="A119" s="599"/>
      <c r="B119" s="538" t="s">
        <v>2793</v>
      </c>
      <c r="C119" s="583" t="s">
        <v>3072</v>
      </c>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2794</v>
      </c>
      <c r="C121" s="554" t="s">
        <v>3073</v>
      </c>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2795</v>
      </c>
      <c r="C123" s="554" t="s">
        <v>3074</v>
      </c>
      <c r="D123" s="554" t="s">
        <v>3075</v>
      </c>
      <c r="E123" s="554" t="s">
        <v>3076</v>
      </c>
      <c r="F123" s="554" t="s">
        <v>3077</v>
      </c>
      <c r="G123" s="554" t="s">
        <v>3078</v>
      </c>
      <c r="H123" s="583"/>
      <c r="I123" s="583"/>
      <c r="J123" s="583"/>
      <c r="K123" s="584"/>
      <c r="L123" s="585"/>
      <c r="M123" s="586"/>
      <c r="N123" s="1157"/>
      <c r="O123" s="1157"/>
      <c r="P123" s="558"/>
      <c r="Q123" s="559"/>
    </row>
    <row r="124" spans="1:17" s="471" customFormat="1" ht="15.75" thickBot="1">
      <c r="A124" s="553"/>
      <c r="B124" s="543"/>
      <c r="C124" s="544">
        <v>100</v>
      </c>
      <c r="D124" s="544">
        <f>C124-$K41</f>
        <v>98</v>
      </c>
      <c r="E124" s="544">
        <f t="shared" ref="E124:M124" si="28">D124-$K41</f>
        <v>96</v>
      </c>
      <c r="F124" s="544">
        <f t="shared" si="28"/>
        <v>94</v>
      </c>
      <c r="G124" s="544">
        <f t="shared" si="28"/>
        <v>92</v>
      </c>
      <c r="H124" s="544">
        <f t="shared" si="28"/>
        <v>90</v>
      </c>
      <c r="I124" s="544">
        <f t="shared" si="28"/>
        <v>88</v>
      </c>
      <c r="J124" s="544">
        <f t="shared" si="28"/>
        <v>86</v>
      </c>
      <c r="K124" s="544">
        <f t="shared" si="28"/>
        <v>84</v>
      </c>
      <c r="L124" s="544">
        <f t="shared" si="28"/>
        <v>82</v>
      </c>
      <c r="M124" s="545">
        <f t="shared" si="28"/>
        <v>80</v>
      </c>
      <c r="N124" s="1157"/>
      <c r="O124" s="1157"/>
      <c r="P124" s="558"/>
      <c r="Q124" s="559"/>
    </row>
    <row r="125" spans="1:17" ht="15" thickTop="1">
      <c r="A125" s="599"/>
      <c r="B125" s="538" t="s">
        <v>2796</v>
      </c>
      <c r="C125" s="554" t="s">
        <v>3065</v>
      </c>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65" priority="14" stopIfTrue="1" operator="containsText" text="超过">
      <formula>NOT(ISERROR(SEARCH("超过",F51)))</formula>
    </cfRule>
  </conditionalFormatting>
  <conditionalFormatting sqref="J53">
    <cfRule type="containsText" dxfId="164" priority="13" stopIfTrue="1" operator="containsText" text="超过">
      <formula>NOT(ISERROR(SEARCH("超过",J53)))</formula>
    </cfRule>
  </conditionalFormatting>
  <conditionalFormatting sqref="H53">
    <cfRule type="containsText" dxfId="163" priority="12" stopIfTrue="1" operator="containsText" text="超过">
      <formula>NOT(ISERROR(SEARCH("超过",H53)))</formula>
    </cfRule>
  </conditionalFormatting>
  <conditionalFormatting sqref="F53">
    <cfRule type="containsText" dxfId="162" priority="11" stopIfTrue="1" operator="containsText" text="超过">
      <formula>NOT(ISERROR(SEARCH("超过",F53)))</formula>
    </cfRule>
  </conditionalFormatting>
  <conditionalFormatting sqref="F52 H52 J52">
    <cfRule type="containsText" dxfId="161" priority="10" stopIfTrue="1" operator="containsText" text="超过">
      <formula>NOT(ISERROR(SEARCH("超过",F52)))</formula>
    </cfRule>
  </conditionalFormatting>
  <conditionalFormatting sqref="E51">
    <cfRule type="expression" dxfId="160" priority="9" stopIfTrue="1">
      <formula>$F$51="超过30%"</formula>
    </cfRule>
  </conditionalFormatting>
  <conditionalFormatting sqref="G53">
    <cfRule type="expression" dxfId="159" priority="8" stopIfTrue="1">
      <formula>$H$53="超过30%"</formula>
    </cfRule>
  </conditionalFormatting>
  <conditionalFormatting sqref="E52">
    <cfRule type="expression" dxfId="158" priority="7" stopIfTrue="1">
      <formula>$F$52="超过20%"</formula>
    </cfRule>
  </conditionalFormatting>
  <conditionalFormatting sqref="E53">
    <cfRule type="expression" dxfId="157" priority="6" stopIfTrue="1">
      <formula>$F$53="超过30%"</formula>
    </cfRule>
  </conditionalFormatting>
  <conditionalFormatting sqref="G51">
    <cfRule type="expression" dxfId="156" priority="5" stopIfTrue="1">
      <formula>$H$53+$H$51="超过30%"</formula>
    </cfRule>
  </conditionalFormatting>
  <conditionalFormatting sqref="G52">
    <cfRule type="expression" dxfId="155" priority="4" stopIfTrue="1">
      <formula>$H$52="超过20%"</formula>
    </cfRule>
  </conditionalFormatting>
  <conditionalFormatting sqref="I51">
    <cfRule type="expression" dxfId="154" priority="3" stopIfTrue="1">
      <formula>$J$51="超过30%"</formula>
    </cfRule>
  </conditionalFormatting>
  <conditionalFormatting sqref="I52">
    <cfRule type="expression" dxfId="153" priority="2" stopIfTrue="1">
      <formula>$J$52="超过20%"</formula>
    </cfRule>
  </conditionalFormatting>
  <conditionalFormatting sqref="I53">
    <cfRule type="expression" dxfId="152"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N14" sqref="N14"/>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2463</v>
      </c>
      <c r="B1" s="1584"/>
      <c r="C1" s="1585"/>
      <c r="D1" s="1583"/>
      <c r="E1" s="320"/>
      <c r="F1" s="320"/>
      <c r="G1" s="1584"/>
      <c r="H1" s="320"/>
      <c r="I1" s="320"/>
      <c r="J1" s="320"/>
      <c r="K1" s="320">
        <f>MATCH(C1,'数据-取费表'!A6:A16,0)+5</f>
        <v>12</v>
      </c>
    </row>
    <row r="2" spans="1:33" ht="18" customHeight="1">
      <c r="A2" s="245" t="s">
        <v>2331</v>
      </c>
      <c r="B2" s="248">
        <f ca="1">C32</f>
        <v>318148</v>
      </c>
      <c r="C2" s="320" t="s">
        <v>2464</v>
      </c>
      <c r="D2" s="320"/>
      <c r="E2" s="320"/>
      <c r="F2" s="320"/>
      <c r="G2" s="320"/>
      <c r="H2" s="320"/>
      <c r="I2" s="320"/>
      <c r="J2" s="320"/>
      <c r="K2" s="320"/>
    </row>
    <row r="3" spans="1:33" ht="18" customHeight="1" thickBot="1">
      <c r="A3" s="247" t="s">
        <v>2333</v>
      </c>
      <c r="B3" s="248">
        <f ca="1">ROUND(B2*10000/IF(C1="",'数据-汇总表'!E3,INDIRECT("'数据-取费表'!K"&amp;$K$1)),0)</f>
        <v>17004</v>
      </c>
      <c r="C3" s="320" t="s">
        <v>2465</v>
      </c>
      <c r="D3" s="320"/>
      <c r="E3" s="320"/>
      <c r="F3" s="320"/>
      <c r="G3" s="320"/>
      <c r="H3" s="320"/>
      <c r="I3" s="320"/>
      <c r="J3" s="320"/>
      <c r="K3" s="320"/>
    </row>
    <row r="4" spans="1:33" s="959" customFormat="1" ht="16.5" customHeight="1">
      <c r="A4" s="956" t="s">
        <v>2466</v>
      </c>
      <c r="B4" s="957"/>
      <c r="C4" s="999">
        <f ca="1">SUM(C8:K8)</f>
        <v>469421</v>
      </c>
      <c r="D4" s="957"/>
      <c r="E4" s="957"/>
      <c r="F4" s="957"/>
      <c r="G4" s="957"/>
      <c r="H4" s="957"/>
      <c r="I4" s="957"/>
      <c r="J4" s="957"/>
      <c r="K4" s="958"/>
    </row>
    <row r="5" spans="1:33" s="963" customFormat="1" ht="15">
      <c r="A5" s="960" t="s">
        <v>2467</v>
      </c>
      <c r="B5" s="961" t="s">
        <v>2468</v>
      </c>
      <c r="C5" s="2556" t="s">
        <v>3106</v>
      </c>
      <c r="D5" s="2556" t="s">
        <v>3181</v>
      </c>
      <c r="E5" s="2556" t="s">
        <v>3117</v>
      </c>
      <c r="F5" s="2556" t="s">
        <v>1377</v>
      </c>
      <c r="G5" s="2556" t="s">
        <v>48</v>
      </c>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f>'比较法-住宅'!B3</f>
        <v>35059</v>
      </c>
      <c r="D6" s="965">
        <f>'比较法-住宅 (叠拼)'!B3</f>
        <v>35172</v>
      </c>
      <c r="E6" s="965">
        <f>'比较法-住宅 (联排)'!B3</f>
        <v>40290</v>
      </c>
      <c r="F6" s="965">
        <f ca="1">收益法!B3</f>
        <v>37330</v>
      </c>
      <c r="G6" s="965">
        <f ca="1">'收益法 (车位)'!B3</f>
        <v>2308</v>
      </c>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41267.419999999991</v>
      </c>
      <c r="D7" s="321">
        <f>SUMIF('数据-汇总表'!$C19:$C33,假设开发法!D5,'数据-汇总表'!$E19:$E33)</f>
        <v>27150.61</v>
      </c>
      <c r="E7" s="321">
        <f>SUMIF('数据-汇总表'!$C19:$C33,假设开发法!E5,'数据-汇总表'!$E19:$E33)</f>
        <v>52208.590000000004</v>
      </c>
      <c r="F7" s="321">
        <f>SUMIF('数据-汇总表'!$C19:$C33,假设开发法!F5,'数据-汇总表'!$E19:$E33)</f>
        <v>1443.06</v>
      </c>
      <c r="G7" s="321">
        <f>SUMIF('数据-汇总表'!$C19:$C33,假设开发法!G5,'数据-汇总表'!$E19:$E33)</f>
        <v>58557.179999999993</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2472</v>
      </c>
      <c r="B8" s="177" t="s">
        <v>2473</v>
      </c>
      <c r="C8" s="1000">
        <f>'比较法-住宅'!B2</f>
        <v>144679</v>
      </c>
      <c r="D8" s="1000">
        <f>'比较法-住宅 (叠拼)'!B2</f>
        <v>95494</v>
      </c>
      <c r="E8" s="1000">
        <f>'比较法-住宅 (联排)'!B2</f>
        <v>210348</v>
      </c>
      <c r="F8" s="1000">
        <f ca="1">收益法!B2</f>
        <v>5387</v>
      </c>
      <c r="G8" s="1000">
        <f ca="1">'收益法 (车位)'!B2</f>
        <v>13513</v>
      </c>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1334</v>
      </c>
      <c r="B11" s="975" t="s">
        <v>2481</v>
      </c>
      <c r="C11" s="323">
        <f ca="1">IF(C1="",'数据-取费表'!P16,INDIRECT("'数据-取费表'!p"&amp;$K$1)+INDIRECT("'数据-取费表'!ar"&amp;$K$1))</f>
        <v>44166</v>
      </c>
      <c r="D11" s="976"/>
      <c r="E11" s="375"/>
      <c r="F11" s="977">
        <f ca="1">1-IF('数据-取费表'!B24=0,1,IF(C1="",'数据-取费表'!N16,INDIRECT("'数据-取费表'!n"&amp;$K$1)))</f>
        <v>0.72399999999999998</v>
      </c>
      <c r="G11" s="8"/>
      <c r="H11" s="971"/>
      <c r="I11" s="971"/>
      <c r="J11" s="971"/>
      <c r="K11" s="972"/>
    </row>
    <row r="12" spans="1:33" s="978" customFormat="1" ht="13.5" customHeight="1">
      <c r="A12" s="974" t="s">
        <v>1335</v>
      </c>
      <c r="B12" s="975" t="s">
        <v>2482</v>
      </c>
      <c r="C12" s="24">
        <f ca="1">ROUND(C11*F12,0)</f>
        <v>1325</v>
      </c>
      <c r="D12" s="976"/>
      <c r="E12" s="375"/>
      <c r="F12" s="979">
        <f>'数据-取费表'!B33</f>
        <v>0.03</v>
      </c>
      <c r="G12" s="8" t="s">
        <v>2483</v>
      </c>
      <c r="H12" s="971"/>
      <c r="I12" s="971"/>
      <c r="J12" s="971"/>
      <c r="K12" s="972"/>
    </row>
    <row r="13" spans="1:33" s="978" customFormat="1" ht="13.5" customHeight="1">
      <c r="A13" s="974" t="s">
        <v>1336</v>
      </c>
      <c r="B13" s="975" t="s">
        <v>2484</v>
      </c>
      <c r="C13" s="24">
        <f ca="1">ROUND(IF(C1="",SUMIF('数据-取费表'!C:C,"住宅",'数据-取费表'!P:P)*F13,IF(INDIRECT("'数据-取费表'!c"&amp;$K$1)="住宅",INDIRECT("'数据-取费表'!P"&amp;$K$1)*F13,0)),0)</f>
        <v>1641</v>
      </c>
      <c r="D13" s="1036"/>
      <c r="E13" s="375"/>
      <c r="F13" s="979">
        <f>'数据-取费表'!B34</f>
        <v>0.05</v>
      </c>
      <c r="G13" s="8" t="s">
        <v>2485</v>
      </c>
      <c r="H13" s="971"/>
      <c r="I13" s="971"/>
      <c r="J13" s="971"/>
      <c r="K13" s="972"/>
    </row>
    <row r="14" spans="1:33" s="980" customFormat="1" ht="13.5" customHeight="1">
      <c r="A14" s="974" t="s">
        <v>1337</v>
      </c>
      <c r="B14" s="975" t="s">
        <v>2486</v>
      </c>
      <c r="C14" s="24">
        <f ca="1">ROUND(D14*E14*F11/10000,0)</f>
        <v>2709</v>
      </c>
      <c r="D14" s="1036">
        <f ca="1">IF(C1="",'数据-汇总表'!E3,INDIRECT("'数据-取费表'!K"&amp;$K$1)+INDIRECT("'数据-取费表'!S"&amp;$K$1))</f>
        <v>187098.36000000002</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2488</v>
      </c>
      <c r="C15" s="986">
        <f ca="1">ROUND(C11*F15,0)</f>
        <v>662</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50503</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187098.36000000002</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2493</v>
      </c>
      <c r="C18" s="24">
        <f ca="1">C19+C20-IF(C1="",'数据-取费表'!B29,IF(G18="已全部缴纳",C19+C20,H18))</f>
        <v>5187</v>
      </c>
      <c r="D18" s="1036"/>
      <c r="E18" s="24"/>
      <c r="F18" s="979"/>
      <c r="G18" s="2558"/>
      <c r="H18" s="1580"/>
      <c r="I18" s="2559" t="s">
        <v>2494</v>
      </c>
      <c r="J18" s="982"/>
      <c r="K18" s="983"/>
    </row>
    <row r="19" spans="1:33" s="978" customFormat="1" ht="13.5" customHeight="1">
      <c r="A19" s="974" t="s">
        <v>805</v>
      </c>
      <c r="B19" s="975" t="s">
        <v>2495</v>
      </c>
      <c r="C19" s="24">
        <f ca="1">ROUND(D19*E19/10000,0)</f>
        <v>5187</v>
      </c>
      <c r="D19" s="1036">
        <f ca="1">IF(C1="",'数据-汇总表'!E5,IF(INDIRECT("'数据-取费表'!c"&amp;$K$1)="住宅",INDIRECT("'数据-取费表'!k"&amp;$K$1),0))</f>
        <v>120626.62</v>
      </c>
      <c r="E19" s="24">
        <f>'数据-取费表'!B27</f>
        <v>430</v>
      </c>
      <c r="F19" s="979"/>
      <c r="G19" s="15"/>
      <c r="H19" s="1582"/>
      <c r="I19" s="984"/>
      <c r="J19" s="984"/>
      <c r="K19" s="985"/>
    </row>
    <row r="20" spans="1:33" s="978" customFormat="1" ht="13.5" customHeight="1">
      <c r="A20" s="974" t="s">
        <v>806</v>
      </c>
      <c r="B20" s="975" t="s">
        <v>2496</v>
      </c>
      <c r="C20" s="24">
        <f ca="1">ROUND(D20*E20/10000,0)</f>
        <v>0</v>
      </c>
      <c r="D20" s="1036">
        <f ca="1">IF(C1="",'数据-汇总表'!E6,IF(INDIRECT("'数据-取费表'!c"&amp;$K$1)="住宅",INDIRECT("'数据-取费表'!s"&amp;$K$1),INDIRECT("'数据-取费表'!k"&amp;$K$1)+INDIRECT("'数据-取费表'!s"&amp;$K$1)))</f>
        <v>66471.74000000002</v>
      </c>
      <c r="E20" s="24">
        <f>'数据-取费表'!B28</f>
        <v>0</v>
      </c>
      <c r="F20" s="979"/>
      <c r="G20" s="15"/>
      <c r="H20" s="984"/>
      <c r="I20" s="984"/>
      <c r="J20" s="984"/>
      <c r="K20" s="985"/>
    </row>
    <row r="21" spans="1:33" s="978" customFormat="1" ht="13.5" customHeight="1">
      <c r="A21" s="964" t="s">
        <v>802</v>
      </c>
      <c r="B21" s="988" t="s">
        <v>2497</v>
      </c>
      <c r="C21" s="989">
        <f ca="1">C16+C17+C18</f>
        <v>55690</v>
      </c>
      <c r="D21" s="990"/>
      <c r="E21" s="325"/>
      <c r="F21" s="325"/>
      <c r="G21" s="140" t="s">
        <v>2498</v>
      </c>
      <c r="H21" s="982"/>
      <c r="I21" s="982"/>
      <c r="J21" s="982"/>
      <c r="K21" s="983"/>
    </row>
    <row r="22" spans="1:33" s="978" customFormat="1" ht="13.5" customHeight="1">
      <c r="A22" s="964" t="s">
        <v>2470</v>
      </c>
      <c r="B22" s="988" t="s">
        <v>2499</v>
      </c>
      <c r="C22" s="989">
        <f ca="1">ROUND(C21*F22,0)</f>
        <v>1114</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6797</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1493</v>
      </c>
      <c r="D25" s="324">
        <f ca="1">C26</f>
        <v>4.8899999999999999E-2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4.8899999999999999E-2</v>
      </c>
      <c r="D26" s="328"/>
      <c r="E26" s="329"/>
      <c r="F26" s="330"/>
      <c r="G26" s="2560"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2509</v>
      </c>
      <c r="C27" s="1361">
        <f ca="1">ROUND(IF('数据-取费表'!B22&lt;=1,(C21+C22+C23)*F25*'数据-取费表'!B24/2,(C21+C22+C23)*(POWER((1+F25),'数据-取费表'!B24/2)-1)),0)</f>
        <v>1493</v>
      </c>
      <c r="D27" s="328"/>
      <c r="E27" s="329"/>
      <c r="F27" s="330"/>
      <c r="G27" s="2560" t="str">
        <f>IF('数据-取费表'!B22&lt;=1,"（1）-（3）项×年利率×建设期÷2","（1）-（3）项×((1+年利率)^(建设期÷2)-1)")</f>
        <v>（1）-（3）项×((1+年利率)^(建设期÷2)-1)</v>
      </c>
      <c r="H27" s="982"/>
      <c r="I27" s="982"/>
      <c r="J27" s="982"/>
      <c r="K27" s="983"/>
    </row>
    <row r="28" spans="1:33" s="333" customFormat="1" ht="13.5" customHeight="1">
      <c r="A28" s="964" t="s">
        <v>2510</v>
      </c>
      <c r="B28" s="2561" t="s">
        <v>2511</v>
      </c>
      <c r="C28" s="331">
        <f ca="1">C30</f>
        <v>10176</v>
      </c>
      <c r="D28" s="324">
        <f ca="1">C29</f>
        <v>8.2299999999999998E-2</v>
      </c>
      <c r="E28" s="326" t="s">
        <v>15</v>
      </c>
      <c r="F28" s="332">
        <f ca="1">IF(C1="",'数据-取费表'!Q16,INDIRECT("'数据-取费表'!q"&amp;$K$1))</f>
        <v>0.16</v>
      </c>
      <c r="G28" s="992"/>
      <c r="H28" s="993"/>
      <c r="I28" s="993"/>
      <c r="J28" s="993"/>
      <c r="K28" s="994"/>
    </row>
    <row r="29" spans="1:33" s="335" customFormat="1" ht="13.5" customHeight="1">
      <c r="A29" s="974" t="s">
        <v>803</v>
      </c>
      <c r="B29" s="997" t="s">
        <v>2512</v>
      </c>
      <c r="C29" s="328">
        <f ca="1">ROUND((1+C24)*F28*'数据-取费表'!B24/'数据-取费表'!B20,4)</f>
        <v>8.2299999999999998E-2</v>
      </c>
      <c r="D29" s="328"/>
      <c r="E29" s="329"/>
      <c r="F29" s="334"/>
      <c r="G29" s="140" t="s">
        <v>2513</v>
      </c>
      <c r="H29" s="982"/>
      <c r="I29" s="982"/>
      <c r="J29" s="982"/>
      <c r="K29" s="983"/>
    </row>
    <row r="30" spans="1:33" s="335" customFormat="1" ht="13.5" customHeight="1">
      <c r="A30" s="974" t="s">
        <v>804</v>
      </c>
      <c r="B30" s="997" t="s">
        <v>2514</v>
      </c>
      <c r="C30" s="336">
        <f ca="1">ROUND((C21+C22+C23)*F28,0)</f>
        <v>10176</v>
      </c>
      <c r="D30" s="328"/>
      <c r="E30" s="329"/>
      <c r="F30" s="334"/>
      <c r="G30" s="140"/>
      <c r="H30" s="982"/>
      <c r="I30" s="982"/>
      <c r="J30" s="982"/>
      <c r="K30" s="983"/>
    </row>
    <row r="31" spans="1:33" s="978" customFormat="1" ht="13.5" customHeight="1" thickBot="1">
      <c r="A31" s="2562" t="s">
        <v>2515</v>
      </c>
      <c r="B31" s="1008" t="s">
        <v>2516</v>
      </c>
      <c r="C31" s="1009">
        <f ca="1">ROUND(C4*F31/(1+'数据-取费表'!C42),0)</f>
        <v>25036</v>
      </c>
      <c r="D31" s="1010"/>
      <c r="E31" s="1011"/>
      <c r="F31" s="1012">
        <f>'数据-取费表'!B41</f>
        <v>5.6000000000000001E-2</v>
      </c>
      <c r="G31" s="1013" t="s">
        <v>2517</v>
      </c>
      <c r="H31" s="1014"/>
      <c r="I31" s="1014"/>
      <c r="J31" s="1014"/>
      <c r="K31" s="1015"/>
    </row>
    <row r="32" spans="1:33" s="973" customFormat="1" ht="13.5" customHeight="1" thickBot="1">
      <c r="A32" s="1003" t="s">
        <v>2518</v>
      </c>
      <c r="B32" s="1004"/>
      <c r="C32" s="1005">
        <f ca="1">ROUND((C4-C21-C22-C23-C25-C28-C31)/(1+C24+D25+D28),0)</f>
        <v>318148</v>
      </c>
      <c r="D32" s="1004"/>
      <c r="E32" s="1004"/>
      <c r="F32" s="1004"/>
      <c r="G32" s="1006" t="s">
        <v>2519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L49" sqref="L49"/>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2530</v>
      </c>
      <c r="C1" s="1637" t="s">
        <v>2531</v>
      </c>
      <c r="D1" s="1624" t="s">
        <v>3117</v>
      </c>
      <c r="E1" s="2585"/>
      <c r="F1" s="2586" t="s">
        <v>2532</v>
      </c>
      <c r="G1" s="1634" t="s">
        <v>2533</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210348</v>
      </c>
      <c r="C2" s="2588" t="s">
        <v>70</v>
      </c>
      <c r="D2" s="1368" t="e">
        <f ca="1">SUMIF(INDIRECT("'"&amp;F2&amp;"'"&amp;"!A:A"),"承租人权益价值",INDIRECT("'"&amp;F2&amp;"'"&amp;"!c:c"))</f>
        <v>#REF!</v>
      </c>
      <c r="E2" s="2589" t="s">
        <v>2332</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f>IF(C2="——",C49,ROUND(B2*10000/D3,0))</f>
        <v>40290</v>
      </c>
      <c r="C3" s="400" t="s">
        <v>2535</v>
      </c>
      <c r="D3" s="399">
        <f>IF(D1="",'数据-汇总表'!E3,SUMIF('数据-汇总表'!$C19:$C33,D1,'数据-汇总表'!$E19:$E33))</f>
        <v>52208.590000000004</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2536</v>
      </c>
      <c r="B4" s="402"/>
      <c r="C4" s="3192" t="s">
        <v>2537</v>
      </c>
      <c r="D4" s="3193"/>
      <c r="E4" s="3194" t="s">
        <v>2538</v>
      </c>
      <c r="F4" s="3195"/>
      <c r="G4" s="3192" t="s">
        <v>2539</v>
      </c>
      <c r="H4" s="3193"/>
      <c r="I4" s="3192" t="s">
        <v>2540</v>
      </c>
      <c r="J4" s="3193"/>
      <c r="K4" s="2598" t="s">
        <v>2541</v>
      </c>
      <c r="L4" s="1133"/>
      <c r="M4" s="1134"/>
      <c r="N4" s="1134"/>
      <c r="O4" s="1134"/>
      <c r="P4" s="3196" t="s">
        <v>2542</v>
      </c>
      <c r="Q4" s="3197"/>
      <c r="R4" s="3179" t="s">
        <v>2538</v>
      </c>
      <c r="S4" s="3180"/>
      <c r="T4" s="3179" t="s">
        <v>2539</v>
      </c>
      <c r="U4" s="3180"/>
      <c r="V4" s="3204" t="s">
        <v>2540</v>
      </c>
      <c r="W4" s="3204"/>
      <c r="X4" s="2970"/>
      <c r="Y4" s="3179" t="s">
        <v>2542</v>
      </c>
      <c r="Z4" s="3180"/>
      <c r="AA4" s="3174" t="s">
        <v>2538</v>
      </c>
      <c r="AB4" s="3174" t="s">
        <v>2539</v>
      </c>
      <c r="AC4" s="3174" t="s">
        <v>2540</v>
      </c>
    </row>
    <row r="5" spans="1:29" ht="15">
      <c r="A5" s="404"/>
      <c r="B5" s="405"/>
      <c r="C5" s="3185" t="s">
        <v>2543</v>
      </c>
      <c r="D5" s="3186"/>
      <c r="E5" s="3225" t="s">
        <v>3273</v>
      </c>
      <c r="F5" s="3184"/>
      <c r="G5" s="3185" t="s">
        <v>3236</v>
      </c>
      <c r="H5" s="3186"/>
      <c r="I5" s="3226" t="s">
        <v>3278</v>
      </c>
      <c r="J5" s="3186"/>
      <c r="K5" s="2599"/>
      <c r="L5" s="1133"/>
      <c r="M5" s="1134"/>
      <c r="N5" s="1134"/>
      <c r="O5" s="1134"/>
      <c r="P5" s="3198"/>
      <c r="Q5" s="3199"/>
      <c r="R5" s="3181"/>
      <c r="S5" s="3182"/>
      <c r="T5" s="3181"/>
      <c r="U5" s="3182"/>
      <c r="V5" s="3204"/>
      <c r="W5" s="3204"/>
      <c r="X5" s="2970"/>
      <c r="Y5" s="3181"/>
      <c r="Z5" s="3182"/>
      <c r="AA5" s="3175"/>
      <c r="AB5" s="3175"/>
      <c r="AC5" s="3175"/>
    </row>
    <row r="6" spans="1:29" ht="15.75" thickBot="1">
      <c r="A6" s="406"/>
      <c r="B6" s="407"/>
      <c r="C6" s="3187" t="s">
        <v>2547</v>
      </c>
      <c r="D6" s="3188"/>
      <c r="E6" s="3189" t="s">
        <v>3275</v>
      </c>
      <c r="F6" s="3190"/>
      <c r="G6" s="3187" t="s">
        <v>3274</v>
      </c>
      <c r="H6" s="3188"/>
      <c r="I6" s="3187" t="s">
        <v>3279</v>
      </c>
      <c r="J6" s="3188"/>
      <c r="K6" s="2599" t="s">
        <v>2548</v>
      </c>
      <c r="L6" s="1133"/>
      <c r="M6" s="1134"/>
      <c r="N6" s="1134"/>
      <c r="O6" s="1134"/>
      <c r="P6" s="3200"/>
      <c r="Q6" s="3201"/>
      <c r="R6" s="3181"/>
      <c r="S6" s="3182"/>
      <c r="T6" s="3202"/>
      <c r="U6" s="3203"/>
      <c r="V6" s="3204"/>
      <c r="W6" s="3204"/>
      <c r="X6" s="2970"/>
      <c r="Y6" s="3202"/>
      <c r="Z6" s="3203"/>
      <c r="AA6" s="3176"/>
      <c r="AB6" s="3176"/>
      <c r="AC6" s="3176"/>
    </row>
    <row r="7" spans="1:29" s="117" customFormat="1" ht="15.75" thickBot="1">
      <c r="A7" s="408" t="s">
        <v>2549</v>
      </c>
      <c r="B7" s="409"/>
      <c r="C7" s="410">
        <f>'数据-取费表'!B2</f>
        <v>43202</v>
      </c>
      <c r="D7" s="411">
        <v>100</v>
      </c>
      <c r="E7" s="412">
        <f>C7</f>
        <v>43202</v>
      </c>
      <c r="F7" s="413">
        <f>SUMIF(58:58,YEAR(E7)&amp;"-"&amp;MONTH(E7),59:59)</f>
        <v>100</v>
      </c>
      <c r="G7" s="412">
        <f>C7</f>
        <v>43202</v>
      </c>
      <c r="H7" s="411">
        <f>SUMIF(58:58,YEAR(G7)&amp;"-"&amp;MONTH(G7),59:59)</f>
        <v>100</v>
      </c>
      <c r="I7" s="412">
        <f>C7</f>
        <v>43202</v>
      </c>
      <c r="J7" s="411">
        <f>SUMIF(58:58,YEAR(I7)&amp;"-"&amp;MONTH(I7),59:59)</f>
        <v>100</v>
      </c>
      <c r="K7" s="2600"/>
      <c r="L7" s="1135"/>
      <c r="M7" s="1136"/>
      <c r="N7" s="1136"/>
      <c r="O7" s="1136"/>
      <c r="P7" s="3177" t="s">
        <v>2550</v>
      </c>
      <c r="Q7" s="3205"/>
      <c r="R7" s="770" t="s">
        <v>23</v>
      </c>
      <c r="S7" s="771">
        <f t="shared" ref="S7:S15" si="0">F7</f>
        <v>100</v>
      </c>
      <c r="T7" s="770" t="s">
        <v>23</v>
      </c>
      <c r="U7" s="771">
        <f t="shared" ref="U7:U15" si="1">H7</f>
        <v>100</v>
      </c>
      <c r="V7" s="770" t="s">
        <v>23</v>
      </c>
      <c r="W7" s="771">
        <f t="shared" ref="W7:W15" si="2">J7</f>
        <v>100</v>
      </c>
      <c r="X7" s="772"/>
      <c r="Y7" s="3177" t="s">
        <v>2550</v>
      </c>
      <c r="Z7" s="3178"/>
      <c r="AA7" s="773">
        <f>D7/F7</f>
        <v>1</v>
      </c>
      <c r="AB7" s="773">
        <f>D7/H7</f>
        <v>1</v>
      </c>
      <c r="AC7" s="773">
        <f>D7/J7</f>
        <v>1</v>
      </c>
    </row>
    <row r="8" spans="1:29" s="117" customFormat="1" ht="15.75" thickBot="1">
      <c r="A8" s="408" t="s">
        <v>2551</v>
      </c>
      <c r="B8" s="409"/>
      <c r="C8" s="414" t="s">
        <v>2552</v>
      </c>
      <c r="D8" s="411">
        <v>100</v>
      </c>
      <c r="E8" s="2601" t="s">
        <v>3063</v>
      </c>
      <c r="F8" s="413">
        <f>SUMIF(61:61,E8,62:62)-SUMIF(61:61,C8,62:62)+100</f>
        <v>100</v>
      </c>
      <c r="G8" s="414" t="s">
        <v>3063</v>
      </c>
      <c r="H8" s="411">
        <f>SUMIF(61:61,G8,62:62)-SUMIF(61:61,C8,62:62)+100</f>
        <v>100</v>
      </c>
      <c r="I8" s="2601" t="s">
        <v>3063</v>
      </c>
      <c r="J8" s="411">
        <f>SUMIF(61:61,I8,62:62)-SUMIF(61:61,C8,62:62)+100</f>
        <v>100</v>
      </c>
      <c r="K8" s="2600"/>
      <c r="L8" s="1135"/>
      <c r="M8" s="1136"/>
      <c r="N8" s="1136"/>
      <c r="O8" s="1136"/>
      <c r="P8" s="3177" t="s">
        <v>2553</v>
      </c>
      <c r="Q8" s="3178"/>
      <c r="R8" s="770" t="s">
        <v>23</v>
      </c>
      <c r="S8" s="771">
        <f t="shared" si="0"/>
        <v>100</v>
      </c>
      <c r="T8" s="770" t="s">
        <v>23</v>
      </c>
      <c r="U8" s="771">
        <f t="shared" si="1"/>
        <v>100</v>
      </c>
      <c r="V8" s="770" t="s">
        <v>23</v>
      </c>
      <c r="W8" s="771">
        <f t="shared" si="2"/>
        <v>100</v>
      </c>
      <c r="X8" s="772"/>
      <c r="Y8" s="3177" t="s">
        <v>2553</v>
      </c>
      <c r="Z8" s="3178"/>
      <c r="AA8" s="773">
        <f t="shared" ref="AA8:AA19" si="3">D8/F8</f>
        <v>1</v>
      </c>
      <c r="AB8" s="773">
        <f t="shared" ref="AB8:AB19" si="4">D8/H8</f>
        <v>1</v>
      </c>
      <c r="AC8" s="773">
        <f t="shared" ref="AC8:AC19" si="5">D8/J8</f>
        <v>1</v>
      </c>
    </row>
    <row r="9" spans="1:29" s="117" customFormat="1">
      <c r="A9" s="415" t="s">
        <v>2554</v>
      </c>
      <c r="B9" s="71" t="s">
        <v>2555</v>
      </c>
      <c r="C9" s="2979" t="s">
        <v>3249</v>
      </c>
      <c r="D9" s="135">
        <v>100</v>
      </c>
      <c r="E9" s="417" t="s">
        <v>3086</v>
      </c>
      <c r="F9" s="418">
        <f>SUMIF(63:63,E9,64:64)-SUMIF(63:63,C9,64:64)+100</f>
        <v>100</v>
      </c>
      <c r="G9" s="419" t="s">
        <v>3086</v>
      </c>
      <c r="H9" s="135">
        <f>SUMIF(63:63,G9,64:64)-SUMIF(63:63,C9,64:64)+100</f>
        <v>100</v>
      </c>
      <c r="I9" s="419" t="s">
        <v>3086</v>
      </c>
      <c r="J9" s="135">
        <f>SUMIF(63:63,I9,64:64)-SUMIF(63:63,C9,64:64)+100</f>
        <v>100</v>
      </c>
      <c r="K9" s="2600"/>
      <c r="L9" s="1135"/>
      <c r="M9" s="1136"/>
      <c r="N9" s="1136"/>
      <c r="O9" s="1136"/>
      <c r="P9" s="3215" t="s">
        <v>2556</v>
      </c>
      <c r="Q9" s="2958" t="str">
        <f t="shared" ref="Q9:Q15" si="6">B9</f>
        <v>用途</v>
      </c>
      <c r="R9" s="770" t="s">
        <v>17</v>
      </c>
      <c r="S9" s="771">
        <f t="shared" si="0"/>
        <v>100</v>
      </c>
      <c r="T9" s="770" t="s">
        <v>17</v>
      </c>
      <c r="U9" s="771">
        <f t="shared" si="1"/>
        <v>100</v>
      </c>
      <c r="V9" s="770" t="s">
        <v>17</v>
      </c>
      <c r="W9" s="771">
        <f t="shared" si="2"/>
        <v>100</v>
      </c>
      <c r="X9" s="772"/>
      <c r="Y9" s="3051" t="s">
        <v>2557</v>
      </c>
      <c r="Z9" s="2959" t="str">
        <f t="shared" ref="Z9:Z15" si="7">Q9</f>
        <v>用途</v>
      </c>
      <c r="AA9" s="773">
        <f t="shared" si="3"/>
        <v>1</v>
      </c>
      <c r="AB9" s="773">
        <f t="shared" si="4"/>
        <v>1</v>
      </c>
      <c r="AC9" s="773">
        <f t="shared" si="5"/>
        <v>1</v>
      </c>
    </row>
    <row r="10" spans="1:29" s="427" customFormat="1" ht="27">
      <c r="A10" s="421"/>
      <c r="B10" s="2967" t="s">
        <v>2558</v>
      </c>
      <c r="C10" s="423" t="s">
        <v>3250</v>
      </c>
      <c r="D10" s="136">
        <v>100</v>
      </c>
      <c r="E10" s="424" t="s">
        <v>3250</v>
      </c>
      <c r="F10" s="425">
        <f>SUMIF(65:65,E10,66:66)-SUMIF(65:65,C10,66:66)+100</f>
        <v>100</v>
      </c>
      <c r="G10" s="423" t="s">
        <v>3250</v>
      </c>
      <c r="H10" s="136">
        <f>SUMIF(65:65,G10,66:66)-SUMIF(65:65,C10,66:66)+100</f>
        <v>100</v>
      </c>
      <c r="I10" s="423" t="s">
        <v>3250</v>
      </c>
      <c r="J10" s="136">
        <f>SUMIF(65:65,I10,66:66)-SUMIF(65:65,C10,66:66)+100</f>
        <v>100</v>
      </c>
      <c r="K10" s="426">
        <v>1</v>
      </c>
      <c r="L10" s="1138"/>
      <c r="M10" s="1139"/>
      <c r="N10" s="1139"/>
      <c r="O10" s="1139"/>
      <c r="P10" s="3215"/>
      <c r="Q10" s="2958" t="str">
        <f t="shared" si="6"/>
        <v>土地使用年限（年）</v>
      </c>
      <c r="R10" s="770" t="s">
        <v>17</v>
      </c>
      <c r="S10" s="771">
        <f t="shared" si="0"/>
        <v>100</v>
      </c>
      <c r="T10" s="770" t="s">
        <v>17</v>
      </c>
      <c r="U10" s="771">
        <f t="shared" si="1"/>
        <v>100</v>
      </c>
      <c r="V10" s="770" t="s">
        <v>17</v>
      </c>
      <c r="W10" s="771">
        <f t="shared" si="2"/>
        <v>100</v>
      </c>
      <c r="X10" s="772"/>
      <c r="Y10" s="3051"/>
      <c r="Z10" s="2959" t="str">
        <f t="shared" si="7"/>
        <v>土地使用年限（年）</v>
      </c>
      <c r="AA10" s="773">
        <f t="shared" si="3"/>
        <v>1</v>
      </c>
      <c r="AB10" s="773">
        <f t="shared" si="4"/>
        <v>1</v>
      </c>
      <c r="AC10" s="773">
        <f t="shared" si="5"/>
        <v>1</v>
      </c>
    </row>
    <row r="11" spans="1:29" ht="15.75" thickBot="1">
      <c r="A11" s="428"/>
      <c r="B11" s="2967" t="s">
        <v>2559</v>
      </c>
      <c r="C11" s="429">
        <v>1.5</v>
      </c>
      <c r="D11" s="136">
        <v>100</v>
      </c>
      <c r="E11" s="430">
        <v>1.1000000000000001</v>
      </c>
      <c r="F11" s="425">
        <f>LOOKUP(E11,68:68,69:69)-LOOKUP(C11,68:68,69:69)+100</f>
        <v>100</v>
      </c>
      <c r="G11" s="429">
        <v>1.8</v>
      </c>
      <c r="H11" s="136">
        <f>LOOKUP(G11,68:68,69:69)-LOOKUP(C11,68:68,69:69)+100</f>
        <v>100</v>
      </c>
      <c r="I11" s="429">
        <v>1.2</v>
      </c>
      <c r="J11" s="136">
        <f>LOOKUP(I11,68:68,69:69)-LOOKUP(C11,68:68,69:69)+100</f>
        <v>100</v>
      </c>
      <c r="K11" s="426">
        <v>2</v>
      </c>
      <c r="L11" s="1141"/>
      <c r="M11" s="1134"/>
      <c r="N11" s="1134"/>
      <c r="O11" s="1134"/>
      <c r="P11" s="3215"/>
      <c r="Q11" s="2958" t="str">
        <f t="shared" si="6"/>
        <v>容积率</v>
      </c>
      <c r="R11" s="770" t="s">
        <v>21</v>
      </c>
      <c r="S11" s="771">
        <f t="shared" si="0"/>
        <v>100</v>
      </c>
      <c r="T11" s="770" t="s">
        <v>21</v>
      </c>
      <c r="U11" s="771">
        <f t="shared" si="1"/>
        <v>100</v>
      </c>
      <c r="V11" s="770" t="s">
        <v>21</v>
      </c>
      <c r="W11" s="771">
        <f t="shared" si="2"/>
        <v>100</v>
      </c>
      <c r="X11" s="772"/>
      <c r="Y11" s="3051"/>
      <c r="Z11" s="2959" t="str">
        <f t="shared" si="7"/>
        <v>容积率</v>
      </c>
      <c r="AA11" s="773">
        <f t="shared" si="3"/>
        <v>1</v>
      </c>
      <c r="AB11" s="773">
        <f t="shared" si="4"/>
        <v>1</v>
      </c>
      <c r="AC11" s="773">
        <f t="shared" si="5"/>
        <v>1</v>
      </c>
    </row>
    <row r="12" spans="1:29" s="117" customFormat="1" ht="15.75" hidden="1" thickBot="1">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15"/>
      <c r="Q12" s="2958">
        <f t="shared" si="6"/>
        <v>111</v>
      </c>
      <c r="R12" s="770" t="s">
        <v>21</v>
      </c>
      <c r="S12" s="771">
        <f t="shared" si="0"/>
        <v>100</v>
      </c>
      <c r="T12" s="770" t="s">
        <v>21</v>
      </c>
      <c r="U12" s="771">
        <f t="shared" si="1"/>
        <v>100</v>
      </c>
      <c r="V12" s="770" t="s">
        <v>21</v>
      </c>
      <c r="W12" s="771">
        <f t="shared" si="2"/>
        <v>100</v>
      </c>
      <c r="X12" s="772"/>
      <c r="Y12" s="3051"/>
      <c r="Z12" s="2959">
        <f t="shared" si="7"/>
        <v>111</v>
      </c>
      <c r="AA12" s="773">
        <f>D12/F12</f>
        <v>1</v>
      </c>
      <c r="AB12" s="773">
        <f>D12/H12</f>
        <v>1</v>
      </c>
      <c r="AC12" s="773">
        <f>D12/J12</f>
        <v>1</v>
      </c>
    </row>
    <row r="13" spans="1:29" ht="15.75" hidden="1" thickBot="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15"/>
      <c r="Q13" s="2958">
        <f t="shared" si="6"/>
        <v>111</v>
      </c>
      <c r="R13" s="770" t="s">
        <v>21</v>
      </c>
      <c r="S13" s="771">
        <f t="shared" si="0"/>
        <v>100</v>
      </c>
      <c r="T13" s="770" t="s">
        <v>21</v>
      </c>
      <c r="U13" s="771">
        <f t="shared" si="1"/>
        <v>100</v>
      </c>
      <c r="V13" s="770" t="s">
        <v>21</v>
      </c>
      <c r="W13" s="771">
        <f t="shared" si="2"/>
        <v>100</v>
      </c>
      <c r="X13" s="772"/>
      <c r="Y13" s="3051"/>
      <c r="Z13" s="2959">
        <f t="shared" si="7"/>
        <v>111</v>
      </c>
      <c r="AA13" s="773">
        <f t="shared" si="3"/>
        <v>1</v>
      </c>
      <c r="AB13" s="773">
        <f t="shared" si="4"/>
        <v>1</v>
      </c>
      <c r="AC13" s="773">
        <f t="shared" si="5"/>
        <v>1</v>
      </c>
    </row>
    <row r="14" spans="1:29" ht="15.75" hidden="1"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15"/>
      <c r="Q14" s="2958">
        <f t="shared" si="6"/>
        <v>111</v>
      </c>
      <c r="R14" s="770" t="s">
        <v>21</v>
      </c>
      <c r="S14" s="771">
        <f t="shared" si="0"/>
        <v>100</v>
      </c>
      <c r="T14" s="770" t="s">
        <v>21</v>
      </c>
      <c r="U14" s="771">
        <f t="shared" si="1"/>
        <v>100</v>
      </c>
      <c r="V14" s="770" t="s">
        <v>21</v>
      </c>
      <c r="W14" s="771">
        <f t="shared" si="2"/>
        <v>100</v>
      </c>
      <c r="X14" s="772"/>
      <c r="Y14" s="3051"/>
      <c r="Z14" s="2959">
        <f t="shared" si="7"/>
        <v>111</v>
      </c>
      <c r="AA14" s="773">
        <f t="shared" si="3"/>
        <v>1</v>
      </c>
      <c r="AB14" s="773">
        <f t="shared" si="4"/>
        <v>1</v>
      </c>
      <c r="AC14" s="773">
        <f t="shared" si="5"/>
        <v>1</v>
      </c>
    </row>
    <row r="15" spans="1:29" ht="40.5" customHeight="1">
      <c r="A15" s="440" t="s">
        <v>2560</v>
      </c>
      <c r="B15" s="69" t="s">
        <v>2087</v>
      </c>
      <c r="C15" s="2605" t="str">
        <f>估价对象房地状况!C3</f>
        <v>估价对象周边居住用地比例、居住小区规模和社区发展完善程度，综合评价居住社区成熟度一般</v>
      </c>
      <c r="D15" s="441">
        <v>100</v>
      </c>
      <c r="E15" s="444"/>
      <c r="F15" s="441">
        <f>SUMIF(76:76,E16,77:77)-SUMIF(76:76,C16,77:77)+100</f>
        <v>104</v>
      </c>
      <c r="G15" s="442"/>
      <c r="H15" s="441">
        <f>SUMIF(76:76,G16,77:77)-SUMIF(76:76,C16,77:77)+100</f>
        <v>102</v>
      </c>
      <c r="I15" s="442"/>
      <c r="J15" s="441">
        <f>SUMIF(76:76,I16,77:77)-SUMIF(76:76,C16,77:77)+100</f>
        <v>104</v>
      </c>
      <c r="K15" s="445">
        <v>2</v>
      </c>
      <c r="L15" s="1143"/>
      <c r="M15" s="1134"/>
      <c r="N15" s="1134"/>
      <c r="O15" s="1134"/>
      <c r="P15" s="3219" t="s">
        <v>2561</v>
      </c>
      <c r="Q15" s="2971" t="str">
        <f t="shared" si="6"/>
        <v>居住社区成熟度</v>
      </c>
      <c r="R15" s="774" t="s">
        <v>21</v>
      </c>
      <c r="S15" s="775">
        <f t="shared" si="0"/>
        <v>104</v>
      </c>
      <c r="T15" s="774" t="s">
        <v>21</v>
      </c>
      <c r="U15" s="775">
        <f t="shared" si="1"/>
        <v>102</v>
      </c>
      <c r="V15" s="774" t="s">
        <v>21</v>
      </c>
      <c r="W15" s="775">
        <f t="shared" si="2"/>
        <v>104</v>
      </c>
      <c r="X15" s="2970"/>
      <c r="Y15" s="3206" t="s">
        <v>2561</v>
      </c>
      <c r="Z15" s="2972" t="str">
        <f t="shared" si="7"/>
        <v>居住社区成熟度</v>
      </c>
      <c r="AA15" s="2973">
        <f t="shared" si="3"/>
        <v>0.96153846153846156</v>
      </c>
      <c r="AB15" s="2973">
        <f t="shared" si="4"/>
        <v>0.98039215686274506</v>
      </c>
      <c r="AC15" s="2973">
        <f t="shared" si="5"/>
        <v>0.96153846153846156</v>
      </c>
    </row>
    <row r="16" spans="1:29" ht="15">
      <c r="A16" s="428"/>
      <c r="B16" s="446"/>
      <c r="C16" s="447" t="s">
        <v>3100</v>
      </c>
      <c r="D16" s="448"/>
      <c r="E16" s="2606" t="s">
        <v>3065</v>
      </c>
      <c r="F16" s="448"/>
      <c r="G16" s="2607" t="s">
        <v>3064</v>
      </c>
      <c r="H16" s="450"/>
      <c r="I16" s="2607" t="s">
        <v>3065</v>
      </c>
      <c r="J16" s="448"/>
      <c r="K16" s="2608"/>
      <c r="L16" s="1143"/>
      <c r="M16" s="1134"/>
      <c r="N16" s="1134"/>
      <c r="O16" s="1134"/>
      <c r="P16" s="3220"/>
      <c r="Q16" s="2971"/>
      <c r="R16" s="774"/>
      <c r="S16" s="775"/>
      <c r="T16" s="774"/>
      <c r="U16" s="775"/>
      <c r="V16" s="774"/>
      <c r="W16" s="775"/>
      <c r="X16" s="2970"/>
      <c r="Y16" s="3207"/>
      <c r="Z16" s="2972"/>
      <c r="AA16" s="2973">
        <v>1</v>
      </c>
      <c r="AB16" s="2973">
        <v>1</v>
      </c>
      <c r="AC16" s="2973">
        <v>1</v>
      </c>
    </row>
    <row r="17" spans="1:29" ht="37.5" customHeight="1">
      <c r="A17" s="428"/>
      <c r="B17" s="451" t="s">
        <v>2099</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220"/>
      <c r="Q17" s="2971" t="str">
        <f>B17</f>
        <v>交通便捷度</v>
      </c>
      <c r="R17" s="774" t="s">
        <v>21</v>
      </c>
      <c r="S17" s="775">
        <f>F17</f>
        <v>100</v>
      </c>
      <c r="T17" s="774" t="s">
        <v>21</v>
      </c>
      <c r="U17" s="775">
        <f>H17</f>
        <v>100</v>
      </c>
      <c r="V17" s="774" t="s">
        <v>21</v>
      </c>
      <c r="W17" s="775">
        <f>J17</f>
        <v>100</v>
      </c>
      <c r="X17" s="2970"/>
      <c r="Y17" s="3207"/>
      <c r="Z17" s="2972" t="str">
        <f>Q17</f>
        <v>交通便捷度</v>
      </c>
      <c r="AA17" s="2973">
        <f t="shared" si="3"/>
        <v>1</v>
      </c>
      <c r="AB17" s="2973">
        <f t="shared" si="4"/>
        <v>1</v>
      </c>
      <c r="AC17" s="2973">
        <f t="shared" si="5"/>
        <v>1</v>
      </c>
    </row>
    <row r="18" spans="1:29" ht="15">
      <c r="A18" s="428"/>
      <c r="B18" s="456"/>
      <c r="C18" s="2610" t="s">
        <v>3064</v>
      </c>
      <c r="D18" s="450"/>
      <c r="E18" s="2611" t="s">
        <v>3064</v>
      </c>
      <c r="F18" s="450"/>
      <c r="G18" s="2612" t="s">
        <v>3064</v>
      </c>
      <c r="H18" s="448"/>
      <c r="I18" s="2612" t="s">
        <v>3064</v>
      </c>
      <c r="J18" s="448"/>
      <c r="K18" s="2608"/>
      <c r="L18" s="1143"/>
      <c r="M18" s="1134"/>
      <c r="N18" s="1134"/>
      <c r="O18" s="1134"/>
      <c r="P18" s="3220"/>
      <c r="Q18" s="2971"/>
      <c r="R18" s="774"/>
      <c r="S18" s="775"/>
      <c r="T18" s="774"/>
      <c r="U18" s="775"/>
      <c r="V18" s="774"/>
      <c r="W18" s="775"/>
      <c r="X18" s="2970"/>
      <c r="Y18" s="3207"/>
      <c r="Z18" s="2972"/>
      <c r="AA18" s="2973">
        <v>1</v>
      </c>
      <c r="AB18" s="2973">
        <v>1</v>
      </c>
      <c r="AC18" s="2973">
        <v>1</v>
      </c>
    </row>
    <row r="19" spans="1:29" ht="27.75" customHeight="1">
      <c r="A19" s="428"/>
      <c r="B19" s="451" t="s">
        <v>2097</v>
      </c>
      <c r="C19" s="2609" t="str">
        <f>估价对象房地状况!C7</f>
        <v>估价对象所在区域公共配套设施齐备情况</v>
      </c>
      <c r="D19" s="455">
        <v>100</v>
      </c>
      <c r="E19" s="459"/>
      <c r="F19" s="455">
        <f>SUMIF(80:80,E20,81:81)-SUMIF(80:80,C20,81:81)+100</f>
        <v>100</v>
      </c>
      <c r="G19" s="457"/>
      <c r="H19" s="450">
        <f>SUMIF(80:80,G20,81:81)-SUMIF(80:80,C20,81:81)+100</f>
        <v>98</v>
      </c>
      <c r="I19" s="457"/>
      <c r="J19" s="450">
        <f>SUMIF(80:80,I20,81:81)-SUMIF(80:80,C20,81:81)+100</f>
        <v>102</v>
      </c>
      <c r="K19" s="445">
        <v>2</v>
      </c>
      <c r="L19" s="1143"/>
      <c r="M19" s="1134"/>
      <c r="N19" s="1134"/>
      <c r="O19" s="1134"/>
      <c r="P19" s="3220"/>
      <c r="Q19" s="2971" t="str">
        <f>B19</f>
        <v>公共配套设施</v>
      </c>
      <c r="R19" s="774" t="s">
        <v>21</v>
      </c>
      <c r="S19" s="775">
        <f>F19</f>
        <v>100</v>
      </c>
      <c r="T19" s="774" t="s">
        <v>21</v>
      </c>
      <c r="U19" s="775">
        <f>H19</f>
        <v>98</v>
      </c>
      <c r="V19" s="774" t="s">
        <v>21</v>
      </c>
      <c r="W19" s="775">
        <f>J19</f>
        <v>102</v>
      </c>
      <c r="X19" s="2970"/>
      <c r="Y19" s="3207"/>
      <c r="Z19" s="2972" t="str">
        <f>Q19</f>
        <v>公共配套设施</v>
      </c>
      <c r="AA19" s="2973">
        <f t="shared" si="3"/>
        <v>1</v>
      </c>
      <c r="AB19" s="2973">
        <f t="shared" si="4"/>
        <v>1.0204081632653061</v>
      </c>
      <c r="AC19" s="2973">
        <f t="shared" si="5"/>
        <v>0.98039215686274506</v>
      </c>
    </row>
    <row r="20" spans="1:29" ht="15">
      <c r="A20" s="428"/>
      <c r="B20" s="456"/>
      <c r="C20" s="447" t="s">
        <v>3064</v>
      </c>
      <c r="D20" s="448"/>
      <c r="E20" s="2606" t="s">
        <v>3064</v>
      </c>
      <c r="F20" s="448"/>
      <c r="G20" s="2607" t="s">
        <v>3100</v>
      </c>
      <c r="H20" s="448"/>
      <c r="I20" s="2607" t="s">
        <v>3065</v>
      </c>
      <c r="J20" s="448"/>
      <c r="K20" s="2608"/>
      <c r="L20" s="1143"/>
      <c r="M20" s="1134"/>
      <c r="N20" s="1134"/>
      <c r="O20" s="1134"/>
      <c r="P20" s="3220"/>
      <c r="Q20" s="2971"/>
      <c r="R20" s="774"/>
      <c r="S20" s="775"/>
      <c r="T20" s="774"/>
      <c r="U20" s="775"/>
      <c r="V20" s="774"/>
      <c r="W20" s="775"/>
      <c r="X20" s="2970"/>
      <c r="Y20" s="3207"/>
      <c r="Z20" s="2972"/>
      <c r="AA20" s="2973">
        <v>1</v>
      </c>
      <c r="AB20" s="2973">
        <v>1</v>
      </c>
      <c r="AC20" s="2973">
        <v>1</v>
      </c>
    </row>
    <row r="21" spans="1:29" ht="28.5">
      <c r="A21" s="428"/>
      <c r="B21" s="1387" t="s">
        <v>2100</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0"/>
      <c r="Q21" s="2971" t="str">
        <f>B21</f>
        <v>基础设施水平</v>
      </c>
      <c r="R21" s="774" t="s">
        <v>17</v>
      </c>
      <c r="S21" s="775">
        <f>F21</f>
        <v>100</v>
      </c>
      <c r="T21" s="774" t="s">
        <v>17</v>
      </c>
      <c r="U21" s="775">
        <f>H21</f>
        <v>100</v>
      </c>
      <c r="V21" s="774" t="s">
        <v>17</v>
      </c>
      <c r="W21" s="775">
        <f>J21</f>
        <v>100</v>
      </c>
      <c r="X21" s="2970"/>
      <c r="Y21" s="3207"/>
      <c r="Z21" s="2972" t="str">
        <f>Q21</f>
        <v>基础设施水平</v>
      </c>
      <c r="AA21" s="2973">
        <f t="shared" ref="AA21" si="8">D21/F21</f>
        <v>1</v>
      </c>
      <c r="AB21" s="2973">
        <f t="shared" ref="AB21" si="9">D21/H21</f>
        <v>1</v>
      </c>
      <c r="AC21" s="2973">
        <f t="shared" ref="AC21" si="10">D21/J21</f>
        <v>1</v>
      </c>
    </row>
    <row r="22" spans="1:29" ht="15">
      <c r="A22" s="428"/>
      <c r="B22" s="1387"/>
      <c r="C22" s="2610" t="s">
        <v>3244</v>
      </c>
      <c r="D22" s="448"/>
      <c r="E22" s="447" t="s">
        <v>3244</v>
      </c>
      <c r="F22" s="448"/>
      <c r="G22" s="2613" t="s">
        <v>3244</v>
      </c>
      <c r="H22" s="448"/>
      <c r="I22" s="447" t="s">
        <v>3244</v>
      </c>
      <c r="J22" s="448"/>
      <c r="K22" s="2614"/>
      <c r="L22" s="1143"/>
      <c r="M22" s="1134"/>
      <c r="N22" s="1134"/>
      <c r="O22" s="1134"/>
      <c r="P22" s="3220"/>
      <c r="Q22" s="2971"/>
      <c r="R22" s="774"/>
      <c r="S22" s="775"/>
      <c r="T22" s="774"/>
      <c r="U22" s="775"/>
      <c r="V22" s="774"/>
      <c r="W22" s="775"/>
      <c r="X22" s="2970"/>
      <c r="Y22" s="3207"/>
      <c r="Z22" s="2972"/>
      <c r="AA22" s="2973">
        <v>1</v>
      </c>
      <c r="AB22" s="2973">
        <v>1</v>
      </c>
      <c r="AC22" s="2973">
        <v>1</v>
      </c>
    </row>
    <row r="23" spans="1:29" ht="27.75" customHeight="1">
      <c r="A23" s="428"/>
      <c r="B23" s="451" t="s">
        <v>2104</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0"/>
      <c r="Q23" s="2971" t="str">
        <f>B23</f>
        <v>自然及人文环境</v>
      </c>
      <c r="R23" s="774" t="s">
        <v>21</v>
      </c>
      <c r="S23" s="775">
        <f>F23</f>
        <v>100</v>
      </c>
      <c r="T23" s="774" t="s">
        <v>21</v>
      </c>
      <c r="U23" s="775">
        <f>H23</f>
        <v>100</v>
      </c>
      <c r="V23" s="774" t="s">
        <v>21</v>
      </c>
      <c r="W23" s="775">
        <f>J23</f>
        <v>100</v>
      </c>
      <c r="X23" s="2970"/>
      <c r="Y23" s="3207"/>
      <c r="Z23" s="2972" t="str">
        <f>Q23</f>
        <v>自然及人文环境</v>
      </c>
      <c r="AA23" s="2973">
        <f>D23/F23</f>
        <v>1</v>
      </c>
      <c r="AB23" s="2973">
        <f>D23/H23</f>
        <v>1</v>
      </c>
      <c r="AC23" s="2973">
        <f>D23/J23</f>
        <v>1</v>
      </c>
    </row>
    <row r="24" spans="1:29" ht="15.75" thickBot="1">
      <c r="A24" s="428"/>
      <c r="B24" s="456"/>
      <c r="C24" s="447" t="s">
        <v>3065</v>
      </c>
      <c r="D24" s="448"/>
      <c r="E24" s="2606" t="s">
        <v>3065</v>
      </c>
      <c r="F24" s="448"/>
      <c r="G24" s="2607" t="s">
        <v>3064</v>
      </c>
      <c r="H24" s="448"/>
      <c r="I24" s="2607" t="s">
        <v>3064</v>
      </c>
      <c r="J24" s="448"/>
      <c r="K24" s="2608"/>
      <c r="L24" s="1143"/>
      <c r="M24" s="1134"/>
      <c r="N24" s="1134"/>
      <c r="O24" s="1134"/>
      <c r="P24" s="3220"/>
      <c r="Q24" s="2971"/>
      <c r="R24" s="774"/>
      <c r="S24" s="775"/>
      <c r="T24" s="774"/>
      <c r="U24" s="775"/>
      <c r="V24" s="774"/>
      <c r="W24" s="775"/>
      <c r="X24" s="2970"/>
      <c r="Y24" s="3207"/>
      <c r="Z24" s="2972"/>
      <c r="AA24" s="2973">
        <v>1</v>
      </c>
      <c r="AB24" s="2973">
        <v>1</v>
      </c>
      <c r="AC24" s="2973">
        <v>1</v>
      </c>
    </row>
    <row r="25" spans="1:29" ht="15.75" hidden="1" thickBot="1">
      <c r="A25" s="428"/>
      <c r="B25" s="2967"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20"/>
      <c r="Q25" s="2971" t="str">
        <f t="shared" ref="Q25:Q46" si="11">B25</f>
        <v>楼层-1</v>
      </c>
      <c r="R25" s="774" t="s">
        <v>21</v>
      </c>
      <c r="S25" s="775">
        <f t="shared" ref="S25:S46" si="12">F25</f>
        <v>100</v>
      </c>
      <c r="T25" s="774" t="s">
        <v>21</v>
      </c>
      <c r="U25" s="775">
        <f t="shared" ref="U25:U46" si="13">H25</f>
        <v>100</v>
      </c>
      <c r="V25" s="774" t="s">
        <v>21</v>
      </c>
      <c r="W25" s="775">
        <f t="shared" ref="W25:W46" si="14">J25</f>
        <v>100</v>
      </c>
      <c r="X25" s="2970"/>
      <c r="Y25" s="3207"/>
      <c r="Z25" s="2972" t="str">
        <f>Q25</f>
        <v>楼层-1</v>
      </c>
      <c r="AA25" s="2973">
        <f t="shared" ref="AA25:AA46" si="15">D25/F25</f>
        <v>1</v>
      </c>
      <c r="AB25" s="2973">
        <f t="shared" ref="AB25:AB46" si="16">D25/H25</f>
        <v>1</v>
      </c>
      <c r="AC25" s="2973">
        <f t="shared" ref="AC25:AC46" si="17">D25/J25</f>
        <v>1</v>
      </c>
    </row>
    <row r="26" spans="1:29" ht="15.75" hidden="1" thickBot="1">
      <c r="A26" s="428"/>
      <c r="B26" s="2967"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20"/>
      <c r="Q26" s="2971" t="str">
        <f t="shared" si="11"/>
        <v>朝向</v>
      </c>
      <c r="R26" s="774" t="s">
        <v>21</v>
      </c>
      <c r="S26" s="775">
        <f t="shared" si="12"/>
        <v>100</v>
      </c>
      <c r="T26" s="774" t="s">
        <v>21</v>
      </c>
      <c r="U26" s="775">
        <f t="shared" si="13"/>
        <v>100</v>
      </c>
      <c r="V26" s="774" t="s">
        <v>21</v>
      </c>
      <c r="W26" s="775">
        <f t="shared" si="14"/>
        <v>100</v>
      </c>
      <c r="X26" s="2970"/>
      <c r="Y26" s="3207"/>
      <c r="Z26" s="2972" t="str">
        <f>Q26</f>
        <v>朝向</v>
      </c>
      <c r="AA26" s="2973">
        <f t="shared" si="15"/>
        <v>1</v>
      </c>
      <c r="AB26" s="2973">
        <f t="shared" si="16"/>
        <v>1</v>
      </c>
      <c r="AC26" s="2973">
        <f t="shared" si="17"/>
        <v>1</v>
      </c>
    </row>
    <row r="27" spans="1:29" s="117" customFormat="1" ht="15.75" hidden="1" thickBot="1">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20"/>
      <c r="Q27" s="2958">
        <f t="shared" si="11"/>
        <v>111</v>
      </c>
      <c r="R27" s="770" t="s">
        <v>21</v>
      </c>
      <c r="S27" s="771">
        <f t="shared" si="12"/>
        <v>100</v>
      </c>
      <c r="T27" s="770" t="s">
        <v>21</v>
      </c>
      <c r="U27" s="771">
        <f t="shared" si="13"/>
        <v>100</v>
      </c>
      <c r="V27" s="770" t="s">
        <v>21</v>
      </c>
      <c r="W27" s="771">
        <f t="shared" si="14"/>
        <v>100</v>
      </c>
      <c r="X27" s="772"/>
      <c r="Y27" s="3207"/>
      <c r="Z27" s="2959">
        <f>Q27</f>
        <v>111</v>
      </c>
      <c r="AA27" s="2973">
        <f t="shared" si="15"/>
        <v>1</v>
      </c>
      <c r="AB27" s="2973">
        <f t="shared" si="16"/>
        <v>1</v>
      </c>
      <c r="AC27" s="2973">
        <f t="shared" si="17"/>
        <v>1</v>
      </c>
    </row>
    <row r="28" spans="1:29" ht="15.75" hidden="1" thickBot="1">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20"/>
      <c r="Q28" s="2971">
        <f t="shared" si="11"/>
        <v>111</v>
      </c>
      <c r="R28" s="774" t="s">
        <v>21</v>
      </c>
      <c r="S28" s="775">
        <f t="shared" si="12"/>
        <v>100</v>
      </c>
      <c r="T28" s="774" t="s">
        <v>21</v>
      </c>
      <c r="U28" s="775">
        <f t="shared" si="13"/>
        <v>100</v>
      </c>
      <c r="V28" s="774" t="s">
        <v>21</v>
      </c>
      <c r="W28" s="775">
        <f t="shared" si="14"/>
        <v>100</v>
      </c>
      <c r="X28" s="2970"/>
      <c r="Y28" s="3207"/>
      <c r="Z28" s="2972">
        <f t="shared" ref="Z28:Z46" si="18">Q28</f>
        <v>111</v>
      </c>
      <c r="AA28" s="2973">
        <f t="shared" si="15"/>
        <v>1</v>
      </c>
      <c r="AB28" s="2973">
        <f t="shared" si="16"/>
        <v>1</v>
      </c>
      <c r="AC28" s="2973">
        <f t="shared" si="17"/>
        <v>1</v>
      </c>
    </row>
    <row r="29" spans="1:29" ht="15.75" hidden="1" thickBot="1">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20"/>
      <c r="Q29" s="2971">
        <f t="shared" si="11"/>
        <v>111</v>
      </c>
      <c r="R29" s="774" t="s">
        <v>21</v>
      </c>
      <c r="S29" s="775">
        <f t="shared" si="12"/>
        <v>100</v>
      </c>
      <c r="T29" s="774" t="s">
        <v>21</v>
      </c>
      <c r="U29" s="775">
        <f t="shared" si="13"/>
        <v>100</v>
      </c>
      <c r="V29" s="774" t="s">
        <v>21</v>
      </c>
      <c r="W29" s="775">
        <f t="shared" si="14"/>
        <v>100</v>
      </c>
      <c r="X29" s="2970"/>
      <c r="Y29" s="3207"/>
      <c r="Z29" s="2972">
        <f t="shared" si="18"/>
        <v>111</v>
      </c>
      <c r="AA29" s="2973">
        <f t="shared" si="15"/>
        <v>1</v>
      </c>
      <c r="AB29" s="2973">
        <f t="shared" si="16"/>
        <v>1</v>
      </c>
      <c r="AC29" s="2973">
        <f t="shared" si="17"/>
        <v>1</v>
      </c>
    </row>
    <row r="30" spans="1:29" ht="15.75" hidden="1" thickBot="1">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20"/>
      <c r="Q30" s="2971">
        <f t="shared" si="11"/>
        <v>111</v>
      </c>
      <c r="R30" s="774" t="s">
        <v>21</v>
      </c>
      <c r="S30" s="775">
        <f t="shared" si="12"/>
        <v>100</v>
      </c>
      <c r="T30" s="774" t="s">
        <v>21</v>
      </c>
      <c r="U30" s="775">
        <f t="shared" si="13"/>
        <v>100</v>
      </c>
      <c r="V30" s="774" t="s">
        <v>21</v>
      </c>
      <c r="W30" s="775">
        <f t="shared" si="14"/>
        <v>100</v>
      </c>
      <c r="X30" s="2970"/>
      <c r="Y30" s="3207"/>
      <c r="Z30" s="2972">
        <f t="shared" si="18"/>
        <v>111</v>
      </c>
      <c r="AA30" s="2973">
        <f t="shared" si="15"/>
        <v>1</v>
      </c>
      <c r="AB30" s="2973">
        <f t="shared" si="16"/>
        <v>1</v>
      </c>
      <c r="AC30" s="2973">
        <f t="shared" si="17"/>
        <v>1</v>
      </c>
    </row>
    <row r="31" spans="1:29" ht="15.75" hidden="1"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20"/>
      <c r="Q31" s="2971">
        <f t="shared" si="11"/>
        <v>111</v>
      </c>
      <c r="R31" s="774" t="s">
        <v>21</v>
      </c>
      <c r="S31" s="775">
        <f t="shared" si="12"/>
        <v>100</v>
      </c>
      <c r="T31" s="774" t="s">
        <v>21</v>
      </c>
      <c r="U31" s="775">
        <f t="shared" si="13"/>
        <v>100</v>
      </c>
      <c r="V31" s="774" t="s">
        <v>21</v>
      </c>
      <c r="W31" s="775">
        <f t="shared" si="14"/>
        <v>100</v>
      </c>
      <c r="X31" s="2970"/>
      <c r="Y31" s="3207"/>
      <c r="Z31" s="2972">
        <f t="shared" si="18"/>
        <v>111</v>
      </c>
      <c r="AA31" s="2973">
        <f t="shared" si="15"/>
        <v>1</v>
      </c>
      <c r="AB31" s="2973">
        <f t="shared" si="16"/>
        <v>1</v>
      </c>
      <c r="AC31" s="2973">
        <f t="shared" si="17"/>
        <v>1</v>
      </c>
    </row>
    <row r="32" spans="1:29" ht="15">
      <c r="A32" s="440" t="s">
        <v>2564</v>
      </c>
      <c r="B32" s="71" t="s">
        <v>2565</v>
      </c>
      <c r="C32" s="2619" t="s">
        <v>3189</v>
      </c>
      <c r="D32" s="467">
        <v>100</v>
      </c>
      <c r="E32" s="2619" t="s">
        <v>3189</v>
      </c>
      <c r="F32" s="461">
        <f>SUMIF(100:100,E32,101:101)-SUMIF(100:100,C32,101:101)+100</f>
        <v>100</v>
      </c>
      <c r="G32" s="2619" t="s">
        <v>3189</v>
      </c>
      <c r="H32" s="467">
        <f>SUMIF(100:100,G32,101:101)-SUMIF(100:100,C32,101:101)+100</f>
        <v>100</v>
      </c>
      <c r="I32" s="2619" t="s">
        <v>3189</v>
      </c>
      <c r="J32" s="435">
        <f>SUMIF(100:100,I32,101:101)-SUMIF(100:100,C32,101:101)+100</f>
        <v>100</v>
      </c>
      <c r="K32" s="426">
        <v>0</v>
      </c>
      <c r="L32" s="1143"/>
      <c r="M32" s="1134"/>
      <c r="N32" s="1134"/>
      <c r="O32" s="1134"/>
      <c r="P32" s="3221" t="s">
        <v>2566</v>
      </c>
      <c r="Q32" s="2971" t="str">
        <f t="shared" si="11"/>
        <v>建筑类型</v>
      </c>
      <c r="R32" s="774" t="s">
        <v>21</v>
      </c>
      <c r="S32" s="775">
        <f t="shared" si="12"/>
        <v>100</v>
      </c>
      <c r="T32" s="774" t="s">
        <v>21</v>
      </c>
      <c r="U32" s="775">
        <f t="shared" si="13"/>
        <v>100</v>
      </c>
      <c r="V32" s="774" t="s">
        <v>21</v>
      </c>
      <c r="W32" s="775">
        <f t="shared" si="14"/>
        <v>100</v>
      </c>
      <c r="X32" s="2970"/>
      <c r="Y32" s="3209" t="s">
        <v>2566</v>
      </c>
      <c r="Z32" s="2972" t="str">
        <f t="shared" si="18"/>
        <v>建筑类型</v>
      </c>
      <c r="AA32" s="2973">
        <f t="shared" si="15"/>
        <v>1</v>
      </c>
      <c r="AB32" s="2973">
        <f t="shared" si="16"/>
        <v>1</v>
      </c>
      <c r="AC32" s="2973">
        <f t="shared" si="17"/>
        <v>1</v>
      </c>
    </row>
    <row r="33" spans="1:29" s="471" customFormat="1" ht="15">
      <c r="A33" s="468"/>
      <c r="B33" s="2967" t="s">
        <v>2567</v>
      </c>
      <c r="C33" s="469">
        <v>170000</v>
      </c>
      <c r="D33" s="136">
        <v>100</v>
      </c>
      <c r="E33" s="430">
        <v>70000</v>
      </c>
      <c r="F33" s="425">
        <f>LOOKUP(E33,103:103,104:104)-LOOKUP(C33,103:103,104:104)+100</f>
        <v>96</v>
      </c>
      <c r="G33" s="429">
        <v>165000</v>
      </c>
      <c r="H33" s="136">
        <f>LOOKUP(G33,103:103,104:104)-LOOKUP(C33,103:103,104:104)+100</f>
        <v>100</v>
      </c>
      <c r="I33" s="430">
        <v>258136</v>
      </c>
      <c r="J33" s="136">
        <f>LOOKUP(I33,103:103,104:104)-LOOKUP(C33,103:103,104:104)+100</f>
        <v>104</v>
      </c>
      <c r="K33" s="2603"/>
      <c r="L33" s="1141"/>
      <c r="M33" s="1144"/>
      <c r="N33" s="1144"/>
      <c r="O33" s="1144"/>
      <c r="P33" s="3222"/>
      <c r="Q33" s="776" t="str">
        <f t="shared" si="11"/>
        <v>项目建筑规模</v>
      </c>
      <c r="R33" s="777" t="s">
        <v>21</v>
      </c>
      <c r="S33" s="778">
        <f t="shared" si="12"/>
        <v>96</v>
      </c>
      <c r="T33" s="777" t="s">
        <v>21</v>
      </c>
      <c r="U33" s="778">
        <f t="shared" si="13"/>
        <v>100</v>
      </c>
      <c r="V33" s="777" t="s">
        <v>21</v>
      </c>
      <c r="W33" s="778">
        <f t="shared" si="14"/>
        <v>104</v>
      </c>
      <c r="X33" s="779"/>
      <c r="Y33" s="3209"/>
      <c r="Z33" s="780" t="str">
        <f t="shared" si="18"/>
        <v>项目建筑规模</v>
      </c>
      <c r="AA33" s="2973">
        <f t="shared" si="15"/>
        <v>1.0416666666666667</v>
      </c>
      <c r="AB33" s="2973">
        <f t="shared" si="16"/>
        <v>1</v>
      </c>
      <c r="AC33" s="2973">
        <f t="shared" si="17"/>
        <v>0.96153846153846156</v>
      </c>
    </row>
    <row r="34" spans="1:29" ht="15">
      <c r="A34" s="472"/>
      <c r="B34" s="2967" t="s">
        <v>2568</v>
      </c>
      <c r="C34" s="2621" t="s">
        <v>3240</v>
      </c>
      <c r="D34" s="435">
        <v>100</v>
      </c>
      <c r="E34" s="2622" t="s">
        <v>3240</v>
      </c>
      <c r="F34" s="461">
        <f>SUMIF(105:105,E34,106:106)-SUMIF(105:105,C34,106:106)+100</f>
        <v>100</v>
      </c>
      <c r="G34" s="2621" t="s">
        <v>3240</v>
      </c>
      <c r="H34" s="435">
        <f>SUMIF(105:105,G34,106:106)-SUMIF(105:105,C34,106:106)+100</f>
        <v>100</v>
      </c>
      <c r="I34" s="2622" t="s">
        <v>3240</v>
      </c>
      <c r="J34" s="435">
        <f>SUMIF(105:105,I34,106:106)-SUMIF(105:105,C34,106:106)+100</f>
        <v>100</v>
      </c>
      <c r="K34" s="426">
        <v>2</v>
      </c>
      <c r="L34" s="1143"/>
      <c r="M34" s="1134"/>
      <c r="N34" s="1134"/>
      <c r="O34" s="1134"/>
      <c r="P34" s="3222"/>
      <c r="Q34" s="2971" t="str">
        <f t="shared" si="11"/>
        <v>建筑结构</v>
      </c>
      <c r="R34" s="774" t="s">
        <v>21</v>
      </c>
      <c r="S34" s="775">
        <f t="shared" si="12"/>
        <v>100</v>
      </c>
      <c r="T34" s="774" t="s">
        <v>21</v>
      </c>
      <c r="U34" s="775">
        <f t="shared" si="13"/>
        <v>100</v>
      </c>
      <c r="V34" s="774" t="s">
        <v>21</v>
      </c>
      <c r="W34" s="775">
        <f t="shared" si="14"/>
        <v>100</v>
      </c>
      <c r="X34" s="2970"/>
      <c r="Y34" s="3209"/>
      <c r="Z34" s="2972" t="str">
        <f t="shared" si="18"/>
        <v>建筑结构</v>
      </c>
      <c r="AA34" s="2973">
        <f t="shared" si="15"/>
        <v>1</v>
      </c>
      <c r="AB34" s="2973">
        <f t="shared" si="16"/>
        <v>1</v>
      </c>
      <c r="AC34" s="2973">
        <f t="shared" si="17"/>
        <v>1</v>
      </c>
    </row>
    <row r="35" spans="1:29" ht="15">
      <c r="A35" s="472"/>
      <c r="B35" s="2967" t="s">
        <v>2569</v>
      </c>
      <c r="C35" s="2615" t="s">
        <v>3241</v>
      </c>
      <c r="D35" s="435">
        <v>100</v>
      </c>
      <c r="E35" s="2616" t="s">
        <v>3241</v>
      </c>
      <c r="F35" s="461">
        <f>SUMIF(107:107,E35,108:108)-SUMIF(107:107,C35,108:108)+100</f>
        <v>100</v>
      </c>
      <c r="G35" s="2615" t="s">
        <v>3241</v>
      </c>
      <c r="H35" s="435">
        <f>SUMIF(107:107,G35,108:108)-SUMIF(107:107,C35,108:108)+100</f>
        <v>100</v>
      </c>
      <c r="I35" s="2616" t="s">
        <v>3241</v>
      </c>
      <c r="J35" s="435">
        <f>SUMIF(107:107,I35,108:108)-SUMIF(107:107,C35,108:108)+100</f>
        <v>100</v>
      </c>
      <c r="K35" s="426">
        <v>5</v>
      </c>
      <c r="L35" s="1143"/>
      <c r="M35" s="1134"/>
      <c r="N35" s="1134"/>
      <c r="O35" s="1134"/>
      <c r="P35" s="3222"/>
      <c r="Q35" s="2971" t="str">
        <f t="shared" si="11"/>
        <v>建筑品质</v>
      </c>
      <c r="R35" s="774" t="s">
        <v>21</v>
      </c>
      <c r="S35" s="775">
        <f t="shared" si="12"/>
        <v>100</v>
      </c>
      <c r="T35" s="774" t="s">
        <v>21</v>
      </c>
      <c r="U35" s="775">
        <f t="shared" si="13"/>
        <v>100</v>
      </c>
      <c r="V35" s="774" t="s">
        <v>21</v>
      </c>
      <c r="W35" s="775">
        <f t="shared" si="14"/>
        <v>100</v>
      </c>
      <c r="X35" s="2970"/>
      <c r="Y35" s="3209"/>
      <c r="Z35" s="2972" t="str">
        <f t="shared" si="18"/>
        <v>建筑品质</v>
      </c>
      <c r="AA35" s="2973">
        <f t="shared" si="15"/>
        <v>1</v>
      </c>
      <c r="AB35" s="2973">
        <f t="shared" si="16"/>
        <v>1</v>
      </c>
      <c r="AC35" s="2973">
        <f t="shared" si="17"/>
        <v>1</v>
      </c>
    </row>
    <row r="36" spans="1:29" ht="15">
      <c r="A36" s="472"/>
      <c r="B36" s="2967" t="s">
        <v>2570</v>
      </c>
      <c r="C36" s="2615" t="s">
        <v>3242</v>
      </c>
      <c r="D36" s="435">
        <v>100</v>
      </c>
      <c r="E36" s="2616" t="s">
        <v>3242</v>
      </c>
      <c r="F36" s="461">
        <f>SUMIF(109:109,E36,110:110)-SUMIF(109:109,C36,110:110)+100</f>
        <v>100</v>
      </c>
      <c r="G36" s="2615" t="s">
        <v>3242</v>
      </c>
      <c r="H36" s="435">
        <f>SUMIF(109:109,G36,110:110)-SUMIF(109:109,C36,110:110)+100</f>
        <v>100</v>
      </c>
      <c r="I36" s="2616" t="s">
        <v>3242</v>
      </c>
      <c r="J36" s="435">
        <f>SUMIF(109:109,I36,110:110)-SUMIF(109:109,C36,110:110)+100</f>
        <v>100</v>
      </c>
      <c r="K36" s="426">
        <v>2</v>
      </c>
      <c r="L36" s="1143"/>
      <c r="M36" s="1134"/>
      <c r="N36" s="1134"/>
      <c r="O36" s="1134"/>
      <c r="P36" s="3222"/>
      <c r="Q36" s="2971" t="str">
        <f t="shared" si="11"/>
        <v>公共部分装修</v>
      </c>
      <c r="R36" s="774" t="s">
        <v>21</v>
      </c>
      <c r="S36" s="775">
        <f t="shared" si="12"/>
        <v>100</v>
      </c>
      <c r="T36" s="774" t="s">
        <v>21</v>
      </c>
      <c r="U36" s="775">
        <f t="shared" si="13"/>
        <v>100</v>
      </c>
      <c r="V36" s="774" t="s">
        <v>21</v>
      </c>
      <c r="W36" s="775">
        <f t="shared" si="14"/>
        <v>100</v>
      </c>
      <c r="X36" s="2970"/>
      <c r="Y36" s="3209"/>
      <c r="Z36" s="2972" t="str">
        <f t="shared" si="18"/>
        <v>公共部分装修</v>
      </c>
      <c r="AA36" s="2973">
        <f t="shared" si="15"/>
        <v>1</v>
      </c>
      <c r="AB36" s="2973">
        <f t="shared" si="16"/>
        <v>1</v>
      </c>
      <c r="AC36" s="2973">
        <f t="shared" si="17"/>
        <v>1</v>
      </c>
    </row>
    <row r="37" spans="1:29" s="117" customFormat="1" ht="15">
      <c r="A37" s="473"/>
      <c r="B37" s="2967" t="s">
        <v>2571</v>
      </c>
      <c r="C37" s="474">
        <v>1</v>
      </c>
      <c r="D37" s="136">
        <v>100</v>
      </c>
      <c r="E37" s="474">
        <v>1</v>
      </c>
      <c r="F37" s="425">
        <f>LOOKUP(E37,112:112,113:113)-LOOKUP(C37,112:112,113:113)+100</f>
        <v>100</v>
      </c>
      <c r="G37" s="476">
        <v>1</v>
      </c>
      <c r="H37" s="136">
        <f>LOOKUP(G37,112:112,113:113)-LOOKUP(C37,112:112,113:113)+100</f>
        <v>100</v>
      </c>
      <c r="I37" s="475">
        <v>1</v>
      </c>
      <c r="J37" s="136">
        <f>LOOKUP(I37,112:112,113:113)-LOOKUP(C37,112:112,113:113)+100</f>
        <v>100</v>
      </c>
      <c r="K37" s="426">
        <v>1</v>
      </c>
      <c r="L37" s="1135"/>
      <c r="M37" s="1136"/>
      <c r="N37" s="1136"/>
      <c r="O37" s="1136"/>
      <c r="P37" s="3222"/>
      <c r="Q37" s="2958" t="str">
        <f t="shared" si="11"/>
        <v>成新度</v>
      </c>
      <c r="R37" s="770" t="s">
        <v>21</v>
      </c>
      <c r="S37" s="771">
        <f t="shared" si="12"/>
        <v>100</v>
      </c>
      <c r="T37" s="770" t="s">
        <v>21</v>
      </c>
      <c r="U37" s="771">
        <f t="shared" si="13"/>
        <v>100</v>
      </c>
      <c r="V37" s="770" t="s">
        <v>21</v>
      </c>
      <c r="W37" s="771">
        <f t="shared" si="14"/>
        <v>100</v>
      </c>
      <c r="X37" s="772"/>
      <c r="Y37" s="3209"/>
      <c r="Z37" s="2959" t="str">
        <f t="shared" si="18"/>
        <v>成新度</v>
      </c>
      <c r="AA37" s="773">
        <f t="shared" si="15"/>
        <v>1</v>
      </c>
      <c r="AB37" s="773">
        <f t="shared" si="16"/>
        <v>1</v>
      </c>
      <c r="AC37" s="773">
        <f t="shared" si="17"/>
        <v>1</v>
      </c>
    </row>
    <row r="38" spans="1:29" ht="15">
      <c r="A38" s="472"/>
      <c r="B38" s="2967" t="s">
        <v>2572</v>
      </c>
      <c r="C38" s="2615" t="s">
        <v>3243</v>
      </c>
      <c r="D38" s="435">
        <v>100</v>
      </c>
      <c r="E38" s="2616" t="s">
        <v>3243</v>
      </c>
      <c r="F38" s="461">
        <f>SUMIF(114:114,E38,115:115)-SUMIF(114:114,C38,115:115)+100</f>
        <v>100</v>
      </c>
      <c r="G38" s="2615" t="s">
        <v>3243</v>
      </c>
      <c r="H38" s="435">
        <f>SUMIF(114:114,G38,115:115)-SUMIF(114:114,C38,115:115)+100</f>
        <v>100</v>
      </c>
      <c r="I38" s="2616" t="s">
        <v>3243</v>
      </c>
      <c r="J38" s="435">
        <f>SUMIF(114:114,I38,115:115)-SUMIF(114:114,C38,115:115)+100</f>
        <v>100</v>
      </c>
      <c r="K38" s="426">
        <v>3</v>
      </c>
      <c r="L38" s="1143"/>
      <c r="M38" s="1134"/>
      <c r="N38" s="1134"/>
      <c r="O38" s="1134"/>
      <c r="P38" s="3222" t="s">
        <v>2566</v>
      </c>
      <c r="Q38" s="2971" t="str">
        <f t="shared" si="11"/>
        <v>物业管理</v>
      </c>
      <c r="R38" s="774" t="s">
        <v>21</v>
      </c>
      <c r="S38" s="775">
        <f t="shared" si="12"/>
        <v>100</v>
      </c>
      <c r="T38" s="774" t="s">
        <v>21</v>
      </c>
      <c r="U38" s="775">
        <f t="shared" si="13"/>
        <v>100</v>
      </c>
      <c r="V38" s="774" t="s">
        <v>21</v>
      </c>
      <c r="W38" s="775">
        <f t="shared" si="14"/>
        <v>100</v>
      </c>
      <c r="X38" s="2970"/>
      <c r="Y38" s="3209" t="s">
        <v>2566</v>
      </c>
      <c r="Z38" s="2972" t="str">
        <f t="shared" si="18"/>
        <v>物业管理</v>
      </c>
      <c r="AA38" s="2973">
        <f t="shared" si="15"/>
        <v>1</v>
      </c>
      <c r="AB38" s="2973">
        <f t="shared" si="16"/>
        <v>1</v>
      </c>
      <c r="AC38" s="2973">
        <f t="shared" si="17"/>
        <v>1</v>
      </c>
    </row>
    <row r="39" spans="1:29" ht="15">
      <c r="A39" s="472"/>
      <c r="B39" s="2967" t="s">
        <v>2573</v>
      </c>
      <c r="C39" s="2615" t="s">
        <v>3244</v>
      </c>
      <c r="D39" s="435">
        <v>100</v>
      </c>
      <c r="E39" s="2616" t="s">
        <v>3244</v>
      </c>
      <c r="F39" s="461">
        <f>SUMIF(116:116,E39,117:117)-SUMIF(116:116,C39,117:117)+100</f>
        <v>100</v>
      </c>
      <c r="G39" s="2615" t="s">
        <v>3244</v>
      </c>
      <c r="H39" s="435">
        <f>SUMIF(116:116,G39,117:117)-SUMIF(116:116,C39,117:117)+100</f>
        <v>100</v>
      </c>
      <c r="I39" s="2616" t="s">
        <v>3244</v>
      </c>
      <c r="J39" s="435">
        <f>SUMIF(116:116,I39,117:117)-SUMIF(116:116,C39,117:117)+100</f>
        <v>100</v>
      </c>
      <c r="K39" s="426">
        <v>2</v>
      </c>
      <c r="L39" s="1143"/>
      <c r="M39" s="1134"/>
      <c r="N39" s="1134"/>
      <c r="O39" s="1134"/>
      <c r="P39" s="3222"/>
      <c r="Q39" s="2971" t="str">
        <f t="shared" si="11"/>
        <v>市政基础设施</v>
      </c>
      <c r="R39" s="774" t="s">
        <v>21</v>
      </c>
      <c r="S39" s="775">
        <f t="shared" si="12"/>
        <v>100</v>
      </c>
      <c r="T39" s="774" t="s">
        <v>21</v>
      </c>
      <c r="U39" s="775">
        <f t="shared" si="13"/>
        <v>100</v>
      </c>
      <c r="V39" s="774" t="s">
        <v>21</v>
      </c>
      <c r="W39" s="775">
        <f t="shared" si="14"/>
        <v>100</v>
      </c>
      <c r="X39" s="2970"/>
      <c r="Y39" s="3209"/>
      <c r="Z39" s="2972" t="str">
        <f t="shared" si="18"/>
        <v>市政基础设施</v>
      </c>
      <c r="AA39" s="2973">
        <f t="shared" si="15"/>
        <v>1</v>
      </c>
      <c r="AB39" s="2973">
        <f t="shared" si="16"/>
        <v>1</v>
      </c>
      <c r="AC39" s="2973">
        <f t="shared" si="17"/>
        <v>1</v>
      </c>
    </row>
    <row r="40" spans="1:29" ht="15.75" thickBot="1">
      <c r="A40" s="472"/>
      <c r="B40" s="2967" t="s">
        <v>2574</v>
      </c>
      <c r="C40" s="2615" t="s">
        <v>3239</v>
      </c>
      <c r="D40" s="435">
        <v>100</v>
      </c>
      <c r="E40" s="2616" t="s">
        <v>3239</v>
      </c>
      <c r="F40" s="461">
        <f>SUMIF(118:118,E40,119:119)-SUMIF(118:118,C40,119:119)+100</f>
        <v>100</v>
      </c>
      <c r="G40" s="2615" t="s">
        <v>3239</v>
      </c>
      <c r="H40" s="435">
        <f>SUMIF(118:118,G40,119:119)-SUMIF(118:118,C40,119:119)+100</f>
        <v>100</v>
      </c>
      <c r="I40" s="2616" t="s">
        <v>3239</v>
      </c>
      <c r="J40" s="435">
        <f>SUMIF(118:118,I40,119:119)-SUMIF(118:118,C40,119:119)+100</f>
        <v>100</v>
      </c>
      <c r="K40" s="426"/>
      <c r="L40" s="1143"/>
      <c r="M40" s="1134"/>
      <c r="N40" s="1134"/>
      <c r="O40" s="1134"/>
      <c r="P40" s="3222"/>
      <c r="Q40" s="2971" t="str">
        <f t="shared" si="11"/>
        <v>房型</v>
      </c>
      <c r="R40" s="774" t="s">
        <v>21</v>
      </c>
      <c r="S40" s="775">
        <f t="shared" si="12"/>
        <v>100</v>
      </c>
      <c r="T40" s="774" t="s">
        <v>21</v>
      </c>
      <c r="U40" s="775">
        <f t="shared" si="13"/>
        <v>100</v>
      </c>
      <c r="V40" s="774" t="s">
        <v>21</v>
      </c>
      <c r="W40" s="775">
        <f t="shared" si="14"/>
        <v>100</v>
      </c>
      <c r="X40" s="2970"/>
      <c r="Y40" s="3209"/>
      <c r="Z40" s="2972" t="str">
        <f t="shared" si="18"/>
        <v>房型</v>
      </c>
      <c r="AA40" s="2973">
        <f t="shared" si="15"/>
        <v>1</v>
      </c>
      <c r="AB40" s="2973">
        <f t="shared" si="16"/>
        <v>1</v>
      </c>
      <c r="AC40" s="2973">
        <f t="shared" si="17"/>
        <v>1</v>
      </c>
    </row>
    <row r="41" spans="1:29" s="471" customFormat="1" ht="29.25" hidden="1" thickBot="1">
      <c r="A41" s="468"/>
      <c r="B41" s="2967" t="s">
        <v>2575</v>
      </c>
      <c r="C41" s="469" t="s">
        <v>3277</v>
      </c>
      <c r="D41" s="136">
        <v>100</v>
      </c>
      <c r="E41" s="430" t="s">
        <v>3276</v>
      </c>
      <c r="F41" s="425">
        <f>SUMIF(120:120,E41,121:121)-SUMIF(120:120,C41,121:121)+100</f>
        <v>100</v>
      </c>
      <c r="G41" s="429" t="s">
        <v>3272</v>
      </c>
      <c r="H41" s="136">
        <f>SUMIF(120:120,G41,121:121)-SUMIF(120:120,C41,121:121)+100</f>
        <v>100</v>
      </c>
      <c r="I41" s="477" t="s">
        <v>3280</v>
      </c>
      <c r="J41" s="435">
        <f>SUMIF(120:120,I41,121:121)-SUMIF(120:120,C41,121:121)+100</f>
        <v>100</v>
      </c>
      <c r="K41" s="2603"/>
      <c r="L41" s="1141"/>
      <c r="M41" s="1144"/>
      <c r="N41" s="1144"/>
      <c r="O41" s="1144"/>
      <c r="P41" s="3222"/>
      <c r="Q41" s="776" t="str">
        <f t="shared" si="11"/>
        <v>单套/主力户型建筑面积</v>
      </c>
      <c r="R41" s="777" t="s">
        <v>21</v>
      </c>
      <c r="S41" s="778">
        <f t="shared" si="12"/>
        <v>100</v>
      </c>
      <c r="T41" s="777" t="s">
        <v>21</v>
      </c>
      <c r="U41" s="778">
        <f t="shared" si="13"/>
        <v>100</v>
      </c>
      <c r="V41" s="777" t="s">
        <v>21</v>
      </c>
      <c r="W41" s="778">
        <f t="shared" si="14"/>
        <v>100</v>
      </c>
      <c r="X41" s="779"/>
      <c r="Y41" s="3209"/>
      <c r="Z41" s="780" t="str">
        <f t="shared" si="18"/>
        <v>单套/主力户型建筑面积</v>
      </c>
      <c r="AA41" s="2973">
        <f t="shared" si="15"/>
        <v>1</v>
      </c>
      <c r="AB41" s="2973">
        <f t="shared" si="16"/>
        <v>1</v>
      </c>
      <c r="AC41" s="2973">
        <f t="shared" si="17"/>
        <v>1</v>
      </c>
    </row>
    <row r="42" spans="1:29" ht="15.75" hidden="1" thickBot="1">
      <c r="A42" s="472"/>
      <c r="B42" s="2967" t="s">
        <v>2576</v>
      </c>
      <c r="C42" s="2615" t="s">
        <v>3246</v>
      </c>
      <c r="D42" s="435">
        <v>100</v>
      </c>
      <c r="E42" s="2616" t="s">
        <v>3246</v>
      </c>
      <c r="F42" s="461">
        <f>SUMIF(122:122,E42,123:123)-SUMIF(122:122,C42,123:123)+100</f>
        <v>100</v>
      </c>
      <c r="G42" s="2615" t="s">
        <v>3246</v>
      </c>
      <c r="H42" s="435">
        <f>SUMIF(122:122,G42,123:123)-SUMIF(122:122,C42,123:123)+100</f>
        <v>100</v>
      </c>
      <c r="I42" s="2616" t="s">
        <v>3246</v>
      </c>
      <c r="J42" s="435">
        <f>SUMIF(122:122,I42,123:123)-SUMIF(122:122,C42,123:123)+100</f>
        <v>100</v>
      </c>
      <c r="K42" s="426">
        <v>2</v>
      </c>
      <c r="L42" s="1143"/>
      <c r="M42" s="1134"/>
      <c r="N42" s="1134"/>
      <c r="O42" s="1134"/>
      <c r="P42" s="3222"/>
      <c r="Q42" s="2971" t="str">
        <f t="shared" si="11"/>
        <v>内部装修</v>
      </c>
      <c r="R42" s="774" t="s">
        <v>21</v>
      </c>
      <c r="S42" s="775">
        <f t="shared" si="12"/>
        <v>100</v>
      </c>
      <c r="T42" s="774" t="s">
        <v>21</v>
      </c>
      <c r="U42" s="775">
        <f t="shared" si="13"/>
        <v>100</v>
      </c>
      <c r="V42" s="774" t="s">
        <v>21</v>
      </c>
      <c r="W42" s="775">
        <f t="shared" si="14"/>
        <v>100</v>
      </c>
      <c r="X42" s="2970"/>
      <c r="Y42" s="3209"/>
      <c r="Z42" s="2972" t="str">
        <f t="shared" si="18"/>
        <v>内部装修</v>
      </c>
      <c r="AA42" s="2973">
        <f t="shared" si="15"/>
        <v>1</v>
      </c>
      <c r="AB42" s="2973">
        <f t="shared" si="16"/>
        <v>1</v>
      </c>
      <c r="AC42" s="2973">
        <f t="shared" si="17"/>
        <v>1</v>
      </c>
    </row>
    <row r="43" spans="1:29" ht="15.75" hidden="1" thickBot="1">
      <c r="A43" s="472"/>
      <c r="B43" s="2967" t="s">
        <v>2577</v>
      </c>
      <c r="C43" s="2615" t="s">
        <v>3247</v>
      </c>
      <c r="D43" s="435">
        <v>100</v>
      </c>
      <c r="E43" s="2616" t="s">
        <v>3247</v>
      </c>
      <c r="F43" s="461">
        <f>SUMIF(124:124,E43,125:125)-SUMIF(124:124,C43,125:125)+100</f>
        <v>100</v>
      </c>
      <c r="G43" s="2615" t="s">
        <v>3247</v>
      </c>
      <c r="H43" s="435">
        <f>SUMIF(124:124,G43,125:125)-SUMIF(124:124,C43,125:125)+100</f>
        <v>100</v>
      </c>
      <c r="I43" s="2616" t="s">
        <v>3247</v>
      </c>
      <c r="J43" s="435">
        <f>SUMIF(124:124,I43,125:125)-SUMIF(124:124,C43,125:125)+100</f>
        <v>100</v>
      </c>
      <c r="K43" s="426"/>
      <c r="L43" s="1143"/>
      <c r="M43" s="1134"/>
      <c r="N43" s="1134"/>
      <c r="O43" s="1134"/>
      <c r="P43" s="3222"/>
      <c r="Q43" s="2971" t="str">
        <f t="shared" si="11"/>
        <v>内部装修维护情况</v>
      </c>
      <c r="R43" s="774" t="s">
        <v>21</v>
      </c>
      <c r="S43" s="775">
        <f t="shared" si="12"/>
        <v>100</v>
      </c>
      <c r="T43" s="774" t="s">
        <v>21</v>
      </c>
      <c r="U43" s="775">
        <f t="shared" si="13"/>
        <v>100</v>
      </c>
      <c r="V43" s="774" t="s">
        <v>21</v>
      </c>
      <c r="W43" s="775">
        <f t="shared" si="14"/>
        <v>100</v>
      </c>
      <c r="X43" s="2970"/>
      <c r="Y43" s="3209"/>
      <c r="Z43" s="2972" t="str">
        <f t="shared" si="18"/>
        <v>内部装修维护情况</v>
      </c>
      <c r="AA43" s="2973">
        <f t="shared" si="15"/>
        <v>1</v>
      </c>
      <c r="AB43" s="2973">
        <f t="shared" si="16"/>
        <v>1</v>
      </c>
      <c r="AC43" s="2973">
        <f t="shared" si="17"/>
        <v>1</v>
      </c>
    </row>
    <row r="44" spans="1:29" s="117" customFormat="1" ht="15.75" hidden="1" thickBot="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22"/>
      <c r="Q44" s="2958">
        <f t="shared" si="11"/>
        <v>111</v>
      </c>
      <c r="R44" s="770" t="s">
        <v>21</v>
      </c>
      <c r="S44" s="771">
        <f t="shared" si="12"/>
        <v>100</v>
      </c>
      <c r="T44" s="770" t="s">
        <v>21</v>
      </c>
      <c r="U44" s="771">
        <f t="shared" si="13"/>
        <v>100</v>
      </c>
      <c r="V44" s="770" t="s">
        <v>21</v>
      </c>
      <c r="W44" s="771">
        <f t="shared" si="14"/>
        <v>100</v>
      </c>
      <c r="X44" s="772"/>
      <c r="Y44" s="3209"/>
      <c r="Z44" s="2959">
        <f t="shared" si="18"/>
        <v>111</v>
      </c>
      <c r="AA44" s="773">
        <f t="shared" si="15"/>
        <v>1</v>
      </c>
      <c r="AB44" s="773">
        <f t="shared" si="16"/>
        <v>1</v>
      </c>
      <c r="AC44" s="773">
        <f t="shared" si="17"/>
        <v>1</v>
      </c>
    </row>
    <row r="45" spans="1:29" ht="15.75" hidden="1" thickBot="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22"/>
      <c r="Q45" s="2971">
        <f t="shared" si="11"/>
        <v>111</v>
      </c>
      <c r="R45" s="774" t="s">
        <v>21</v>
      </c>
      <c r="S45" s="775">
        <f t="shared" si="12"/>
        <v>100</v>
      </c>
      <c r="T45" s="774" t="s">
        <v>21</v>
      </c>
      <c r="U45" s="775">
        <f t="shared" si="13"/>
        <v>100</v>
      </c>
      <c r="V45" s="774" t="s">
        <v>21</v>
      </c>
      <c r="W45" s="775">
        <f t="shared" si="14"/>
        <v>100</v>
      </c>
      <c r="X45" s="2970"/>
      <c r="Y45" s="3209"/>
      <c r="Z45" s="2972">
        <f t="shared" si="18"/>
        <v>111</v>
      </c>
      <c r="AA45" s="2973">
        <f t="shared" si="15"/>
        <v>1</v>
      </c>
      <c r="AB45" s="2973">
        <f t="shared" si="16"/>
        <v>1</v>
      </c>
      <c r="AC45" s="2973">
        <f t="shared" si="17"/>
        <v>1</v>
      </c>
    </row>
    <row r="46" spans="1:29" ht="15.75" hidden="1"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23"/>
      <c r="Q46" s="2971">
        <f t="shared" si="11"/>
        <v>111</v>
      </c>
      <c r="R46" s="774" t="s">
        <v>20</v>
      </c>
      <c r="S46" s="775">
        <f t="shared" si="12"/>
        <v>100</v>
      </c>
      <c r="T46" s="774" t="s">
        <v>20</v>
      </c>
      <c r="U46" s="775">
        <f t="shared" si="13"/>
        <v>100</v>
      </c>
      <c r="V46" s="774" t="s">
        <v>20</v>
      </c>
      <c r="W46" s="775">
        <f t="shared" si="14"/>
        <v>100</v>
      </c>
      <c r="X46" s="2970"/>
      <c r="Y46" s="3224"/>
      <c r="Z46" s="2972">
        <f t="shared" si="18"/>
        <v>111</v>
      </c>
      <c r="AA46" s="2973">
        <f t="shared" si="15"/>
        <v>1</v>
      </c>
      <c r="AB46" s="2973">
        <f t="shared" si="16"/>
        <v>1</v>
      </c>
      <c r="AC46" s="2973">
        <f t="shared" si="17"/>
        <v>1</v>
      </c>
    </row>
    <row r="47" spans="1:29" ht="15">
      <c r="A47" s="479" t="s">
        <v>2578</v>
      </c>
      <c r="B47" s="480"/>
      <c r="C47" s="1410" t="s">
        <v>19</v>
      </c>
      <c r="D47" s="1411"/>
      <c r="E47" s="1412">
        <v>40000</v>
      </c>
      <c r="F47" s="1413"/>
      <c r="G47" s="1414">
        <v>40000</v>
      </c>
      <c r="H47" s="1415"/>
      <c r="I47" s="1412">
        <v>45000</v>
      </c>
      <c r="J47" s="1415"/>
      <c r="K47" s="2623"/>
      <c r="L47" s="1146"/>
      <c r="M47" s="1147"/>
      <c r="N47" s="1134"/>
      <c r="O47" s="1147"/>
      <c r="P47" s="3191" t="str">
        <f>A47</f>
        <v>成交单价（元/平方米）</v>
      </c>
      <c r="Q47" s="3191"/>
      <c r="R47" s="3217">
        <f>E47</f>
        <v>40000</v>
      </c>
      <c r="S47" s="3217"/>
      <c r="T47" s="3217">
        <f>G47</f>
        <v>40000</v>
      </c>
      <c r="U47" s="3217"/>
      <c r="V47" s="3217">
        <f>I47</f>
        <v>45000</v>
      </c>
      <c r="W47" s="3217"/>
      <c r="X47" s="759"/>
      <c r="Y47" s="781"/>
      <c r="Z47" s="759"/>
      <c r="AA47" s="759"/>
      <c r="AB47" s="759"/>
      <c r="AC47" s="759"/>
    </row>
    <row r="48" spans="1:29" ht="15.75" thickBot="1">
      <c r="A48" s="486" t="s">
        <v>2579</v>
      </c>
      <c r="B48" s="487"/>
      <c r="C48" s="1416">
        <f>R49</f>
        <v>40290</v>
      </c>
      <c r="D48" s="1417"/>
      <c r="E48" s="1418">
        <f>R48</f>
        <v>40064</v>
      </c>
      <c r="F48" s="1418"/>
      <c r="G48" s="1416">
        <f>T48</f>
        <v>40016</v>
      </c>
      <c r="H48" s="1417"/>
      <c r="I48" s="1418">
        <f>V48</f>
        <v>40789</v>
      </c>
      <c r="J48" s="1417"/>
      <c r="K48" s="2624"/>
      <c r="L48" s="1146"/>
      <c r="M48" s="1147"/>
      <c r="N48" s="1147"/>
      <c r="O48" s="1147"/>
      <c r="P48" s="3191" t="str">
        <f>A48</f>
        <v>比较价值（元/平方米）</v>
      </c>
      <c r="Q48" s="3191"/>
      <c r="R48" s="3217">
        <f>IF(F1="售价",ROUND(PRODUCT(R47,AA7:AA46),0),ROUND(PRODUCT(R47,AA7:AA46),1))</f>
        <v>40064</v>
      </c>
      <c r="S48" s="3217"/>
      <c r="T48" s="3217">
        <f>IF(F1="售价",ROUND(PRODUCT(T47,AB7:AB46),0),ROUND(PRODUCT(T47,AB7:AB46),1))</f>
        <v>40016</v>
      </c>
      <c r="U48" s="3217"/>
      <c r="V48" s="3217">
        <f>IF(F1="售价",ROUND(PRODUCT(V47,AC7:AC46),0),ROUND(PRODUCT(V47,AC7:AC46),1))</f>
        <v>40789</v>
      </c>
      <c r="W48" s="3217"/>
      <c r="X48" s="759"/>
      <c r="Y48" s="759"/>
      <c r="Z48" s="759"/>
      <c r="AA48" s="759"/>
      <c r="AB48" s="759"/>
      <c r="AC48" s="759"/>
    </row>
    <row r="49" spans="1:29" ht="15.75" thickBot="1">
      <c r="A49" s="492" t="s">
        <v>2580</v>
      </c>
      <c r="B49" s="493"/>
      <c r="C49" s="1419">
        <f>R49</f>
        <v>40290</v>
      </c>
      <c r="D49" s="1420"/>
      <c r="E49" s="1420"/>
      <c r="F49" s="1420"/>
      <c r="G49" s="1420"/>
      <c r="H49" s="1420"/>
      <c r="I49" s="1420"/>
      <c r="J49" s="1420"/>
      <c r="K49" s="2625"/>
      <c r="L49" s="1146"/>
      <c r="M49" s="1147"/>
      <c r="N49" s="1147"/>
      <c r="O49" s="1147"/>
      <c r="P49" s="3211" t="str">
        <f>A49</f>
        <v>估价对象XX用房的比较价值（楼面单价，元/平方米）</v>
      </c>
      <c r="Q49" s="3212"/>
      <c r="R49" s="3218">
        <f>IF(F1="售价",ROUND(AVERAGE(R48:V48),0),ROUND(AVERAGE(R48:V48),1))</f>
        <v>40290</v>
      </c>
      <c r="S49" s="3218"/>
      <c r="T49" s="3218"/>
      <c r="U49" s="3218"/>
      <c r="V49" s="3218"/>
      <c r="W49" s="321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f>IF(E47&lt;E48,E48/E47-1,E47/E48-1)</f>
        <v>1.6000000000000458E-3</v>
      </c>
      <c r="F52" s="500" t="str">
        <f>IF(OR(E52&gt;=0.3,E52&lt;=-0.3),"超过30%","")</f>
        <v/>
      </c>
      <c r="G52" s="499">
        <f>IF(G47&lt;G48,G48/G47-1,G47/G48-1)</f>
        <v>3.9999999999995595E-4</v>
      </c>
      <c r="H52" s="500" t="str">
        <f>IF(OR(G52&gt;=0.3,G52&lt;=-0.3),"超过30%","")</f>
        <v/>
      </c>
      <c r="I52" s="499">
        <f>IF(I47&lt;I48,I48/I47-1,I47/I48-1)</f>
        <v>0.10323861825492164</v>
      </c>
      <c r="J52" s="500" t="str">
        <f>IF(OR(I52&gt;=0.3,I52&lt;=-0.3),"超过30%","")</f>
        <v/>
      </c>
      <c r="K52" s="1108"/>
      <c r="L52" s="1109"/>
      <c r="M52" s="1147"/>
      <c r="N52" s="1147"/>
      <c r="O52" s="1147"/>
    </row>
    <row r="53" spans="1:29" ht="13.5" customHeight="1">
      <c r="A53" s="1147"/>
      <c r="B53" s="1147"/>
      <c r="C53" s="497" t="s">
        <v>2582</v>
      </c>
      <c r="D53" s="501"/>
      <c r="E53" s="499">
        <f>IF(E48&lt;G48,G48/E48-1,E48/G48-1)</f>
        <v>1.1995201919232645E-3</v>
      </c>
      <c r="F53" s="500" t="str">
        <f>IF(OR(E53&gt;=0.2,E53&lt;=-0.2),"超过20%","")</f>
        <v/>
      </c>
      <c r="G53" s="499">
        <f>IF(G48&lt;I48,I48/G48-1,G48/I48-1)</f>
        <v>1.9317273090763587E-2</v>
      </c>
      <c r="H53" s="500" t="str">
        <f>IF(OR(G53&gt;=0.2,G53&lt;=-0.2),"超过20%","")</f>
        <v/>
      </c>
      <c r="I53" s="499">
        <f>IF(I48&lt;E48,E48/I48-1,I48/E48-1)</f>
        <v>1.8096046325878579E-2</v>
      </c>
      <c r="J53" s="500" t="str">
        <f>IF(OR(I53&gt;=0.2,I53&lt;=-0.2),"超过20%","")</f>
        <v/>
      </c>
      <c r="K53" s="1108"/>
      <c r="L53" s="1109"/>
      <c r="M53" s="1147"/>
      <c r="N53" s="1147"/>
      <c r="O53" s="1147"/>
    </row>
    <row r="54" spans="1:29" s="502" customFormat="1" ht="13.5" customHeight="1">
      <c r="A54" s="1148"/>
      <c r="B54" s="1148"/>
      <c r="C54" s="497" t="s">
        <v>2583</v>
      </c>
      <c r="D54" s="501"/>
      <c r="E54" s="499">
        <f>IF(E47&lt;G47,G47/E47-1,E47/G47-1)</f>
        <v>0</v>
      </c>
      <c r="F54" s="500" t="str">
        <f>IF(OR(E54&gt;=0.3,E54&lt;=-0.3),"超过30%","")</f>
        <v/>
      </c>
      <c r="G54" s="499">
        <f>IF(G47&lt;I47,I47/G47-1,G47/I47-1)</f>
        <v>0.125</v>
      </c>
      <c r="H54" s="500" t="str">
        <f>IF(OR(G54&gt;=0.3,G54&lt;=-0.3),"超过30%","")</f>
        <v/>
      </c>
      <c r="I54" s="499">
        <f>IF(I47&lt;E47,E47/I47-1,I47/E47-1)</f>
        <v>0.125</v>
      </c>
      <c r="J54" s="500" t="str">
        <f>IF(OR(I54&gt;=0.3,I54&lt;=-0.3),"超过30%","")</f>
        <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28"/>
      <c r="Q57" s="504"/>
    </row>
    <row r="58" spans="1:29" s="508" customFormat="1" ht="15">
      <c r="A58" s="505" t="s">
        <v>2549</v>
      </c>
      <c r="B58" s="506"/>
      <c r="C58" s="1579" t="str">
        <f>YEAR(C7)&amp;"-"&amp;MONTH(C7)</f>
        <v>2018-4</v>
      </c>
      <c r="D58" s="1578">
        <f>EDATE(C58,-1)</f>
        <v>43160</v>
      </c>
      <c r="E58" s="1578">
        <f>EDATE(D58,-1)</f>
        <v>43132</v>
      </c>
      <c r="F58" s="1578">
        <f t="shared" ref="F58:O58" si="19">EDATE(E58,-1)</f>
        <v>43101</v>
      </c>
      <c r="G58" s="1578">
        <f t="shared" si="19"/>
        <v>43070</v>
      </c>
      <c r="H58" s="1578">
        <f t="shared" si="19"/>
        <v>43040</v>
      </c>
      <c r="I58" s="1578">
        <f t="shared" si="19"/>
        <v>43009</v>
      </c>
      <c r="J58" s="1578">
        <f t="shared" si="19"/>
        <v>42979</v>
      </c>
      <c r="K58" s="1578">
        <f t="shared" si="19"/>
        <v>42948</v>
      </c>
      <c r="L58" s="1578">
        <f t="shared" si="19"/>
        <v>42917</v>
      </c>
      <c r="M58" s="1578">
        <f t="shared" si="19"/>
        <v>42887</v>
      </c>
      <c r="N58" s="1578">
        <f t="shared" si="19"/>
        <v>42856</v>
      </c>
      <c r="O58" s="1578">
        <f t="shared" si="19"/>
        <v>42826</v>
      </c>
      <c r="P58" s="1573"/>
    </row>
    <row r="59" spans="1:29" s="117" customFormat="1" ht="15">
      <c r="A59" s="509"/>
      <c r="B59" s="2629"/>
      <c r="C59" s="1576">
        <v>100</v>
      </c>
      <c r="D59" s="511">
        <v>99.5</v>
      </c>
      <c r="E59" s="512">
        <v>99</v>
      </c>
      <c r="F59" s="512">
        <v>98.5</v>
      </c>
      <c r="G59" s="512">
        <v>98</v>
      </c>
      <c r="H59" s="512">
        <v>97.5</v>
      </c>
      <c r="I59" s="512">
        <v>97</v>
      </c>
      <c r="J59" s="512">
        <v>96.5</v>
      </c>
      <c r="K59" s="512">
        <v>96</v>
      </c>
      <c r="L59" s="512">
        <v>95.5</v>
      </c>
      <c r="M59" s="513">
        <v>95</v>
      </c>
      <c r="N59" s="512">
        <v>94.5</v>
      </c>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2588</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t="str">
        <f>C9</f>
        <v>住宅</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32"/>
      <c r="Q66" s="504"/>
    </row>
    <row r="67" spans="1:17" ht="15.75" thickTop="1">
      <c r="A67" s="534"/>
      <c r="B67" s="546" t="s">
        <v>2559</v>
      </c>
      <c r="C67" s="547" t="str">
        <f>C68&amp;"（含）"&amp;"-"&amp;D68</f>
        <v>0（含）-1</v>
      </c>
      <c r="D67" s="547" t="str">
        <f t="shared" ref="D67:L67" si="21">D68&amp;"（含）"&amp;"-"&amp;E68</f>
        <v>1（含）-2</v>
      </c>
      <c r="E67" s="547" t="str">
        <f t="shared" si="21"/>
        <v>2（含）-3</v>
      </c>
      <c r="F67" s="547" t="str">
        <f t="shared" si="21"/>
        <v>3（含）-4</v>
      </c>
      <c r="G67" s="547" t="str">
        <f t="shared" si="21"/>
        <v>4（含）-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v>0</v>
      </c>
      <c r="D68" s="549">
        <v>1</v>
      </c>
      <c r="E68" s="549">
        <v>2</v>
      </c>
      <c r="F68" s="549">
        <v>3</v>
      </c>
      <c r="G68" s="549">
        <v>4</v>
      </c>
      <c r="H68" s="549"/>
      <c r="I68" s="549"/>
      <c r="J68" s="549"/>
      <c r="K68" s="550"/>
      <c r="L68" s="551"/>
      <c r="M68" s="552"/>
      <c r="N68" s="1155"/>
      <c r="O68" s="1155"/>
      <c r="P68" s="2632"/>
      <c r="Q68" s="504"/>
    </row>
    <row r="69" spans="1:17" ht="15.75" thickBot="1">
      <c r="A69" s="534"/>
      <c r="B69" s="535"/>
      <c r="C69" s="544">
        <v>100</v>
      </c>
      <c r="D69" s="544">
        <f t="shared" ref="D69:M69" si="22">C69-$K11</f>
        <v>98</v>
      </c>
      <c r="E69" s="544">
        <f t="shared" si="22"/>
        <v>96</v>
      </c>
      <c r="F69" s="544">
        <f t="shared" si="22"/>
        <v>94</v>
      </c>
      <c r="G69" s="544">
        <f t="shared" si="22"/>
        <v>92</v>
      </c>
      <c r="H69" s="544">
        <f t="shared" si="22"/>
        <v>90</v>
      </c>
      <c r="I69" s="544">
        <f t="shared" si="22"/>
        <v>88</v>
      </c>
      <c r="J69" s="544">
        <f t="shared" si="22"/>
        <v>86</v>
      </c>
      <c r="K69" s="544">
        <f t="shared" si="22"/>
        <v>84</v>
      </c>
      <c r="L69" s="544">
        <f t="shared" si="22"/>
        <v>82</v>
      </c>
      <c r="M69" s="545">
        <f t="shared" si="22"/>
        <v>80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32"/>
      <c r="Q81" s="504"/>
    </row>
    <row r="82" spans="1:17" ht="15.75" thickTop="1">
      <c r="A82" s="534"/>
      <c r="B82" s="546" t="s">
        <v>2100</v>
      </c>
      <c r="C82" s="539" t="s">
        <v>2605</v>
      </c>
      <c r="D82" s="539" t="s">
        <v>2606</v>
      </c>
      <c r="E82" s="539" t="s">
        <v>2607</v>
      </c>
      <c r="F82" s="539" t="s">
        <v>2608</v>
      </c>
      <c r="G82" s="539" t="s">
        <v>2609</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2611</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2612</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ht="15" thickTop="1">
      <c r="A100" s="527" t="s">
        <v>2564</v>
      </c>
      <c r="B100" s="528" t="s">
        <v>2613</v>
      </c>
      <c r="C100" s="2981" t="s">
        <v>3269</v>
      </c>
      <c r="D100" s="2954" t="s">
        <v>3120</v>
      </c>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29.25" thickTop="1">
      <c r="A102" s="534"/>
      <c r="B102" s="538" t="s">
        <v>2614</v>
      </c>
      <c r="C102" s="578" t="str">
        <f>C103&amp;"(含)"&amp;"-"&amp;D103</f>
        <v>0(含)-50000</v>
      </c>
      <c r="D102" s="578" t="str">
        <f t="shared" ref="D102:L102" si="27">D103&amp;"(含)"&amp;"-"&amp;E103</f>
        <v>50000(含)-100000</v>
      </c>
      <c r="E102" s="578" t="str">
        <f t="shared" si="27"/>
        <v>100000(含)-150000</v>
      </c>
      <c r="F102" s="578" t="str">
        <f t="shared" si="27"/>
        <v>150000(含)-200000</v>
      </c>
      <c r="G102" s="578" t="str">
        <f t="shared" si="27"/>
        <v>200000(含)-250000</v>
      </c>
      <c r="H102" s="578" t="str">
        <f t="shared" si="27"/>
        <v>250000(含)-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v>0</v>
      </c>
      <c r="D103" s="595">
        <v>50000</v>
      </c>
      <c r="E103" s="595">
        <v>100000</v>
      </c>
      <c r="F103" s="595">
        <v>150000</v>
      </c>
      <c r="G103" s="595">
        <v>200000</v>
      </c>
      <c r="H103" s="595">
        <v>250000</v>
      </c>
      <c r="I103" s="595"/>
      <c r="J103" s="596"/>
      <c r="K103" s="596"/>
      <c r="L103" s="597"/>
      <c r="M103" s="598"/>
      <c r="N103" s="1157"/>
      <c r="O103" s="1157"/>
      <c r="P103" s="2633"/>
      <c r="Q103" s="559"/>
    </row>
    <row r="104" spans="1:17" s="471" customFormat="1" ht="15.75" thickBot="1">
      <c r="A104" s="553"/>
      <c r="B104" s="543"/>
      <c r="C104" s="560">
        <v>100</v>
      </c>
      <c r="D104" s="536">
        <v>102</v>
      </c>
      <c r="E104" s="536">
        <v>104</v>
      </c>
      <c r="F104" s="536">
        <v>106</v>
      </c>
      <c r="G104" s="536">
        <v>108</v>
      </c>
      <c r="H104" s="536">
        <v>110</v>
      </c>
      <c r="I104" s="536"/>
      <c r="J104" s="536"/>
      <c r="K104" s="536"/>
      <c r="L104" s="536"/>
      <c r="M104" s="536"/>
      <c r="N104" s="1156"/>
      <c r="O104" s="1156"/>
      <c r="P104" s="2633"/>
      <c r="Q104" s="559"/>
    </row>
    <row r="105" spans="1:17" ht="15" thickTop="1">
      <c r="A105" s="599"/>
      <c r="B105" s="538" t="s">
        <v>2615</v>
      </c>
      <c r="C105" s="554" t="s">
        <v>3256</v>
      </c>
      <c r="D105" s="554" t="s">
        <v>3240</v>
      </c>
      <c r="E105" s="583" t="s">
        <v>3257</v>
      </c>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32"/>
      <c r="Q106" s="504"/>
    </row>
    <row r="107" spans="1:17" ht="15" thickTop="1">
      <c r="A107" s="599"/>
      <c r="B107" s="538" t="s">
        <v>2616</v>
      </c>
      <c r="C107" s="583" t="s">
        <v>3241</v>
      </c>
      <c r="D107" s="583" t="s">
        <v>3258</v>
      </c>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95</v>
      </c>
      <c r="E108" s="544">
        <f t="shared" si="29"/>
        <v>90</v>
      </c>
      <c r="F108" s="544">
        <f t="shared" si="29"/>
        <v>85</v>
      </c>
      <c r="G108" s="544">
        <f t="shared" si="29"/>
        <v>80</v>
      </c>
      <c r="H108" s="544">
        <f t="shared" si="29"/>
        <v>75</v>
      </c>
      <c r="I108" s="544">
        <f t="shared" si="29"/>
        <v>70</v>
      </c>
      <c r="J108" s="544">
        <f t="shared" si="29"/>
        <v>65</v>
      </c>
      <c r="K108" s="544">
        <f t="shared" si="29"/>
        <v>60</v>
      </c>
      <c r="L108" s="544">
        <f t="shared" si="29"/>
        <v>55</v>
      </c>
      <c r="M108" s="544">
        <f t="shared" si="29"/>
        <v>50</v>
      </c>
      <c r="N108" s="1156"/>
      <c r="O108" s="1156"/>
      <c r="P108" s="2632"/>
      <c r="Q108" s="504"/>
    </row>
    <row r="109" spans="1:17" ht="15" thickTop="1">
      <c r="A109" s="599"/>
      <c r="B109" s="538" t="s">
        <v>2617</v>
      </c>
      <c r="C109" s="554" t="s">
        <v>3242</v>
      </c>
      <c r="D109" s="554" t="s">
        <v>3259</v>
      </c>
      <c r="E109" s="554" t="s">
        <v>3253</v>
      </c>
      <c r="F109" s="583" t="s">
        <v>3246</v>
      </c>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32"/>
      <c r="Q110" s="504"/>
    </row>
    <row r="111" spans="1:17" s="471" customFormat="1" ht="15" thickTop="1">
      <c r="A111" s="593"/>
      <c r="B111" s="538" t="s">
        <v>1998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3"/>
      <c r="Q113" s="559"/>
    </row>
    <row r="114" spans="1:17" ht="15" thickTop="1">
      <c r="A114" s="599"/>
      <c r="B114" s="538" t="s">
        <v>2618</v>
      </c>
      <c r="C114" s="554" t="s">
        <v>3243</v>
      </c>
      <c r="D114" s="554" t="s">
        <v>3260</v>
      </c>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97</v>
      </c>
      <c r="E115" s="544">
        <f t="shared" si="31"/>
        <v>94</v>
      </c>
      <c r="F115" s="544">
        <f t="shared" si="31"/>
        <v>91</v>
      </c>
      <c r="G115" s="544">
        <f t="shared" si="31"/>
        <v>88</v>
      </c>
      <c r="H115" s="544">
        <f t="shared" si="31"/>
        <v>85</v>
      </c>
      <c r="I115" s="544">
        <f t="shared" si="31"/>
        <v>82</v>
      </c>
      <c r="J115" s="544">
        <f t="shared" si="31"/>
        <v>79</v>
      </c>
      <c r="K115" s="544">
        <f t="shared" si="31"/>
        <v>76</v>
      </c>
      <c r="L115" s="544">
        <f t="shared" si="31"/>
        <v>73</v>
      </c>
      <c r="M115" s="544">
        <f t="shared" si="31"/>
        <v>70</v>
      </c>
      <c r="N115" s="1156"/>
      <c r="O115" s="1156"/>
      <c r="P115" s="2632"/>
      <c r="Q115" s="504"/>
    </row>
    <row r="116" spans="1:17" ht="15" thickTop="1">
      <c r="A116" s="599"/>
      <c r="B116" s="538" t="s">
        <v>2619</v>
      </c>
      <c r="C116" s="554" t="s">
        <v>3066</v>
      </c>
      <c r="D116" s="554" t="s">
        <v>3244</v>
      </c>
      <c r="E116" s="554" t="s">
        <v>3261</v>
      </c>
      <c r="F116" s="554" t="s">
        <v>3262</v>
      </c>
      <c r="G116" s="554" t="s">
        <v>3263</v>
      </c>
      <c r="H116" s="583"/>
      <c r="I116" s="583"/>
      <c r="J116" s="583"/>
      <c r="K116" s="584"/>
      <c r="L116" s="585"/>
      <c r="M116" s="586"/>
      <c r="N116" s="1155"/>
      <c r="O116" s="1155"/>
      <c r="P116" s="2632"/>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6"/>
      <c r="O117" s="1156"/>
      <c r="P117" s="2632"/>
      <c r="Q117" s="504"/>
    </row>
    <row r="118" spans="1:17" ht="15" thickTop="1">
      <c r="A118" s="599"/>
      <c r="B118" s="538" t="s">
        <v>2620</v>
      </c>
      <c r="C118" s="2981" t="s">
        <v>3269</v>
      </c>
      <c r="D118" s="583" t="s">
        <v>3239</v>
      </c>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2621</v>
      </c>
      <c r="C122" s="2980" t="s">
        <v>3251</v>
      </c>
      <c r="D122" s="2980" t="s">
        <v>3252</v>
      </c>
      <c r="E122" s="2980" t="s">
        <v>3254</v>
      </c>
      <c r="F122" s="2981" t="s">
        <v>3255</v>
      </c>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7">
        <v>6</v>
      </c>
      <c r="C139" s="1088">
        <v>96</v>
      </c>
      <c r="D139" s="2650" t="s">
        <v>2632</v>
      </c>
      <c r="E139" s="1089">
        <v>100</v>
      </c>
      <c r="F139" s="1090">
        <v>102.5</v>
      </c>
      <c r="G139" s="2650" t="s">
        <v>2632</v>
      </c>
      <c r="H139" s="1091">
        <v>105</v>
      </c>
      <c r="I139" s="2651" t="s">
        <v>2633</v>
      </c>
      <c r="J139" s="1088">
        <v>20</v>
      </c>
      <c r="K139" s="1092">
        <f>C145/(J139-2)</f>
        <v>4.0555555555555553E-3</v>
      </c>
    </row>
    <row r="140" spans="1:17" ht="15">
      <c r="B140" s="1093">
        <v>5</v>
      </c>
      <c r="C140" s="1094">
        <v>100</v>
      </c>
      <c r="D140" s="1094"/>
      <c r="E140" s="1095"/>
      <c r="F140" s="1096">
        <v>102</v>
      </c>
      <c r="G140" s="1094"/>
      <c r="H140" s="1097"/>
      <c r="I140" s="2652" t="s">
        <v>2634</v>
      </c>
      <c r="J140" s="315">
        <f>ROUNDUP((J139-1)/2,0)</f>
        <v>10</v>
      </c>
      <c r="K140" s="1098">
        <v>100</v>
      </c>
    </row>
    <row r="141" spans="1:17" ht="15">
      <c r="B141" s="1093">
        <v>4</v>
      </c>
      <c r="C141" s="1094">
        <v>102</v>
      </c>
      <c r="D141" s="1094"/>
      <c r="E141" s="1095"/>
      <c r="F141" s="1096">
        <v>101.5</v>
      </c>
      <c r="G141" s="1094"/>
      <c r="H141" s="1097"/>
      <c r="I141" s="2652" t="s">
        <v>2635</v>
      </c>
      <c r="J141" s="315">
        <v>1</v>
      </c>
      <c r="K141" s="1099">
        <f>ROUND(100+(J141-J140)*K139*100,1)</f>
        <v>96.4</v>
      </c>
    </row>
    <row r="142" spans="1:17" ht="15">
      <c r="B142" s="1093">
        <v>3</v>
      </c>
      <c r="C142" s="1094">
        <v>103</v>
      </c>
      <c r="D142" s="1094"/>
      <c r="E142" s="1095"/>
      <c r="F142" s="1096">
        <v>101</v>
      </c>
      <c r="G142" s="1094"/>
      <c r="H142" s="1097"/>
      <c r="I142" s="2652" t="s">
        <v>2636</v>
      </c>
      <c r="J142" s="315">
        <f>J139</f>
        <v>20</v>
      </c>
      <c r="K142" s="1100">
        <v>95</v>
      </c>
    </row>
    <row r="143" spans="1:17" ht="15">
      <c r="B143" s="1093">
        <v>2</v>
      </c>
      <c r="C143" s="1094">
        <v>100</v>
      </c>
      <c r="D143" s="1094"/>
      <c r="E143" s="1095"/>
      <c r="F143" s="1096">
        <v>100.5</v>
      </c>
      <c r="G143" s="1094"/>
      <c r="H143" s="1097"/>
      <c r="I143" s="2652" t="s">
        <v>2637</v>
      </c>
      <c r="J143" s="1094">
        <v>15</v>
      </c>
      <c r="K143" s="1099">
        <f>ROUND(100+(J143-J140)*K139*100,1)</f>
        <v>102</v>
      </c>
    </row>
    <row r="144" spans="1:17" ht="15">
      <c r="B144" s="1093">
        <v>1</v>
      </c>
      <c r="C144" s="1094">
        <v>98</v>
      </c>
      <c r="D144" s="2653" t="s">
        <v>2638</v>
      </c>
      <c r="E144" s="1095">
        <v>102</v>
      </c>
      <c r="F144" s="1101">
        <v>100</v>
      </c>
      <c r="G144" s="2653" t="s">
        <v>2638</v>
      </c>
      <c r="H144" s="1097">
        <v>105</v>
      </c>
      <c r="I144" s="2652" t="s">
        <v>2637</v>
      </c>
      <c r="J144" s="1094">
        <v>18</v>
      </c>
      <c r="K144" s="1099">
        <f>ROUND(100+(J144-J140)*K139*100,1)</f>
        <v>103.2</v>
      </c>
    </row>
    <row r="145" spans="2:11" ht="15.75" thickBot="1">
      <c r="B145" s="2654" t="s">
        <v>2639</v>
      </c>
      <c r="C145" s="1102">
        <f>ROUND(MAX(C139:C144)/MIN(C139:C144)-1,3)</f>
        <v>7.2999999999999995E-2</v>
      </c>
      <c r="D145" s="1103"/>
      <c r="E145" s="1103"/>
      <c r="F145" s="2655" t="s">
        <v>2640</v>
      </c>
      <c r="G145" s="2656"/>
      <c r="H145" s="2657"/>
      <c r="I145" s="2658" t="s">
        <v>2637</v>
      </c>
      <c r="J145" s="1104">
        <v>8</v>
      </c>
      <c r="K145" s="1105">
        <f>ROUND(100+(J145-J140)*K139*100,1)</f>
        <v>99.2</v>
      </c>
    </row>
    <row r="147" spans="2:11">
      <c r="B147" s="2639" t="s">
        <v>2641</v>
      </c>
    </row>
    <row r="148" spans="2:11">
      <c r="B148" s="2639" t="s">
        <v>2642</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151" priority="14" stopIfTrue="1" operator="containsText" text="超过">
      <formula>NOT(ISERROR(SEARCH("超过",F52)))</formula>
    </cfRule>
  </conditionalFormatting>
  <conditionalFormatting sqref="J54">
    <cfRule type="containsText" dxfId="150" priority="13" stopIfTrue="1" operator="containsText" text="超过">
      <formula>NOT(ISERROR(SEARCH("超过",J54)))</formula>
    </cfRule>
  </conditionalFormatting>
  <conditionalFormatting sqref="H54">
    <cfRule type="containsText" dxfId="149" priority="12" stopIfTrue="1" operator="containsText" text="超过">
      <formula>NOT(ISERROR(SEARCH("超过",H54)))</formula>
    </cfRule>
  </conditionalFormatting>
  <conditionalFormatting sqref="F54">
    <cfRule type="containsText" dxfId="148" priority="11" stopIfTrue="1" operator="containsText" text="超过">
      <formula>NOT(ISERROR(SEARCH("超过",F54)))</formula>
    </cfRule>
  </conditionalFormatting>
  <conditionalFormatting sqref="F53 H53 J53">
    <cfRule type="containsText" dxfId="147" priority="10" stopIfTrue="1" operator="containsText" text="超过">
      <formula>NOT(ISERROR(SEARCH("超过",F53)))</formula>
    </cfRule>
  </conditionalFormatting>
  <conditionalFormatting sqref="E52">
    <cfRule type="expression" dxfId="146" priority="9" stopIfTrue="1">
      <formula>$F$52="超过30%"</formula>
    </cfRule>
  </conditionalFormatting>
  <conditionalFormatting sqref="G54">
    <cfRule type="expression" dxfId="145" priority="8" stopIfTrue="1">
      <formula>$H$54="超过30%"</formula>
    </cfRule>
  </conditionalFormatting>
  <conditionalFormatting sqref="E53">
    <cfRule type="expression" dxfId="144" priority="7" stopIfTrue="1">
      <formula>$F$53="超过20%"</formula>
    </cfRule>
  </conditionalFormatting>
  <conditionalFormatting sqref="E54">
    <cfRule type="expression" dxfId="143" priority="6" stopIfTrue="1">
      <formula>$F$54="超过30%"</formula>
    </cfRule>
  </conditionalFormatting>
  <conditionalFormatting sqref="G52">
    <cfRule type="expression" dxfId="142" priority="5" stopIfTrue="1">
      <formula>$H$52="超过30%"</formula>
    </cfRule>
  </conditionalFormatting>
  <conditionalFormatting sqref="G53">
    <cfRule type="expression" dxfId="141" priority="4" stopIfTrue="1">
      <formula>$H$53="超过20%"</formula>
    </cfRule>
  </conditionalFormatting>
  <conditionalFormatting sqref="I52">
    <cfRule type="expression" dxfId="140" priority="3" stopIfTrue="1">
      <formula>$J$52="超过30%"</formula>
    </cfRule>
  </conditionalFormatting>
  <conditionalFormatting sqref="I53">
    <cfRule type="expression" dxfId="139" priority="2" stopIfTrue="1">
      <formula>$J$53="超过20%"</formula>
    </cfRule>
  </conditionalFormatting>
  <conditionalFormatting sqref="I54">
    <cfRule type="expression" dxfId="13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A41" sqref="A41:XFD41"/>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2530</v>
      </c>
      <c r="C1" s="1637" t="s">
        <v>2531</v>
      </c>
      <c r="D1" s="1624" t="s">
        <v>3181</v>
      </c>
      <c r="E1" s="2585"/>
      <c r="F1" s="2586" t="s">
        <v>2532</v>
      </c>
      <c r="G1" s="1634" t="s">
        <v>2533</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95494</v>
      </c>
      <c r="C2" s="2588" t="s">
        <v>70</v>
      </c>
      <c r="D2" s="1368" t="e">
        <f ca="1">SUMIF(INDIRECT("'"&amp;F2&amp;"'"&amp;"!A:A"),"承租人权益价值",INDIRECT("'"&amp;F2&amp;"'"&amp;"!c:c"))</f>
        <v>#REF!</v>
      </c>
      <c r="E2" s="2589" t="s">
        <v>2332</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f>IF(C2="——",C49,ROUND(B2*10000/D3,0))</f>
        <v>35172</v>
      </c>
      <c r="C3" s="400" t="s">
        <v>2535</v>
      </c>
      <c r="D3" s="399">
        <f>IF(D1="",'数据-汇总表'!E3,SUMIF('数据-汇总表'!$C19:$C33,D1,'数据-汇总表'!$E19:$E33))</f>
        <v>27150.61</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2536</v>
      </c>
      <c r="B4" s="402"/>
      <c r="C4" s="3192" t="s">
        <v>2537</v>
      </c>
      <c r="D4" s="3193"/>
      <c r="E4" s="3194" t="s">
        <v>2538</v>
      </c>
      <c r="F4" s="3195"/>
      <c r="G4" s="3192" t="s">
        <v>2539</v>
      </c>
      <c r="H4" s="3193"/>
      <c r="I4" s="3192" t="s">
        <v>2540</v>
      </c>
      <c r="J4" s="3193"/>
      <c r="K4" s="2598" t="s">
        <v>2541</v>
      </c>
      <c r="L4" s="1133"/>
      <c r="M4" s="1134"/>
      <c r="N4" s="1134"/>
      <c r="O4" s="1134"/>
      <c r="P4" s="3196" t="s">
        <v>2542</v>
      </c>
      <c r="Q4" s="3197"/>
      <c r="R4" s="3179" t="s">
        <v>2538</v>
      </c>
      <c r="S4" s="3180"/>
      <c r="T4" s="3179" t="s">
        <v>2539</v>
      </c>
      <c r="U4" s="3180"/>
      <c r="V4" s="3204" t="s">
        <v>2540</v>
      </c>
      <c r="W4" s="3204"/>
      <c r="X4" s="2970"/>
      <c r="Y4" s="3179" t="s">
        <v>2542</v>
      </c>
      <c r="Z4" s="3180"/>
      <c r="AA4" s="3174" t="s">
        <v>2538</v>
      </c>
      <c r="AB4" s="3174" t="s">
        <v>2539</v>
      </c>
      <c r="AC4" s="3174" t="s">
        <v>2540</v>
      </c>
    </row>
    <row r="5" spans="1:29" ht="15">
      <c r="A5" s="404"/>
      <c r="B5" s="405"/>
      <c r="C5" s="3185" t="s">
        <v>2543</v>
      </c>
      <c r="D5" s="3186"/>
      <c r="E5" s="3225" t="s">
        <v>3273</v>
      </c>
      <c r="F5" s="3184"/>
      <c r="G5" s="3185" t="s">
        <v>3236</v>
      </c>
      <c r="H5" s="3186"/>
      <c r="I5" s="3226" t="s">
        <v>3278</v>
      </c>
      <c r="J5" s="3186"/>
      <c r="K5" s="2599"/>
      <c r="L5" s="1133"/>
      <c r="M5" s="1134"/>
      <c r="N5" s="1134"/>
      <c r="O5" s="1134"/>
      <c r="P5" s="3198"/>
      <c r="Q5" s="3199"/>
      <c r="R5" s="3181"/>
      <c r="S5" s="3182"/>
      <c r="T5" s="3181"/>
      <c r="U5" s="3182"/>
      <c r="V5" s="3204"/>
      <c r="W5" s="3204"/>
      <c r="X5" s="2970"/>
      <c r="Y5" s="3181"/>
      <c r="Z5" s="3182"/>
      <c r="AA5" s="3175"/>
      <c r="AB5" s="3175"/>
      <c r="AC5" s="3175"/>
    </row>
    <row r="6" spans="1:29" ht="15.75" thickBot="1">
      <c r="A6" s="406"/>
      <c r="B6" s="407"/>
      <c r="C6" s="3187" t="s">
        <v>2547</v>
      </c>
      <c r="D6" s="3188"/>
      <c r="E6" s="3189" t="s">
        <v>3275</v>
      </c>
      <c r="F6" s="3190"/>
      <c r="G6" s="3187" t="s">
        <v>3274</v>
      </c>
      <c r="H6" s="3188"/>
      <c r="I6" s="3187" t="s">
        <v>3279</v>
      </c>
      <c r="J6" s="3188"/>
      <c r="K6" s="2599" t="s">
        <v>2548</v>
      </c>
      <c r="L6" s="1133"/>
      <c r="M6" s="1134"/>
      <c r="N6" s="1134"/>
      <c r="O6" s="1134"/>
      <c r="P6" s="3200"/>
      <c r="Q6" s="3201"/>
      <c r="R6" s="3181"/>
      <c r="S6" s="3182"/>
      <c r="T6" s="3202"/>
      <c r="U6" s="3203"/>
      <c r="V6" s="3204"/>
      <c r="W6" s="3204"/>
      <c r="X6" s="2970"/>
      <c r="Y6" s="3202"/>
      <c r="Z6" s="3203"/>
      <c r="AA6" s="3176"/>
      <c r="AB6" s="3176"/>
      <c r="AC6" s="3176"/>
    </row>
    <row r="7" spans="1:29" s="117" customFormat="1" ht="15.75" thickBot="1">
      <c r="A7" s="408" t="s">
        <v>2549</v>
      </c>
      <c r="B7" s="409"/>
      <c r="C7" s="410">
        <f>'数据-取费表'!B2</f>
        <v>43202</v>
      </c>
      <c r="D7" s="411">
        <v>100</v>
      </c>
      <c r="E7" s="412">
        <f>C7</f>
        <v>43202</v>
      </c>
      <c r="F7" s="413">
        <f>SUMIF(58:58,YEAR(E7)&amp;"-"&amp;MONTH(E7),59:59)</f>
        <v>100</v>
      </c>
      <c r="G7" s="412">
        <f>C7</f>
        <v>43202</v>
      </c>
      <c r="H7" s="411">
        <f>SUMIF(58:58,YEAR(G7)&amp;"-"&amp;MONTH(G7),59:59)</f>
        <v>100</v>
      </c>
      <c r="I7" s="412">
        <f>C7</f>
        <v>43202</v>
      </c>
      <c r="J7" s="411">
        <f>SUMIF(58:58,YEAR(I7)&amp;"-"&amp;MONTH(I7),59:59)</f>
        <v>100</v>
      </c>
      <c r="K7" s="2600"/>
      <c r="L7" s="1135"/>
      <c r="M7" s="1136"/>
      <c r="N7" s="1136"/>
      <c r="O7" s="1136"/>
      <c r="P7" s="3177" t="s">
        <v>2550</v>
      </c>
      <c r="Q7" s="3205"/>
      <c r="R7" s="770" t="s">
        <v>23</v>
      </c>
      <c r="S7" s="771">
        <f t="shared" ref="S7:S15" si="0">F7</f>
        <v>100</v>
      </c>
      <c r="T7" s="770" t="s">
        <v>23</v>
      </c>
      <c r="U7" s="771">
        <f t="shared" ref="U7:U15" si="1">H7</f>
        <v>100</v>
      </c>
      <c r="V7" s="770" t="s">
        <v>23</v>
      </c>
      <c r="W7" s="771">
        <f t="shared" ref="W7:W15" si="2">J7</f>
        <v>100</v>
      </c>
      <c r="X7" s="772"/>
      <c r="Y7" s="3177" t="s">
        <v>2550</v>
      </c>
      <c r="Z7" s="3178"/>
      <c r="AA7" s="773">
        <f>D7/F7</f>
        <v>1</v>
      </c>
      <c r="AB7" s="773">
        <f>D7/H7</f>
        <v>1</v>
      </c>
      <c r="AC7" s="773">
        <f>D7/J7</f>
        <v>1</v>
      </c>
    </row>
    <row r="8" spans="1:29" s="117" customFormat="1" ht="15.75" thickBot="1">
      <c r="A8" s="408" t="s">
        <v>2551</v>
      </c>
      <c r="B8" s="409"/>
      <c r="C8" s="414" t="s">
        <v>2552</v>
      </c>
      <c r="D8" s="411">
        <v>100</v>
      </c>
      <c r="E8" s="2601" t="s">
        <v>3063</v>
      </c>
      <c r="F8" s="413">
        <f>SUMIF(61:61,E8,62:62)-SUMIF(61:61,C8,62:62)+100</f>
        <v>100</v>
      </c>
      <c r="G8" s="414" t="s">
        <v>3063</v>
      </c>
      <c r="H8" s="411">
        <f>SUMIF(61:61,G8,62:62)-SUMIF(61:61,C8,62:62)+100</f>
        <v>100</v>
      </c>
      <c r="I8" s="2601" t="s">
        <v>3063</v>
      </c>
      <c r="J8" s="411">
        <f>SUMIF(61:61,I8,62:62)-SUMIF(61:61,C8,62:62)+100</f>
        <v>100</v>
      </c>
      <c r="K8" s="2600"/>
      <c r="L8" s="1135"/>
      <c r="M8" s="1136"/>
      <c r="N8" s="1136"/>
      <c r="O8" s="1136"/>
      <c r="P8" s="3177" t="s">
        <v>2553</v>
      </c>
      <c r="Q8" s="3178"/>
      <c r="R8" s="770" t="s">
        <v>23</v>
      </c>
      <c r="S8" s="771">
        <f t="shared" si="0"/>
        <v>100</v>
      </c>
      <c r="T8" s="770" t="s">
        <v>23</v>
      </c>
      <c r="U8" s="771">
        <f t="shared" si="1"/>
        <v>100</v>
      </c>
      <c r="V8" s="770" t="s">
        <v>23</v>
      </c>
      <c r="W8" s="771">
        <f t="shared" si="2"/>
        <v>100</v>
      </c>
      <c r="X8" s="772"/>
      <c r="Y8" s="3177" t="s">
        <v>2553</v>
      </c>
      <c r="Z8" s="3178"/>
      <c r="AA8" s="773">
        <f t="shared" ref="AA8:AA19" si="3">D8/F8</f>
        <v>1</v>
      </c>
      <c r="AB8" s="773">
        <f t="shared" ref="AB8:AB19" si="4">D8/H8</f>
        <v>1</v>
      </c>
      <c r="AC8" s="773">
        <f t="shared" ref="AC8:AC19" si="5">D8/J8</f>
        <v>1</v>
      </c>
    </row>
    <row r="9" spans="1:29" s="117" customFormat="1">
      <c r="A9" s="415" t="s">
        <v>2554</v>
      </c>
      <c r="B9" s="71" t="s">
        <v>2555</v>
      </c>
      <c r="C9" s="2979" t="s">
        <v>3249</v>
      </c>
      <c r="D9" s="135">
        <v>100</v>
      </c>
      <c r="E9" s="417" t="s">
        <v>3086</v>
      </c>
      <c r="F9" s="418">
        <f>SUMIF(63:63,E9,64:64)-SUMIF(63:63,C9,64:64)+100</f>
        <v>100</v>
      </c>
      <c r="G9" s="419" t="s">
        <v>3086</v>
      </c>
      <c r="H9" s="135">
        <f>SUMIF(63:63,G9,64:64)-SUMIF(63:63,C9,64:64)+100</f>
        <v>100</v>
      </c>
      <c r="I9" s="419" t="s">
        <v>3086</v>
      </c>
      <c r="J9" s="135">
        <f>SUMIF(63:63,I9,64:64)-SUMIF(63:63,C9,64:64)+100</f>
        <v>100</v>
      </c>
      <c r="K9" s="2600"/>
      <c r="L9" s="1135"/>
      <c r="M9" s="1136"/>
      <c r="N9" s="1136"/>
      <c r="O9" s="1136"/>
      <c r="P9" s="3215" t="s">
        <v>2556</v>
      </c>
      <c r="Q9" s="2958" t="str">
        <f t="shared" ref="Q9:Q15" si="6">B9</f>
        <v>用途</v>
      </c>
      <c r="R9" s="770" t="s">
        <v>17</v>
      </c>
      <c r="S9" s="771">
        <f t="shared" si="0"/>
        <v>100</v>
      </c>
      <c r="T9" s="770" t="s">
        <v>17</v>
      </c>
      <c r="U9" s="771">
        <f t="shared" si="1"/>
        <v>100</v>
      </c>
      <c r="V9" s="770" t="s">
        <v>17</v>
      </c>
      <c r="W9" s="771">
        <f t="shared" si="2"/>
        <v>100</v>
      </c>
      <c r="X9" s="772"/>
      <c r="Y9" s="3051" t="s">
        <v>2557</v>
      </c>
      <c r="Z9" s="2959" t="str">
        <f t="shared" ref="Z9:Z15" si="7">Q9</f>
        <v>用途</v>
      </c>
      <c r="AA9" s="773">
        <f t="shared" si="3"/>
        <v>1</v>
      </c>
      <c r="AB9" s="773">
        <f t="shared" si="4"/>
        <v>1</v>
      </c>
      <c r="AC9" s="773">
        <f t="shared" si="5"/>
        <v>1</v>
      </c>
    </row>
    <row r="10" spans="1:29" s="427" customFormat="1" ht="27">
      <c r="A10" s="421"/>
      <c r="B10" s="2967" t="s">
        <v>2558</v>
      </c>
      <c r="C10" s="423" t="s">
        <v>3250</v>
      </c>
      <c r="D10" s="136">
        <v>100</v>
      </c>
      <c r="E10" s="424" t="s">
        <v>3250</v>
      </c>
      <c r="F10" s="425">
        <f>SUMIF(65:65,E10,66:66)-SUMIF(65:65,C10,66:66)+100</f>
        <v>100</v>
      </c>
      <c r="G10" s="423" t="s">
        <v>3250</v>
      </c>
      <c r="H10" s="136">
        <f>SUMIF(65:65,G10,66:66)-SUMIF(65:65,C10,66:66)+100</f>
        <v>100</v>
      </c>
      <c r="I10" s="423" t="s">
        <v>3250</v>
      </c>
      <c r="J10" s="136">
        <f>SUMIF(65:65,I10,66:66)-SUMIF(65:65,C10,66:66)+100</f>
        <v>100</v>
      </c>
      <c r="K10" s="426">
        <v>1</v>
      </c>
      <c r="L10" s="1138"/>
      <c r="M10" s="1139"/>
      <c r="N10" s="1139"/>
      <c r="O10" s="1139"/>
      <c r="P10" s="3215"/>
      <c r="Q10" s="2958" t="str">
        <f t="shared" si="6"/>
        <v>土地使用年限（年）</v>
      </c>
      <c r="R10" s="770" t="s">
        <v>17</v>
      </c>
      <c r="S10" s="771">
        <f t="shared" si="0"/>
        <v>100</v>
      </c>
      <c r="T10" s="770" t="s">
        <v>17</v>
      </c>
      <c r="U10" s="771">
        <f t="shared" si="1"/>
        <v>100</v>
      </c>
      <c r="V10" s="770" t="s">
        <v>17</v>
      </c>
      <c r="W10" s="771">
        <f t="shared" si="2"/>
        <v>100</v>
      </c>
      <c r="X10" s="772"/>
      <c r="Y10" s="3051"/>
      <c r="Z10" s="2959" t="str">
        <f t="shared" si="7"/>
        <v>土地使用年限（年）</v>
      </c>
      <c r="AA10" s="773">
        <f t="shared" si="3"/>
        <v>1</v>
      </c>
      <c r="AB10" s="773">
        <f t="shared" si="4"/>
        <v>1</v>
      </c>
      <c r="AC10" s="773">
        <f t="shared" si="5"/>
        <v>1</v>
      </c>
    </row>
    <row r="11" spans="1:29" ht="15.75" thickBot="1">
      <c r="A11" s="428"/>
      <c r="B11" s="2967" t="s">
        <v>2559</v>
      </c>
      <c r="C11" s="429">
        <v>1.5</v>
      </c>
      <c r="D11" s="136">
        <v>100</v>
      </c>
      <c r="E11" s="430">
        <v>1.1000000000000001</v>
      </c>
      <c r="F11" s="425">
        <f>LOOKUP(E11,68:68,69:69)-LOOKUP(C11,68:68,69:69)+100</f>
        <v>100</v>
      </c>
      <c r="G11" s="429">
        <v>1.8</v>
      </c>
      <c r="H11" s="136">
        <f>LOOKUP(G11,68:68,69:69)-LOOKUP(C11,68:68,69:69)+100</f>
        <v>100</v>
      </c>
      <c r="I11" s="429">
        <v>1.2</v>
      </c>
      <c r="J11" s="136">
        <f>LOOKUP(I11,68:68,69:69)-LOOKUP(C11,68:68,69:69)+100</f>
        <v>100</v>
      </c>
      <c r="K11" s="426">
        <v>2</v>
      </c>
      <c r="L11" s="1141"/>
      <c r="M11" s="1134"/>
      <c r="N11" s="1134"/>
      <c r="O11" s="1134"/>
      <c r="P11" s="3215"/>
      <c r="Q11" s="2958" t="str">
        <f t="shared" si="6"/>
        <v>容积率</v>
      </c>
      <c r="R11" s="770" t="s">
        <v>21</v>
      </c>
      <c r="S11" s="771">
        <f t="shared" si="0"/>
        <v>100</v>
      </c>
      <c r="T11" s="770" t="s">
        <v>21</v>
      </c>
      <c r="U11" s="771">
        <f t="shared" si="1"/>
        <v>100</v>
      </c>
      <c r="V11" s="770" t="s">
        <v>21</v>
      </c>
      <c r="W11" s="771">
        <f t="shared" si="2"/>
        <v>100</v>
      </c>
      <c r="X11" s="772"/>
      <c r="Y11" s="3051"/>
      <c r="Z11" s="2959" t="str">
        <f t="shared" si="7"/>
        <v>容积率</v>
      </c>
      <c r="AA11" s="773">
        <f t="shared" si="3"/>
        <v>1</v>
      </c>
      <c r="AB11" s="773">
        <f t="shared" si="4"/>
        <v>1</v>
      </c>
      <c r="AC11" s="773">
        <f t="shared" si="5"/>
        <v>1</v>
      </c>
    </row>
    <row r="12" spans="1:29" s="117" customFormat="1" ht="15.75" hidden="1" thickBot="1">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15"/>
      <c r="Q12" s="2958">
        <f t="shared" si="6"/>
        <v>111</v>
      </c>
      <c r="R12" s="770" t="s">
        <v>21</v>
      </c>
      <c r="S12" s="771">
        <f t="shared" si="0"/>
        <v>100</v>
      </c>
      <c r="T12" s="770" t="s">
        <v>21</v>
      </c>
      <c r="U12" s="771">
        <f t="shared" si="1"/>
        <v>100</v>
      </c>
      <c r="V12" s="770" t="s">
        <v>21</v>
      </c>
      <c r="W12" s="771">
        <f t="shared" si="2"/>
        <v>100</v>
      </c>
      <c r="X12" s="772"/>
      <c r="Y12" s="3051"/>
      <c r="Z12" s="2959">
        <f t="shared" si="7"/>
        <v>111</v>
      </c>
      <c r="AA12" s="773">
        <f>D12/F12</f>
        <v>1</v>
      </c>
      <c r="AB12" s="773">
        <f>D12/H12</f>
        <v>1</v>
      </c>
      <c r="AC12" s="773">
        <f>D12/J12</f>
        <v>1</v>
      </c>
    </row>
    <row r="13" spans="1:29" ht="15.75" hidden="1" thickBot="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15"/>
      <c r="Q13" s="2958">
        <f t="shared" si="6"/>
        <v>111</v>
      </c>
      <c r="R13" s="770" t="s">
        <v>21</v>
      </c>
      <c r="S13" s="771">
        <f t="shared" si="0"/>
        <v>100</v>
      </c>
      <c r="T13" s="770" t="s">
        <v>21</v>
      </c>
      <c r="U13" s="771">
        <f t="shared" si="1"/>
        <v>100</v>
      </c>
      <c r="V13" s="770" t="s">
        <v>21</v>
      </c>
      <c r="W13" s="771">
        <f t="shared" si="2"/>
        <v>100</v>
      </c>
      <c r="X13" s="772"/>
      <c r="Y13" s="3051"/>
      <c r="Z13" s="2959">
        <f t="shared" si="7"/>
        <v>111</v>
      </c>
      <c r="AA13" s="773">
        <f t="shared" si="3"/>
        <v>1</v>
      </c>
      <c r="AB13" s="773">
        <f t="shared" si="4"/>
        <v>1</v>
      </c>
      <c r="AC13" s="773">
        <f t="shared" si="5"/>
        <v>1</v>
      </c>
    </row>
    <row r="14" spans="1:29" ht="15.75" hidden="1"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15"/>
      <c r="Q14" s="2958">
        <f t="shared" si="6"/>
        <v>111</v>
      </c>
      <c r="R14" s="770" t="s">
        <v>21</v>
      </c>
      <c r="S14" s="771">
        <f t="shared" si="0"/>
        <v>100</v>
      </c>
      <c r="T14" s="770" t="s">
        <v>21</v>
      </c>
      <c r="U14" s="771">
        <f t="shared" si="1"/>
        <v>100</v>
      </c>
      <c r="V14" s="770" t="s">
        <v>21</v>
      </c>
      <c r="W14" s="771">
        <f t="shared" si="2"/>
        <v>100</v>
      </c>
      <c r="X14" s="772"/>
      <c r="Y14" s="3051"/>
      <c r="Z14" s="2959">
        <f t="shared" si="7"/>
        <v>111</v>
      </c>
      <c r="AA14" s="773">
        <f t="shared" si="3"/>
        <v>1</v>
      </c>
      <c r="AB14" s="773">
        <f t="shared" si="4"/>
        <v>1</v>
      </c>
      <c r="AC14" s="773">
        <f t="shared" si="5"/>
        <v>1</v>
      </c>
    </row>
    <row r="15" spans="1:29" ht="40.5" customHeight="1">
      <c r="A15" s="440" t="s">
        <v>2560</v>
      </c>
      <c r="B15" s="69" t="s">
        <v>2087</v>
      </c>
      <c r="C15" s="2605" t="str">
        <f>估价对象房地状况!C3</f>
        <v>估价对象周边居住用地比例、居住小区规模和社区发展完善程度，综合评价居住社区成熟度一般</v>
      </c>
      <c r="D15" s="441">
        <v>100</v>
      </c>
      <c r="E15" s="444"/>
      <c r="F15" s="441">
        <f>SUMIF(76:76,E16,77:77)-SUMIF(76:76,C16,77:77)+100</f>
        <v>104</v>
      </c>
      <c r="G15" s="442"/>
      <c r="H15" s="441">
        <f>SUMIF(76:76,G16,77:77)-SUMIF(76:76,C16,77:77)+100</f>
        <v>102</v>
      </c>
      <c r="I15" s="442"/>
      <c r="J15" s="441">
        <f>SUMIF(76:76,I16,77:77)-SUMIF(76:76,C16,77:77)+100</f>
        <v>104</v>
      </c>
      <c r="K15" s="445">
        <v>2</v>
      </c>
      <c r="L15" s="1143"/>
      <c r="M15" s="1134"/>
      <c r="N15" s="1134"/>
      <c r="O15" s="1134"/>
      <c r="P15" s="3219" t="s">
        <v>2561</v>
      </c>
      <c r="Q15" s="2971" t="str">
        <f t="shared" si="6"/>
        <v>居住社区成熟度</v>
      </c>
      <c r="R15" s="774" t="s">
        <v>21</v>
      </c>
      <c r="S15" s="775">
        <f t="shared" si="0"/>
        <v>104</v>
      </c>
      <c r="T15" s="774" t="s">
        <v>21</v>
      </c>
      <c r="U15" s="775">
        <f t="shared" si="1"/>
        <v>102</v>
      </c>
      <c r="V15" s="774" t="s">
        <v>21</v>
      </c>
      <c r="W15" s="775">
        <f t="shared" si="2"/>
        <v>104</v>
      </c>
      <c r="X15" s="2970"/>
      <c r="Y15" s="3206" t="s">
        <v>2561</v>
      </c>
      <c r="Z15" s="2972" t="str">
        <f t="shared" si="7"/>
        <v>居住社区成熟度</v>
      </c>
      <c r="AA15" s="2973">
        <f t="shared" si="3"/>
        <v>0.96153846153846156</v>
      </c>
      <c r="AB15" s="2973">
        <f t="shared" si="4"/>
        <v>0.98039215686274506</v>
      </c>
      <c r="AC15" s="2973">
        <f t="shared" si="5"/>
        <v>0.96153846153846156</v>
      </c>
    </row>
    <row r="16" spans="1:29" ht="15">
      <c r="A16" s="428"/>
      <c r="B16" s="446"/>
      <c r="C16" s="447" t="s">
        <v>3100</v>
      </c>
      <c r="D16" s="448"/>
      <c r="E16" s="2606" t="s">
        <v>3065</v>
      </c>
      <c r="F16" s="448"/>
      <c r="G16" s="2607" t="s">
        <v>3064</v>
      </c>
      <c r="H16" s="450"/>
      <c r="I16" s="2607" t="s">
        <v>3065</v>
      </c>
      <c r="J16" s="448"/>
      <c r="K16" s="2608"/>
      <c r="L16" s="1143"/>
      <c r="M16" s="1134"/>
      <c r="N16" s="1134"/>
      <c r="O16" s="1134"/>
      <c r="P16" s="3220"/>
      <c r="Q16" s="2971"/>
      <c r="R16" s="774"/>
      <c r="S16" s="775"/>
      <c r="T16" s="774"/>
      <c r="U16" s="775"/>
      <c r="V16" s="774"/>
      <c r="W16" s="775"/>
      <c r="X16" s="2970"/>
      <c r="Y16" s="3207"/>
      <c r="Z16" s="2972"/>
      <c r="AA16" s="2973">
        <v>1</v>
      </c>
      <c r="AB16" s="2973">
        <v>1</v>
      </c>
      <c r="AC16" s="2973">
        <v>1</v>
      </c>
    </row>
    <row r="17" spans="1:29" ht="37.5" customHeight="1">
      <c r="A17" s="428"/>
      <c r="B17" s="451" t="s">
        <v>2099</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220"/>
      <c r="Q17" s="2971" t="str">
        <f>B17</f>
        <v>交通便捷度</v>
      </c>
      <c r="R17" s="774" t="s">
        <v>21</v>
      </c>
      <c r="S17" s="775">
        <f>F17</f>
        <v>100</v>
      </c>
      <c r="T17" s="774" t="s">
        <v>21</v>
      </c>
      <c r="U17" s="775">
        <f>H17</f>
        <v>100</v>
      </c>
      <c r="V17" s="774" t="s">
        <v>21</v>
      </c>
      <c r="W17" s="775">
        <f>J17</f>
        <v>100</v>
      </c>
      <c r="X17" s="2970"/>
      <c r="Y17" s="3207"/>
      <c r="Z17" s="2972" t="str">
        <f>Q17</f>
        <v>交通便捷度</v>
      </c>
      <c r="AA17" s="2973">
        <f t="shared" si="3"/>
        <v>1</v>
      </c>
      <c r="AB17" s="2973">
        <f t="shared" si="4"/>
        <v>1</v>
      </c>
      <c r="AC17" s="2973">
        <f t="shared" si="5"/>
        <v>1</v>
      </c>
    </row>
    <row r="18" spans="1:29" ht="15">
      <c r="A18" s="428"/>
      <c r="B18" s="456"/>
      <c r="C18" s="2610" t="s">
        <v>3064</v>
      </c>
      <c r="D18" s="450"/>
      <c r="E18" s="2611" t="s">
        <v>3064</v>
      </c>
      <c r="F18" s="450"/>
      <c r="G18" s="2612" t="s">
        <v>3064</v>
      </c>
      <c r="H18" s="448"/>
      <c r="I18" s="2612" t="s">
        <v>3064</v>
      </c>
      <c r="J18" s="448"/>
      <c r="K18" s="2608"/>
      <c r="L18" s="1143"/>
      <c r="M18" s="1134"/>
      <c r="N18" s="1134"/>
      <c r="O18" s="1134"/>
      <c r="P18" s="3220"/>
      <c r="Q18" s="2971"/>
      <c r="R18" s="774"/>
      <c r="S18" s="775"/>
      <c r="T18" s="774"/>
      <c r="U18" s="775"/>
      <c r="V18" s="774"/>
      <c r="W18" s="775"/>
      <c r="X18" s="2970"/>
      <c r="Y18" s="3207"/>
      <c r="Z18" s="2972"/>
      <c r="AA18" s="2973">
        <v>1</v>
      </c>
      <c r="AB18" s="2973">
        <v>1</v>
      </c>
      <c r="AC18" s="2973">
        <v>1</v>
      </c>
    </row>
    <row r="19" spans="1:29" ht="27.75" customHeight="1">
      <c r="A19" s="428"/>
      <c r="B19" s="451" t="s">
        <v>2097</v>
      </c>
      <c r="C19" s="2609" t="str">
        <f>估价对象房地状况!C7</f>
        <v>估价对象所在区域公共配套设施齐备情况</v>
      </c>
      <c r="D19" s="455">
        <v>100</v>
      </c>
      <c r="E19" s="459"/>
      <c r="F19" s="455">
        <f>SUMIF(80:80,E20,81:81)-SUMIF(80:80,C20,81:81)+100</f>
        <v>100</v>
      </c>
      <c r="G19" s="457"/>
      <c r="H19" s="450">
        <f>SUMIF(80:80,G20,81:81)-SUMIF(80:80,C20,81:81)+100</f>
        <v>98</v>
      </c>
      <c r="I19" s="457"/>
      <c r="J19" s="450">
        <f>SUMIF(80:80,I20,81:81)-SUMIF(80:80,C20,81:81)+100</f>
        <v>102</v>
      </c>
      <c r="K19" s="445">
        <v>2</v>
      </c>
      <c r="L19" s="1143"/>
      <c r="M19" s="1134"/>
      <c r="N19" s="1134"/>
      <c r="O19" s="1134"/>
      <c r="P19" s="3220"/>
      <c r="Q19" s="2971" t="str">
        <f>B19</f>
        <v>公共配套设施</v>
      </c>
      <c r="R19" s="774" t="s">
        <v>21</v>
      </c>
      <c r="S19" s="775">
        <f>F19</f>
        <v>100</v>
      </c>
      <c r="T19" s="774" t="s">
        <v>21</v>
      </c>
      <c r="U19" s="775">
        <f>H19</f>
        <v>98</v>
      </c>
      <c r="V19" s="774" t="s">
        <v>21</v>
      </c>
      <c r="W19" s="775">
        <f>J19</f>
        <v>102</v>
      </c>
      <c r="X19" s="2970"/>
      <c r="Y19" s="3207"/>
      <c r="Z19" s="2972" t="str">
        <f>Q19</f>
        <v>公共配套设施</v>
      </c>
      <c r="AA19" s="2973">
        <f t="shared" si="3"/>
        <v>1</v>
      </c>
      <c r="AB19" s="2973">
        <f t="shared" si="4"/>
        <v>1.0204081632653061</v>
      </c>
      <c r="AC19" s="2973">
        <f t="shared" si="5"/>
        <v>0.98039215686274506</v>
      </c>
    </row>
    <row r="20" spans="1:29" ht="15">
      <c r="A20" s="428"/>
      <c r="B20" s="456"/>
      <c r="C20" s="447" t="s">
        <v>3064</v>
      </c>
      <c r="D20" s="448"/>
      <c r="E20" s="2606" t="s">
        <v>3064</v>
      </c>
      <c r="F20" s="448"/>
      <c r="G20" s="2607" t="s">
        <v>3100</v>
      </c>
      <c r="H20" s="448"/>
      <c r="I20" s="2607" t="s">
        <v>3065</v>
      </c>
      <c r="J20" s="448"/>
      <c r="K20" s="2608"/>
      <c r="L20" s="1143"/>
      <c r="M20" s="1134"/>
      <c r="N20" s="1134"/>
      <c r="O20" s="1134"/>
      <c r="P20" s="3220"/>
      <c r="Q20" s="2971"/>
      <c r="R20" s="774"/>
      <c r="S20" s="775"/>
      <c r="T20" s="774"/>
      <c r="U20" s="775"/>
      <c r="V20" s="774"/>
      <c r="W20" s="775"/>
      <c r="X20" s="2970"/>
      <c r="Y20" s="3207"/>
      <c r="Z20" s="2972"/>
      <c r="AA20" s="2973">
        <v>1</v>
      </c>
      <c r="AB20" s="2973">
        <v>1</v>
      </c>
      <c r="AC20" s="2973">
        <v>1</v>
      </c>
    </row>
    <row r="21" spans="1:29" ht="28.5">
      <c r="A21" s="428"/>
      <c r="B21" s="1387" t="s">
        <v>2100</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0"/>
      <c r="Q21" s="2971" t="str">
        <f>B21</f>
        <v>基础设施水平</v>
      </c>
      <c r="R21" s="774" t="s">
        <v>17</v>
      </c>
      <c r="S21" s="775">
        <f>F21</f>
        <v>100</v>
      </c>
      <c r="T21" s="774" t="s">
        <v>17</v>
      </c>
      <c r="U21" s="775">
        <f>H21</f>
        <v>100</v>
      </c>
      <c r="V21" s="774" t="s">
        <v>17</v>
      </c>
      <c r="W21" s="775">
        <f>J21</f>
        <v>100</v>
      </c>
      <c r="X21" s="2970"/>
      <c r="Y21" s="3207"/>
      <c r="Z21" s="2972" t="str">
        <f>Q21</f>
        <v>基础设施水平</v>
      </c>
      <c r="AA21" s="2973">
        <f t="shared" ref="AA21" si="8">D21/F21</f>
        <v>1</v>
      </c>
      <c r="AB21" s="2973">
        <f t="shared" ref="AB21" si="9">D21/H21</f>
        <v>1</v>
      </c>
      <c r="AC21" s="2973">
        <f t="shared" ref="AC21" si="10">D21/J21</f>
        <v>1</v>
      </c>
    </row>
    <row r="22" spans="1:29" ht="15">
      <c r="A22" s="428"/>
      <c r="B22" s="1387"/>
      <c r="C22" s="2610" t="s">
        <v>3244</v>
      </c>
      <c r="D22" s="448"/>
      <c r="E22" s="447" t="s">
        <v>3244</v>
      </c>
      <c r="F22" s="448"/>
      <c r="G22" s="2613" t="s">
        <v>3244</v>
      </c>
      <c r="H22" s="448"/>
      <c r="I22" s="447" t="s">
        <v>3244</v>
      </c>
      <c r="J22" s="448"/>
      <c r="K22" s="2614"/>
      <c r="L22" s="1143"/>
      <c r="M22" s="1134"/>
      <c r="N22" s="1134"/>
      <c r="O22" s="1134"/>
      <c r="P22" s="3220"/>
      <c r="Q22" s="2971"/>
      <c r="R22" s="774"/>
      <c r="S22" s="775"/>
      <c r="T22" s="774"/>
      <c r="U22" s="775"/>
      <c r="V22" s="774"/>
      <c r="W22" s="775"/>
      <c r="X22" s="2970"/>
      <c r="Y22" s="3207"/>
      <c r="Z22" s="2972"/>
      <c r="AA22" s="2973">
        <v>1</v>
      </c>
      <c r="AB22" s="2973">
        <v>1</v>
      </c>
      <c r="AC22" s="2973">
        <v>1</v>
      </c>
    </row>
    <row r="23" spans="1:29" ht="27.75" customHeight="1">
      <c r="A23" s="428"/>
      <c r="B23" s="451" t="s">
        <v>2104</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0"/>
      <c r="Q23" s="2971" t="str">
        <f>B23</f>
        <v>自然及人文环境</v>
      </c>
      <c r="R23" s="774" t="s">
        <v>21</v>
      </c>
      <c r="S23" s="775">
        <f>F23</f>
        <v>100</v>
      </c>
      <c r="T23" s="774" t="s">
        <v>21</v>
      </c>
      <c r="U23" s="775">
        <f>H23</f>
        <v>100</v>
      </c>
      <c r="V23" s="774" t="s">
        <v>21</v>
      </c>
      <c r="W23" s="775">
        <f>J23</f>
        <v>100</v>
      </c>
      <c r="X23" s="2970"/>
      <c r="Y23" s="3207"/>
      <c r="Z23" s="2972" t="str">
        <f>Q23</f>
        <v>自然及人文环境</v>
      </c>
      <c r="AA23" s="2973">
        <f>D23/F23</f>
        <v>1</v>
      </c>
      <c r="AB23" s="2973">
        <f>D23/H23</f>
        <v>1</v>
      </c>
      <c r="AC23" s="2973">
        <f>D23/J23</f>
        <v>1</v>
      </c>
    </row>
    <row r="24" spans="1:29" ht="15.75" thickBot="1">
      <c r="A24" s="428"/>
      <c r="B24" s="456"/>
      <c r="C24" s="447" t="s">
        <v>3065</v>
      </c>
      <c r="D24" s="448"/>
      <c r="E24" s="2606" t="s">
        <v>3065</v>
      </c>
      <c r="F24" s="448"/>
      <c r="G24" s="2607" t="s">
        <v>3064</v>
      </c>
      <c r="H24" s="448"/>
      <c r="I24" s="2607" t="s">
        <v>3064</v>
      </c>
      <c r="J24" s="448"/>
      <c r="K24" s="2608"/>
      <c r="L24" s="1143"/>
      <c r="M24" s="1134"/>
      <c r="N24" s="1134"/>
      <c r="O24" s="1134"/>
      <c r="P24" s="3220"/>
      <c r="Q24" s="2971"/>
      <c r="R24" s="774"/>
      <c r="S24" s="775"/>
      <c r="T24" s="774"/>
      <c r="U24" s="775"/>
      <c r="V24" s="774"/>
      <c r="W24" s="775"/>
      <c r="X24" s="2970"/>
      <c r="Y24" s="3207"/>
      <c r="Z24" s="2972"/>
      <c r="AA24" s="2973">
        <v>1</v>
      </c>
      <c r="AB24" s="2973">
        <v>1</v>
      </c>
      <c r="AC24" s="2973">
        <v>1</v>
      </c>
    </row>
    <row r="25" spans="1:29" ht="15.75" hidden="1" thickBot="1">
      <c r="A25" s="428"/>
      <c r="B25" s="2967"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20"/>
      <c r="Q25" s="2971" t="str">
        <f t="shared" ref="Q25:Q46" si="11">B25</f>
        <v>楼层-1</v>
      </c>
      <c r="R25" s="774" t="s">
        <v>21</v>
      </c>
      <c r="S25" s="775">
        <f t="shared" ref="S25:S46" si="12">F25</f>
        <v>100</v>
      </c>
      <c r="T25" s="774" t="s">
        <v>21</v>
      </c>
      <c r="U25" s="775">
        <f t="shared" ref="U25:U46" si="13">H25</f>
        <v>100</v>
      </c>
      <c r="V25" s="774" t="s">
        <v>21</v>
      </c>
      <c r="W25" s="775">
        <f t="shared" ref="W25:W46" si="14">J25</f>
        <v>100</v>
      </c>
      <c r="X25" s="2970"/>
      <c r="Y25" s="3207"/>
      <c r="Z25" s="2972" t="str">
        <f>Q25</f>
        <v>楼层-1</v>
      </c>
      <c r="AA25" s="2973">
        <f t="shared" ref="AA25:AA46" si="15">D25/F25</f>
        <v>1</v>
      </c>
      <c r="AB25" s="2973">
        <f t="shared" ref="AB25:AB46" si="16">D25/H25</f>
        <v>1</v>
      </c>
      <c r="AC25" s="2973">
        <f t="shared" ref="AC25:AC46" si="17">D25/J25</f>
        <v>1</v>
      </c>
    </row>
    <row r="26" spans="1:29" ht="15.75" hidden="1" thickBot="1">
      <c r="A26" s="428"/>
      <c r="B26" s="2967"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20"/>
      <c r="Q26" s="2971" t="str">
        <f t="shared" si="11"/>
        <v>朝向</v>
      </c>
      <c r="R26" s="774" t="s">
        <v>21</v>
      </c>
      <c r="S26" s="775">
        <f t="shared" si="12"/>
        <v>100</v>
      </c>
      <c r="T26" s="774" t="s">
        <v>21</v>
      </c>
      <c r="U26" s="775">
        <f t="shared" si="13"/>
        <v>100</v>
      </c>
      <c r="V26" s="774" t="s">
        <v>21</v>
      </c>
      <c r="W26" s="775">
        <f t="shared" si="14"/>
        <v>100</v>
      </c>
      <c r="X26" s="2970"/>
      <c r="Y26" s="3207"/>
      <c r="Z26" s="2972" t="str">
        <f>Q26</f>
        <v>朝向</v>
      </c>
      <c r="AA26" s="2973">
        <f t="shared" si="15"/>
        <v>1</v>
      </c>
      <c r="AB26" s="2973">
        <f t="shared" si="16"/>
        <v>1</v>
      </c>
      <c r="AC26" s="2973">
        <f t="shared" si="17"/>
        <v>1</v>
      </c>
    </row>
    <row r="27" spans="1:29" s="117" customFormat="1" ht="15.75" hidden="1" thickBot="1">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20"/>
      <c r="Q27" s="2958">
        <f t="shared" si="11"/>
        <v>111</v>
      </c>
      <c r="R27" s="770" t="s">
        <v>21</v>
      </c>
      <c r="S27" s="771">
        <f t="shared" si="12"/>
        <v>100</v>
      </c>
      <c r="T27" s="770" t="s">
        <v>21</v>
      </c>
      <c r="U27" s="771">
        <f t="shared" si="13"/>
        <v>100</v>
      </c>
      <c r="V27" s="770" t="s">
        <v>21</v>
      </c>
      <c r="W27" s="771">
        <f t="shared" si="14"/>
        <v>100</v>
      </c>
      <c r="X27" s="772"/>
      <c r="Y27" s="3207"/>
      <c r="Z27" s="2959">
        <f>Q27</f>
        <v>111</v>
      </c>
      <c r="AA27" s="2973">
        <f t="shared" si="15"/>
        <v>1</v>
      </c>
      <c r="AB27" s="2973">
        <f t="shared" si="16"/>
        <v>1</v>
      </c>
      <c r="AC27" s="2973">
        <f t="shared" si="17"/>
        <v>1</v>
      </c>
    </row>
    <row r="28" spans="1:29" ht="15.75" hidden="1" thickBot="1">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20"/>
      <c r="Q28" s="2971">
        <f t="shared" si="11"/>
        <v>111</v>
      </c>
      <c r="R28" s="774" t="s">
        <v>21</v>
      </c>
      <c r="S28" s="775">
        <f t="shared" si="12"/>
        <v>100</v>
      </c>
      <c r="T28" s="774" t="s">
        <v>21</v>
      </c>
      <c r="U28" s="775">
        <f t="shared" si="13"/>
        <v>100</v>
      </c>
      <c r="V28" s="774" t="s">
        <v>21</v>
      </c>
      <c r="W28" s="775">
        <f t="shared" si="14"/>
        <v>100</v>
      </c>
      <c r="X28" s="2970"/>
      <c r="Y28" s="3207"/>
      <c r="Z28" s="2972">
        <f t="shared" ref="Z28:Z46" si="18">Q28</f>
        <v>111</v>
      </c>
      <c r="AA28" s="2973">
        <f t="shared" si="15"/>
        <v>1</v>
      </c>
      <c r="AB28" s="2973">
        <f t="shared" si="16"/>
        <v>1</v>
      </c>
      <c r="AC28" s="2973">
        <f t="shared" si="17"/>
        <v>1</v>
      </c>
    </row>
    <row r="29" spans="1:29" ht="15.75" hidden="1" thickBot="1">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20"/>
      <c r="Q29" s="2971">
        <f t="shared" si="11"/>
        <v>111</v>
      </c>
      <c r="R29" s="774" t="s">
        <v>21</v>
      </c>
      <c r="S29" s="775">
        <f t="shared" si="12"/>
        <v>100</v>
      </c>
      <c r="T29" s="774" t="s">
        <v>21</v>
      </c>
      <c r="U29" s="775">
        <f t="shared" si="13"/>
        <v>100</v>
      </c>
      <c r="V29" s="774" t="s">
        <v>21</v>
      </c>
      <c r="W29" s="775">
        <f t="shared" si="14"/>
        <v>100</v>
      </c>
      <c r="X29" s="2970"/>
      <c r="Y29" s="3207"/>
      <c r="Z29" s="2972">
        <f t="shared" si="18"/>
        <v>111</v>
      </c>
      <c r="AA29" s="2973">
        <f t="shared" si="15"/>
        <v>1</v>
      </c>
      <c r="AB29" s="2973">
        <f t="shared" si="16"/>
        <v>1</v>
      </c>
      <c r="AC29" s="2973">
        <f t="shared" si="17"/>
        <v>1</v>
      </c>
    </row>
    <row r="30" spans="1:29" ht="15.75" hidden="1" thickBot="1">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20"/>
      <c r="Q30" s="2971">
        <f t="shared" si="11"/>
        <v>111</v>
      </c>
      <c r="R30" s="774" t="s">
        <v>21</v>
      </c>
      <c r="S30" s="775">
        <f t="shared" si="12"/>
        <v>100</v>
      </c>
      <c r="T30" s="774" t="s">
        <v>21</v>
      </c>
      <c r="U30" s="775">
        <f t="shared" si="13"/>
        <v>100</v>
      </c>
      <c r="V30" s="774" t="s">
        <v>21</v>
      </c>
      <c r="W30" s="775">
        <f t="shared" si="14"/>
        <v>100</v>
      </c>
      <c r="X30" s="2970"/>
      <c r="Y30" s="3207"/>
      <c r="Z30" s="2972">
        <f t="shared" si="18"/>
        <v>111</v>
      </c>
      <c r="AA30" s="2973">
        <f t="shared" si="15"/>
        <v>1</v>
      </c>
      <c r="AB30" s="2973">
        <f t="shared" si="16"/>
        <v>1</v>
      </c>
      <c r="AC30" s="2973">
        <f t="shared" si="17"/>
        <v>1</v>
      </c>
    </row>
    <row r="31" spans="1:29" ht="15.75" hidden="1"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20"/>
      <c r="Q31" s="2971">
        <f t="shared" si="11"/>
        <v>111</v>
      </c>
      <c r="R31" s="774" t="s">
        <v>21</v>
      </c>
      <c r="S31" s="775">
        <f t="shared" si="12"/>
        <v>100</v>
      </c>
      <c r="T31" s="774" t="s">
        <v>21</v>
      </c>
      <c r="U31" s="775">
        <f t="shared" si="13"/>
        <v>100</v>
      </c>
      <c r="V31" s="774" t="s">
        <v>21</v>
      </c>
      <c r="W31" s="775">
        <f t="shared" si="14"/>
        <v>100</v>
      </c>
      <c r="X31" s="2970"/>
      <c r="Y31" s="3207"/>
      <c r="Z31" s="2972">
        <f t="shared" si="18"/>
        <v>111</v>
      </c>
      <c r="AA31" s="2973">
        <f t="shared" si="15"/>
        <v>1</v>
      </c>
      <c r="AB31" s="2973">
        <f t="shared" si="16"/>
        <v>1</v>
      </c>
      <c r="AC31" s="2973">
        <f t="shared" si="17"/>
        <v>1</v>
      </c>
    </row>
    <row r="32" spans="1:29" ht="15">
      <c r="A32" s="440" t="s">
        <v>2564</v>
      </c>
      <c r="B32" s="71" t="s">
        <v>2565</v>
      </c>
      <c r="C32" s="2619" t="s">
        <v>3119</v>
      </c>
      <c r="D32" s="467">
        <v>100</v>
      </c>
      <c r="E32" s="2619" t="s">
        <v>3119</v>
      </c>
      <c r="F32" s="461">
        <f>SUMIF(100:100,E32,101:101)-SUMIF(100:100,C32,101:101)+100</f>
        <v>100</v>
      </c>
      <c r="G32" s="2619" t="s">
        <v>3119</v>
      </c>
      <c r="H32" s="467">
        <f>SUMIF(100:100,G32,101:101)-SUMIF(100:100,C32,101:101)+100</f>
        <v>100</v>
      </c>
      <c r="I32" s="2619" t="s">
        <v>3119</v>
      </c>
      <c r="J32" s="435">
        <f>SUMIF(100:100,I32,101:101)-SUMIF(100:100,C32,101:101)+100</f>
        <v>100</v>
      </c>
      <c r="K32" s="426">
        <v>0</v>
      </c>
      <c r="L32" s="1143"/>
      <c r="M32" s="1134"/>
      <c r="N32" s="1134"/>
      <c r="O32" s="1134"/>
      <c r="P32" s="3221" t="s">
        <v>2566</v>
      </c>
      <c r="Q32" s="2971" t="str">
        <f t="shared" si="11"/>
        <v>建筑类型</v>
      </c>
      <c r="R32" s="774" t="s">
        <v>21</v>
      </c>
      <c r="S32" s="775">
        <f t="shared" si="12"/>
        <v>100</v>
      </c>
      <c r="T32" s="774" t="s">
        <v>21</v>
      </c>
      <c r="U32" s="775">
        <f t="shared" si="13"/>
        <v>100</v>
      </c>
      <c r="V32" s="774" t="s">
        <v>21</v>
      </c>
      <c r="W32" s="775">
        <f t="shared" si="14"/>
        <v>100</v>
      </c>
      <c r="X32" s="2970"/>
      <c r="Y32" s="3209" t="s">
        <v>2566</v>
      </c>
      <c r="Z32" s="2972" t="str">
        <f t="shared" si="18"/>
        <v>建筑类型</v>
      </c>
      <c r="AA32" s="2973">
        <f t="shared" si="15"/>
        <v>1</v>
      </c>
      <c r="AB32" s="2973">
        <f t="shared" si="16"/>
        <v>1</v>
      </c>
      <c r="AC32" s="2973">
        <f t="shared" si="17"/>
        <v>1</v>
      </c>
    </row>
    <row r="33" spans="1:29" s="471" customFormat="1" ht="15">
      <c r="A33" s="468"/>
      <c r="B33" s="2967" t="s">
        <v>2567</v>
      </c>
      <c r="C33" s="469">
        <v>170000</v>
      </c>
      <c r="D33" s="136">
        <v>100</v>
      </c>
      <c r="E33" s="430">
        <v>70000</v>
      </c>
      <c r="F33" s="425">
        <f>LOOKUP(E33,103:103,104:104)-LOOKUP(C33,103:103,104:104)+100</f>
        <v>96</v>
      </c>
      <c r="G33" s="429">
        <v>165000</v>
      </c>
      <c r="H33" s="136">
        <f>LOOKUP(G33,103:103,104:104)-LOOKUP(C33,103:103,104:104)+100</f>
        <v>100</v>
      </c>
      <c r="I33" s="430">
        <v>258136</v>
      </c>
      <c r="J33" s="136">
        <f>LOOKUP(I33,103:103,104:104)-LOOKUP(C33,103:103,104:104)+100</f>
        <v>104</v>
      </c>
      <c r="K33" s="2603"/>
      <c r="L33" s="1141"/>
      <c r="M33" s="1144"/>
      <c r="N33" s="1144"/>
      <c r="O33" s="1144"/>
      <c r="P33" s="3222"/>
      <c r="Q33" s="776" t="str">
        <f t="shared" si="11"/>
        <v>项目建筑规模</v>
      </c>
      <c r="R33" s="777" t="s">
        <v>21</v>
      </c>
      <c r="S33" s="778">
        <f t="shared" si="12"/>
        <v>96</v>
      </c>
      <c r="T33" s="777" t="s">
        <v>21</v>
      </c>
      <c r="U33" s="778">
        <f t="shared" si="13"/>
        <v>100</v>
      </c>
      <c r="V33" s="777" t="s">
        <v>21</v>
      </c>
      <c r="W33" s="778">
        <f t="shared" si="14"/>
        <v>104</v>
      </c>
      <c r="X33" s="779"/>
      <c r="Y33" s="3209"/>
      <c r="Z33" s="780" t="str">
        <f t="shared" si="18"/>
        <v>项目建筑规模</v>
      </c>
      <c r="AA33" s="2973">
        <f t="shared" si="15"/>
        <v>1.0416666666666667</v>
      </c>
      <c r="AB33" s="2973">
        <f t="shared" si="16"/>
        <v>1</v>
      </c>
      <c r="AC33" s="2973">
        <f t="shared" si="17"/>
        <v>0.96153846153846156</v>
      </c>
    </row>
    <row r="34" spans="1:29" ht="15">
      <c r="A34" s="472"/>
      <c r="B34" s="2967" t="s">
        <v>2568</v>
      </c>
      <c r="C34" s="2621" t="s">
        <v>3240</v>
      </c>
      <c r="D34" s="435">
        <v>100</v>
      </c>
      <c r="E34" s="2622" t="s">
        <v>3240</v>
      </c>
      <c r="F34" s="461">
        <f>SUMIF(105:105,E34,106:106)-SUMIF(105:105,C34,106:106)+100</f>
        <v>100</v>
      </c>
      <c r="G34" s="2621" t="s">
        <v>3240</v>
      </c>
      <c r="H34" s="435">
        <f>SUMIF(105:105,G34,106:106)-SUMIF(105:105,C34,106:106)+100</f>
        <v>100</v>
      </c>
      <c r="I34" s="2622" t="s">
        <v>3240</v>
      </c>
      <c r="J34" s="435">
        <f>SUMIF(105:105,I34,106:106)-SUMIF(105:105,C34,106:106)+100</f>
        <v>100</v>
      </c>
      <c r="K34" s="426">
        <v>2</v>
      </c>
      <c r="L34" s="1143"/>
      <c r="M34" s="1134"/>
      <c r="N34" s="1134"/>
      <c r="O34" s="1134"/>
      <c r="P34" s="3222"/>
      <c r="Q34" s="2971" t="str">
        <f t="shared" si="11"/>
        <v>建筑结构</v>
      </c>
      <c r="R34" s="774" t="s">
        <v>21</v>
      </c>
      <c r="S34" s="775">
        <f t="shared" si="12"/>
        <v>100</v>
      </c>
      <c r="T34" s="774" t="s">
        <v>21</v>
      </c>
      <c r="U34" s="775">
        <f t="shared" si="13"/>
        <v>100</v>
      </c>
      <c r="V34" s="774" t="s">
        <v>21</v>
      </c>
      <c r="W34" s="775">
        <f t="shared" si="14"/>
        <v>100</v>
      </c>
      <c r="X34" s="2970"/>
      <c r="Y34" s="3209"/>
      <c r="Z34" s="2972" t="str">
        <f t="shared" si="18"/>
        <v>建筑结构</v>
      </c>
      <c r="AA34" s="2973">
        <f t="shared" si="15"/>
        <v>1</v>
      </c>
      <c r="AB34" s="2973">
        <f t="shared" si="16"/>
        <v>1</v>
      </c>
      <c r="AC34" s="2973">
        <f t="shared" si="17"/>
        <v>1</v>
      </c>
    </row>
    <row r="35" spans="1:29" ht="15">
      <c r="A35" s="472"/>
      <c r="B35" s="2967" t="s">
        <v>2569</v>
      </c>
      <c r="C35" s="2615" t="s">
        <v>3241</v>
      </c>
      <c r="D35" s="435">
        <v>100</v>
      </c>
      <c r="E35" s="2616" t="s">
        <v>3241</v>
      </c>
      <c r="F35" s="461">
        <f>SUMIF(107:107,E35,108:108)-SUMIF(107:107,C35,108:108)+100</f>
        <v>100</v>
      </c>
      <c r="G35" s="2615" t="s">
        <v>3241</v>
      </c>
      <c r="H35" s="435">
        <f>SUMIF(107:107,G35,108:108)-SUMIF(107:107,C35,108:108)+100</f>
        <v>100</v>
      </c>
      <c r="I35" s="2616" t="s">
        <v>3241</v>
      </c>
      <c r="J35" s="435">
        <f>SUMIF(107:107,I35,108:108)-SUMIF(107:107,C35,108:108)+100</f>
        <v>100</v>
      </c>
      <c r="K35" s="426">
        <v>5</v>
      </c>
      <c r="L35" s="1143"/>
      <c r="M35" s="1134"/>
      <c r="N35" s="1134"/>
      <c r="O35" s="1134"/>
      <c r="P35" s="3222"/>
      <c r="Q35" s="2971" t="str">
        <f t="shared" si="11"/>
        <v>建筑品质</v>
      </c>
      <c r="R35" s="774" t="s">
        <v>21</v>
      </c>
      <c r="S35" s="775">
        <f t="shared" si="12"/>
        <v>100</v>
      </c>
      <c r="T35" s="774" t="s">
        <v>21</v>
      </c>
      <c r="U35" s="775">
        <f t="shared" si="13"/>
        <v>100</v>
      </c>
      <c r="V35" s="774" t="s">
        <v>21</v>
      </c>
      <c r="W35" s="775">
        <f t="shared" si="14"/>
        <v>100</v>
      </c>
      <c r="X35" s="2970"/>
      <c r="Y35" s="3209"/>
      <c r="Z35" s="2972" t="str">
        <f t="shared" si="18"/>
        <v>建筑品质</v>
      </c>
      <c r="AA35" s="2973">
        <f t="shared" si="15"/>
        <v>1</v>
      </c>
      <c r="AB35" s="2973">
        <f t="shared" si="16"/>
        <v>1</v>
      </c>
      <c r="AC35" s="2973">
        <f t="shared" si="17"/>
        <v>1</v>
      </c>
    </row>
    <row r="36" spans="1:29" ht="15">
      <c r="A36" s="472"/>
      <c r="B36" s="2967" t="s">
        <v>2570</v>
      </c>
      <c r="C36" s="2615" t="s">
        <v>3242</v>
      </c>
      <c r="D36" s="435">
        <v>100</v>
      </c>
      <c r="E36" s="2616" t="s">
        <v>3242</v>
      </c>
      <c r="F36" s="461">
        <f>SUMIF(109:109,E36,110:110)-SUMIF(109:109,C36,110:110)+100</f>
        <v>100</v>
      </c>
      <c r="G36" s="2615" t="s">
        <v>3242</v>
      </c>
      <c r="H36" s="435">
        <f>SUMIF(109:109,G36,110:110)-SUMIF(109:109,C36,110:110)+100</f>
        <v>100</v>
      </c>
      <c r="I36" s="2616" t="s">
        <v>3242</v>
      </c>
      <c r="J36" s="435">
        <f>SUMIF(109:109,I36,110:110)-SUMIF(109:109,C36,110:110)+100</f>
        <v>100</v>
      </c>
      <c r="K36" s="426">
        <v>2</v>
      </c>
      <c r="L36" s="1143"/>
      <c r="M36" s="1134"/>
      <c r="N36" s="1134"/>
      <c r="O36" s="1134"/>
      <c r="P36" s="3222"/>
      <c r="Q36" s="2971" t="str">
        <f t="shared" si="11"/>
        <v>公共部分装修</v>
      </c>
      <c r="R36" s="774" t="s">
        <v>21</v>
      </c>
      <c r="S36" s="775">
        <f t="shared" si="12"/>
        <v>100</v>
      </c>
      <c r="T36" s="774" t="s">
        <v>21</v>
      </c>
      <c r="U36" s="775">
        <f t="shared" si="13"/>
        <v>100</v>
      </c>
      <c r="V36" s="774" t="s">
        <v>21</v>
      </c>
      <c r="W36" s="775">
        <f t="shared" si="14"/>
        <v>100</v>
      </c>
      <c r="X36" s="2970"/>
      <c r="Y36" s="3209"/>
      <c r="Z36" s="2972" t="str">
        <f t="shared" si="18"/>
        <v>公共部分装修</v>
      </c>
      <c r="AA36" s="2973">
        <f t="shared" si="15"/>
        <v>1</v>
      </c>
      <c r="AB36" s="2973">
        <f t="shared" si="16"/>
        <v>1</v>
      </c>
      <c r="AC36" s="2973">
        <f t="shared" si="17"/>
        <v>1</v>
      </c>
    </row>
    <row r="37" spans="1:29" s="117" customFormat="1" ht="15">
      <c r="A37" s="473"/>
      <c r="B37" s="2967" t="s">
        <v>2571</v>
      </c>
      <c r="C37" s="474">
        <v>1</v>
      </c>
      <c r="D37" s="136">
        <v>100</v>
      </c>
      <c r="E37" s="474">
        <v>1</v>
      </c>
      <c r="F37" s="425">
        <f>LOOKUP(E37,112:112,113:113)-LOOKUP(C37,112:112,113:113)+100</f>
        <v>100</v>
      </c>
      <c r="G37" s="476">
        <v>1</v>
      </c>
      <c r="H37" s="136">
        <f>LOOKUP(G37,112:112,113:113)-LOOKUP(C37,112:112,113:113)+100</f>
        <v>100</v>
      </c>
      <c r="I37" s="475">
        <v>1</v>
      </c>
      <c r="J37" s="136">
        <f>LOOKUP(I37,112:112,113:113)-LOOKUP(C37,112:112,113:113)+100</f>
        <v>100</v>
      </c>
      <c r="K37" s="426">
        <v>1</v>
      </c>
      <c r="L37" s="1135"/>
      <c r="M37" s="1136"/>
      <c r="N37" s="1136"/>
      <c r="O37" s="1136"/>
      <c r="P37" s="3222"/>
      <c r="Q37" s="2958" t="str">
        <f t="shared" si="11"/>
        <v>成新度</v>
      </c>
      <c r="R37" s="770" t="s">
        <v>21</v>
      </c>
      <c r="S37" s="771">
        <f t="shared" si="12"/>
        <v>100</v>
      </c>
      <c r="T37" s="770" t="s">
        <v>21</v>
      </c>
      <c r="U37" s="771">
        <f t="shared" si="13"/>
        <v>100</v>
      </c>
      <c r="V37" s="770" t="s">
        <v>21</v>
      </c>
      <c r="W37" s="771">
        <f t="shared" si="14"/>
        <v>100</v>
      </c>
      <c r="X37" s="772"/>
      <c r="Y37" s="3209"/>
      <c r="Z37" s="2959" t="str">
        <f t="shared" si="18"/>
        <v>成新度</v>
      </c>
      <c r="AA37" s="773">
        <f t="shared" si="15"/>
        <v>1</v>
      </c>
      <c r="AB37" s="773">
        <f t="shared" si="16"/>
        <v>1</v>
      </c>
      <c r="AC37" s="773">
        <f t="shared" si="17"/>
        <v>1</v>
      </c>
    </row>
    <row r="38" spans="1:29" ht="15">
      <c r="A38" s="472"/>
      <c r="B38" s="2967" t="s">
        <v>2572</v>
      </c>
      <c r="C38" s="2615" t="s">
        <v>3243</v>
      </c>
      <c r="D38" s="435">
        <v>100</v>
      </c>
      <c r="E38" s="2616" t="s">
        <v>3243</v>
      </c>
      <c r="F38" s="461">
        <f>SUMIF(114:114,E38,115:115)-SUMIF(114:114,C38,115:115)+100</f>
        <v>100</v>
      </c>
      <c r="G38" s="2615" t="s">
        <v>3243</v>
      </c>
      <c r="H38" s="435">
        <f>SUMIF(114:114,G38,115:115)-SUMIF(114:114,C38,115:115)+100</f>
        <v>100</v>
      </c>
      <c r="I38" s="2616" t="s">
        <v>3243</v>
      </c>
      <c r="J38" s="435">
        <f>SUMIF(114:114,I38,115:115)-SUMIF(114:114,C38,115:115)+100</f>
        <v>100</v>
      </c>
      <c r="K38" s="426">
        <v>3</v>
      </c>
      <c r="L38" s="1143"/>
      <c r="M38" s="1134"/>
      <c r="N38" s="1134"/>
      <c r="O38" s="1134"/>
      <c r="P38" s="3222" t="s">
        <v>2566</v>
      </c>
      <c r="Q38" s="2971" t="str">
        <f t="shared" si="11"/>
        <v>物业管理</v>
      </c>
      <c r="R38" s="774" t="s">
        <v>21</v>
      </c>
      <c r="S38" s="775">
        <f t="shared" si="12"/>
        <v>100</v>
      </c>
      <c r="T38" s="774" t="s">
        <v>21</v>
      </c>
      <c r="U38" s="775">
        <f t="shared" si="13"/>
        <v>100</v>
      </c>
      <c r="V38" s="774" t="s">
        <v>21</v>
      </c>
      <c r="W38" s="775">
        <f t="shared" si="14"/>
        <v>100</v>
      </c>
      <c r="X38" s="2970"/>
      <c r="Y38" s="3209" t="s">
        <v>2566</v>
      </c>
      <c r="Z38" s="2972" t="str">
        <f t="shared" si="18"/>
        <v>物业管理</v>
      </c>
      <c r="AA38" s="2973">
        <f t="shared" si="15"/>
        <v>1</v>
      </c>
      <c r="AB38" s="2973">
        <f t="shared" si="16"/>
        <v>1</v>
      </c>
      <c r="AC38" s="2973">
        <f t="shared" si="17"/>
        <v>1</v>
      </c>
    </row>
    <row r="39" spans="1:29" ht="15">
      <c r="A39" s="472"/>
      <c r="B39" s="2967" t="s">
        <v>2573</v>
      </c>
      <c r="C39" s="2615" t="s">
        <v>3244</v>
      </c>
      <c r="D39" s="435">
        <v>100</v>
      </c>
      <c r="E39" s="2616" t="s">
        <v>3244</v>
      </c>
      <c r="F39" s="461">
        <f>SUMIF(116:116,E39,117:117)-SUMIF(116:116,C39,117:117)+100</f>
        <v>100</v>
      </c>
      <c r="G39" s="2615" t="s">
        <v>3244</v>
      </c>
      <c r="H39" s="435">
        <f>SUMIF(116:116,G39,117:117)-SUMIF(116:116,C39,117:117)+100</f>
        <v>100</v>
      </c>
      <c r="I39" s="2616" t="s">
        <v>3244</v>
      </c>
      <c r="J39" s="435">
        <f>SUMIF(116:116,I39,117:117)-SUMIF(116:116,C39,117:117)+100</f>
        <v>100</v>
      </c>
      <c r="K39" s="426">
        <v>2</v>
      </c>
      <c r="L39" s="1143"/>
      <c r="M39" s="1134"/>
      <c r="N39" s="1134"/>
      <c r="O39" s="1134"/>
      <c r="P39" s="3222"/>
      <c r="Q39" s="2971" t="str">
        <f t="shared" si="11"/>
        <v>市政基础设施</v>
      </c>
      <c r="R39" s="774" t="s">
        <v>21</v>
      </c>
      <c r="S39" s="775">
        <f t="shared" si="12"/>
        <v>100</v>
      </c>
      <c r="T39" s="774" t="s">
        <v>21</v>
      </c>
      <c r="U39" s="775">
        <f t="shared" si="13"/>
        <v>100</v>
      </c>
      <c r="V39" s="774" t="s">
        <v>21</v>
      </c>
      <c r="W39" s="775">
        <f t="shared" si="14"/>
        <v>100</v>
      </c>
      <c r="X39" s="2970"/>
      <c r="Y39" s="3209"/>
      <c r="Z39" s="2972" t="str">
        <f t="shared" si="18"/>
        <v>市政基础设施</v>
      </c>
      <c r="AA39" s="2973">
        <f t="shared" si="15"/>
        <v>1</v>
      </c>
      <c r="AB39" s="2973">
        <f t="shared" si="16"/>
        <v>1</v>
      </c>
      <c r="AC39" s="2973">
        <f t="shared" si="17"/>
        <v>1</v>
      </c>
    </row>
    <row r="40" spans="1:29" ht="15.75" thickBot="1">
      <c r="A40" s="472"/>
      <c r="B40" s="2967" t="s">
        <v>2574</v>
      </c>
      <c r="C40" s="2615" t="s">
        <v>3239</v>
      </c>
      <c r="D40" s="435">
        <v>100</v>
      </c>
      <c r="E40" s="2616" t="s">
        <v>3239</v>
      </c>
      <c r="F40" s="461">
        <f>SUMIF(118:118,E40,119:119)-SUMIF(118:118,C40,119:119)+100</f>
        <v>100</v>
      </c>
      <c r="G40" s="2615" t="s">
        <v>3239</v>
      </c>
      <c r="H40" s="435">
        <f>SUMIF(118:118,G40,119:119)-SUMIF(118:118,C40,119:119)+100</f>
        <v>100</v>
      </c>
      <c r="I40" s="2616" t="s">
        <v>3239</v>
      </c>
      <c r="J40" s="435">
        <f>SUMIF(118:118,I40,119:119)-SUMIF(118:118,C40,119:119)+100</f>
        <v>100</v>
      </c>
      <c r="K40" s="426"/>
      <c r="L40" s="1143"/>
      <c r="M40" s="1134"/>
      <c r="N40" s="1134"/>
      <c r="O40" s="1134"/>
      <c r="P40" s="3222"/>
      <c r="Q40" s="2971" t="str">
        <f t="shared" si="11"/>
        <v>房型</v>
      </c>
      <c r="R40" s="774" t="s">
        <v>21</v>
      </c>
      <c r="S40" s="775">
        <f t="shared" si="12"/>
        <v>100</v>
      </c>
      <c r="T40" s="774" t="s">
        <v>21</v>
      </c>
      <c r="U40" s="775">
        <f t="shared" si="13"/>
        <v>100</v>
      </c>
      <c r="V40" s="774" t="s">
        <v>21</v>
      </c>
      <c r="W40" s="775">
        <f t="shared" si="14"/>
        <v>100</v>
      </c>
      <c r="X40" s="2970"/>
      <c r="Y40" s="3209"/>
      <c r="Z40" s="2972" t="str">
        <f t="shared" si="18"/>
        <v>房型</v>
      </c>
      <c r="AA40" s="2973">
        <f t="shared" si="15"/>
        <v>1</v>
      </c>
      <c r="AB40" s="2973">
        <f t="shared" si="16"/>
        <v>1</v>
      </c>
      <c r="AC40" s="2973">
        <f t="shared" si="17"/>
        <v>1</v>
      </c>
    </row>
    <row r="41" spans="1:29" s="471" customFormat="1" ht="29.25" hidden="1" thickBot="1">
      <c r="A41" s="468"/>
      <c r="B41" s="2967" t="s">
        <v>2575</v>
      </c>
      <c r="C41" s="469" t="s">
        <v>3277</v>
      </c>
      <c r="D41" s="136">
        <v>100</v>
      </c>
      <c r="E41" s="430" t="s">
        <v>3276</v>
      </c>
      <c r="F41" s="425">
        <f>SUMIF(120:120,E41,121:121)-SUMIF(120:120,C41,121:121)+100</f>
        <v>100</v>
      </c>
      <c r="G41" s="429" t="s">
        <v>3272</v>
      </c>
      <c r="H41" s="136">
        <f>SUMIF(120:120,G41,121:121)-SUMIF(120:120,C41,121:121)+100</f>
        <v>100</v>
      </c>
      <c r="I41" s="477" t="s">
        <v>3280</v>
      </c>
      <c r="J41" s="435">
        <f>SUMIF(120:120,I41,121:121)-SUMIF(120:120,C41,121:121)+100</f>
        <v>100</v>
      </c>
      <c r="K41" s="2603"/>
      <c r="L41" s="1141"/>
      <c r="M41" s="1144"/>
      <c r="N41" s="1144"/>
      <c r="O41" s="1144"/>
      <c r="P41" s="3222"/>
      <c r="Q41" s="776" t="str">
        <f t="shared" si="11"/>
        <v>单套/主力户型建筑面积</v>
      </c>
      <c r="R41" s="777" t="s">
        <v>21</v>
      </c>
      <c r="S41" s="778">
        <f t="shared" si="12"/>
        <v>100</v>
      </c>
      <c r="T41" s="777" t="s">
        <v>21</v>
      </c>
      <c r="U41" s="778">
        <f t="shared" si="13"/>
        <v>100</v>
      </c>
      <c r="V41" s="777" t="s">
        <v>21</v>
      </c>
      <c r="W41" s="778">
        <f t="shared" si="14"/>
        <v>100</v>
      </c>
      <c r="X41" s="779"/>
      <c r="Y41" s="3209"/>
      <c r="Z41" s="780" t="str">
        <f t="shared" si="18"/>
        <v>单套/主力户型建筑面积</v>
      </c>
      <c r="AA41" s="2973">
        <f t="shared" si="15"/>
        <v>1</v>
      </c>
      <c r="AB41" s="2973">
        <f t="shared" si="16"/>
        <v>1</v>
      </c>
      <c r="AC41" s="2973">
        <f t="shared" si="17"/>
        <v>1</v>
      </c>
    </row>
    <row r="42" spans="1:29" ht="15.75" hidden="1" thickBot="1">
      <c r="A42" s="472"/>
      <c r="B42" s="2967" t="s">
        <v>2576</v>
      </c>
      <c r="C42" s="2615" t="s">
        <v>3246</v>
      </c>
      <c r="D42" s="435">
        <v>100</v>
      </c>
      <c r="E42" s="2616" t="s">
        <v>3246</v>
      </c>
      <c r="F42" s="461">
        <f>SUMIF(122:122,E42,123:123)-SUMIF(122:122,C42,123:123)+100</f>
        <v>100</v>
      </c>
      <c r="G42" s="2615" t="s">
        <v>3246</v>
      </c>
      <c r="H42" s="435">
        <f>SUMIF(122:122,G42,123:123)-SUMIF(122:122,C42,123:123)+100</f>
        <v>100</v>
      </c>
      <c r="I42" s="2616" t="s">
        <v>3246</v>
      </c>
      <c r="J42" s="435">
        <f>SUMIF(122:122,I42,123:123)-SUMIF(122:122,C42,123:123)+100</f>
        <v>100</v>
      </c>
      <c r="K42" s="426">
        <v>2</v>
      </c>
      <c r="L42" s="1143"/>
      <c r="M42" s="1134"/>
      <c r="N42" s="1134"/>
      <c r="O42" s="1134"/>
      <c r="P42" s="3222"/>
      <c r="Q42" s="2971" t="str">
        <f t="shared" si="11"/>
        <v>内部装修</v>
      </c>
      <c r="R42" s="774" t="s">
        <v>21</v>
      </c>
      <c r="S42" s="775">
        <f t="shared" si="12"/>
        <v>100</v>
      </c>
      <c r="T42" s="774" t="s">
        <v>21</v>
      </c>
      <c r="U42" s="775">
        <f t="shared" si="13"/>
        <v>100</v>
      </c>
      <c r="V42" s="774" t="s">
        <v>21</v>
      </c>
      <c r="W42" s="775">
        <f t="shared" si="14"/>
        <v>100</v>
      </c>
      <c r="X42" s="2970"/>
      <c r="Y42" s="3209"/>
      <c r="Z42" s="2972" t="str">
        <f t="shared" si="18"/>
        <v>内部装修</v>
      </c>
      <c r="AA42" s="2973">
        <f t="shared" si="15"/>
        <v>1</v>
      </c>
      <c r="AB42" s="2973">
        <f t="shared" si="16"/>
        <v>1</v>
      </c>
      <c r="AC42" s="2973">
        <f t="shared" si="17"/>
        <v>1</v>
      </c>
    </row>
    <row r="43" spans="1:29" ht="15.75" hidden="1" thickBot="1">
      <c r="A43" s="472"/>
      <c r="B43" s="2967" t="s">
        <v>2577</v>
      </c>
      <c r="C43" s="2615" t="s">
        <v>3247</v>
      </c>
      <c r="D43" s="435">
        <v>100</v>
      </c>
      <c r="E43" s="2616" t="s">
        <v>3247</v>
      </c>
      <c r="F43" s="461">
        <f>SUMIF(124:124,E43,125:125)-SUMIF(124:124,C43,125:125)+100</f>
        <v>100</v>
      </c>
      <c r="G43" s="2615" t="s">
        <v>3247</v>
      </c>
      <c r="H43" s="435">
        <f>SUMIF(124:124,G43,125:125)-SUMIF(124:124,C43,125:125)+100</f>
        <v>100</v>
      </c>
      <c r="I43" s="2616" t="s">
        <v>3247</v>
      </c>
      <c r="J43" s="435">
        <f>SUMIF(124:124,I43,125:125)-SUMIF(124:124,C43,125:125)+100</f>
        <v>100</v>
      </c>
      <c r="K43" s="426"/>
      <c r="L43" s="1143"/>
      <c r="M43" s="1134"/>
      <c r="N43" s="1134"/>
      <c r="O43" s="1134"/>
      <c r="P43" s="3222"/>
      <c r="Q43" s="2971" t="str">
        <f t="shared" si="11"/>
        <v>内部装修维护情况</v>
      </c>
      <c r="R43" s="774" t="s">
        <v>21</v>
      </c>
      <c r="S43" s="775">
        <f t="shared" si="12"/>
        <v>100</v>
      </c>
      <c r="T43" s="774" t="s">
        <v>21</v>
      </c>
      <c r="U43" s="775">
        <f t="shared" si="13"/>
        <v>100</v>
      </c>
      <c r="V43" s="774" t="s">
        <v>21</v>
      </c>
      <c r="W43" s="775">
        <f t="shared" si="14"/>
        <v>100</v>
      </c>
      <c r="X43" s="2970"/>
      <c r="Y43" s="3209"/>
      <c r="Z43" s="2972" t="str">
        <f t="shared" si="18"/>
        <v>内部装修维护情况</v>
      </c>
      <c r="AA43" s="2973">
        <f t="shared" si="15"/>
        <v>1</v>
      </c>
      <c r="AB43" s="2973">
        <f t="shared" si="16"/>
        <v>1</v>
      </c>
      <c r="AC43" s="2973">
        <f t="shared" si="17"/>
        <v>1</v>
      </c>
    </row>
    <row r="44" spans="1:29" s="117" customFormat="1" ht="15.75" hidden="1" thickBot="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22"/>
      <c r="Q44" s="2958">
        <f t="shared" si="11"/>
        <v>111</v>
      </c>
      <c r="R44" s="770" t="s">
        <v>21</v>
      </c>
      <c r="S44" s="771">
        <f t="shared" si="12"/>
        <v>100</v>
      </c>
      <c r="T44" s="770" t="s">
        <v>21</v>
      </c>
      <c r="U44" s="771">
        <f t="shared" si="13"/>
        <v>100</v>
      </c>
      <c r="V44" s="770" t="s">
        <v>21</v>
      </c>
      <c r="W44" s="771">
        <f t="shared" si="14"/>
        <v>100</v>
      </c>
      <c r="X44" s="772"/>
      <c r="Y44" s="3209"/>
      <c r="Z44" s="2959">
        <f t="shared" si="18"/>
        <v>111</v>
      </c>
      <c r="AA44" s="773">
        <f t="shared" si="15"/>
        <v>1</v>
      </c>
      <c r="AB44" s="773">
        <f t="shared" si="16"/>
        <v>1</v>
      </c>
      <c r="AC44" s="773">
        <f t="shared" si="17"/>
        <v>1</v>
      </c>
    </row>
    <row r="45" spans="1:29" ht="15.75" hidden="1" thickBot="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22"/>
      <c r="Q45" s="2971">
        <f t="shared" si="11"/>
        <v>111</v>
      </c>
      <c r="R45" s="774" t="s">
        <v>21</v>
      </c>
      <c r="S45" s="775">
        <f t="shared" si="12"/>
        <v>100</v>
      </c>
      <c r="T45" s="774" t="s">
        <v>21</v>
      </c>
      <c r="U45" s="775">
        <f t="shared" si="13"/>
        <v>100</v>
      </c>
      <c r="V45" s="774" t="s">
        <v>21</v>
      </c>
      <c r="W45" s="775">
        <f t="shared" si="14"/>
        <v>100</v>
      </c>
      <c r="X45" s="2970"/>
      <c r="Y45" s="3209"/>
      <c r="Z45" s="2972">
        <f t="shared" si="18"/>
        <v>111</v>
      </c>
      <c r="AA45" s="2973">
        <f t="shared" si="15"/>
        <v>1</v>
      </c>
      <c r="AB45" s="2973">
        <f t="shared" si="16"/>
        <v>1</v>
      </c>
      <c r="AC45" s="2973">
        <f t="shared" si="17"/>
        <v>1</v>
      </c>
    </row>
    <row r="46" spans="1:29" ht="15.75" hidden="1"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23"/>
      <c r="Q46" s="2971">
        <f t="shared" si="11"/>
        <v>111</v>
      </c>
      <c r="R46" s="774" t="s">
        <v>20</v>
      </c>
      <c r="S46" s="775">
        <f t="shared" si="12"/>
        <v>100</v>
      </c>
      <c r="T46" s="774" t="s">
        <v>20</v>
      </c>
      <c r="U46" s="775">
        <f t="shared" si="13"/>
        <v>100</v>
      </c>
      <c r="V46" s="774" t="s">
        <v>20</v>
      </c>
      <c r="W46" s="775">
        <f t="shared" si="14"/>
        <v>100</v>
      </c>
      <c r="X46" s="2970"/>
      <c r="Y46" s="3224"/>
      <c r="Z46" s="2972">
        <f t="shared" si="18"/>
        <v>111</v>
      </c>
      <c r="AA46" s="2973">
        <f t="shared" si="15"/>
        <v>1</v>
      </c>
      <c r="AB46" s="2973">
        <f t="shared" si="16"/>
        <v>1</v>
      </c>
      <c r="AC46" s="2973">
        <f t="shared" si="17"/>
        <v>1</v>
      </c>
    </row>
    <row r="47" spans="1:29" ht="15">
      <c r="A47" s="479" t="s">
        <v>2578</v>
      </c>
      <c r="B47" s="480"/>
      <c r="C47" s="1410" t="s">
        <v>19</v>
      </c>
      <c r="D47" s="1411"/>
      <c r="E47" s="1412">
        <v>36000</v>
      </c>
      <c r="F47" s="1413"/>
      <c r="G47" s="1414">
        <v>35000</v>
      </c>
      <c r="H47" s="1415"/>
      <c r="I47" s="1412">
        <v>38000</v>
      </c>
      <c r="J47" s="1415"/>
      <c r="K47" s="2623"/>
      <c r="L47" s="1146"/>
      <c r="M47" s="1147"/>
      <c r="N47" s="1134"/>
      <c r="O47" s="1147"/>
      <c r="P47" s="3191" t="str">
        <f>A47</f>
        <v>成交单价（元/平方米）</v>
      </c>
      <c r="Q47" s="3191"/>
      <c r="R47" s="3217">
        <f>E47</f>
        <v>36000</v>
      </c>
      <c r="S47" s="3217"/>
      <c r="T47" s="3217">
        <f>G47</f>
        <v>35000</v>
      </c>
      <c r="U47" s="3217"/>
      <c r="V47" s="3217">
        <f>I47</f>
        <v>38000</v>
      </c>
      <c r="W47" s="3217"/>
      <c r="X47" s="759"/>
      <c r="Y47" s="781"/>
      <c r="Z47" s="759"/>
      <c r="AA47" s="759"/>
      <c r="AB47" s="759"/>
      <c r="AC47" s="759"/>
    </row>
    <row r="48" spans="1:29" ht="15.75" thickBot="1">
      <c r="A48" s="486" t="s">
        <v>2579</v>
      </c>
      <c r="B48" s="487"/>
      <c r="C48" s="1416">
        <f>R49</f>
        <v>35172</v>
      </c>
      <c r="D48" s="1417"/>
      <c r="E48" s="1418">
        <f>R48</f>
        <v>36058</v>
      </c>
      <c r="F48" s="1418"/>
      <c r="G48" s="1416">
        <f>T48</f>
        <v>35014</v>
      </c>
      <c r="H48" s="1417"/>
      <c r="I48" s="1418">
        <f>V48</f>
        <v>34444</v>
      </c>
      <c r="J48" s="1417"/>
      <c r="K48" s="2624"/>
      <c r="L48" s="1146"/>
      <c r="M48" s="1147"/>
      <c r="N48" s="1147"/>
      <c r="O48" s="1147"/>
      <c r="P48" s="3191" t="str">
        <f>A48</f>
        <v>比较价值（元/平方米）</v>
      </c>
      <c r="Q48" s="3191"/>
      <c r="R48" s="3217">
        <f>IF(F1="售价",ROUND(PRODUCT(R47,AA7:AA46),0),ROUND(PRODUCT(R47,AA7:AA46),1))</f>
        <v>36058</v>
      </c>
      <c r="S48" s="3217"/>
      <c r="T48" s="3217">
        <f>IF(F1="售价",ROUND(PRODUCT(T47,AB7:AB46),0),ROUND(PRODUCT(T47,AB7:AB46),1))</f>
        <v>35014</v>
      </c>
      <c r="U48" s="3217"/>
      <c r="V48" s="3217">
        <f>IF(F1="售价",ROUND(PRODUCT(V47,AC7:AC46),0),ROUND(PRODUCT(V47,AC7:AC46),1))</f>
        <v>34444</v>
      </c>
      <c r="W48" s="3217"/>
      <c r="X48" s="759"/>
      <c r="Y48" s="759"/>
      <c r="Z48" s="759"/>
      <c r="AA48" s="759"/>
      <c r="AB48" s="759"/>
      <c r="AC48" s="759"/>
    </row>
    <row r="49" spans="1:29" ht="15.75" thickBot="1">
      <c r="A49" s="492" t="s">
        <v>2580</v>
      </c>
      <c r="B49" s="493"/>
      <c r="C49" s="1419">
        <f>R49</f>
        <v>35172</v>
      </c>
      <c r="D49" s="1420"/>
      <c r="E49" s="1420"/>
      <c r="F49" s="1420"/>
      <c r="G49" s="1420"/>
      <c r="H49" s="1420"/>
      <c r="I49" s="1420"/>
      <c r="J49" s="1420"/>
      <c r="K49" s="2625"/>
      <c r="L49" s="1146"/>
      <c r="M49" s="1147"/>
      <c r="N49" s="1147"/>
      <c r="O49" s="1147"/>
      <c r="P49" s="3211" t="str">
        <f>A49</f>
        <v>估价对象XX用房的比较价值（楼面单价，元/平方米）</v>
      </c>
      <c r="Q49" s="3212"/>
      <c r="R49" s="3218">
        <f>IF(F1="售价",ROUND(AVERAGE(R48:V48),0),ROUND(AVERAGE(R48:V48),1))</f>
        <v>35172</v>
      </c>
      <c r="S49" s="3218"/>
      <c r="T49" s="3218"/>
      <c r="U49" s="3218"/>
      <c r="V49" s="3218"/>
      <c r="W49" s="321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f>IF(E47&lt;E48,E48/E47-1,E47/E48-1)</f>
        <v>1.6111111111110077E-3</v>
      </c>
      <c r="F52" s="500" t="str">
        <f>IF(OR(E52&gt;=0.3,E52&lt;=-0.3),"超过30%","")</f>
        <v/>
      </c>
      <c r="G52" s="499">
        <f>IF(G47&lt;G48,G48/G47-1,G47/G48-1)</f>
        <v>3.9999999999995595E-4</v>
      </c>
      <c r="H52" s="500" t="str">
        <f>IF(OR(G52&gt;=0.3,G52&lt;=-0.3),"超过30%","")</f>
        <v/>
      </c>
      <c r="I52" s="499">
        <f>IF(I47&lt;I48,I48/I47-1,I47/I48-1)</f>
        <v>0.10324004180699098</v>
      </c>
      <c r="J52" s="500" t="str">
        <f>IF(OR(I52&gt;=0.3,I52&lt;=-0.3),"超过30%","")</f>
        <v/>
      </c>
      <c r="K52" s="1108"/>
      <c r="L52" s="1109"/>
      <c r="M52" s="1147"/>
      <c r="N52" s="1147"/>
      <c r="O52" s="1147"/>
    </row>
    <row r="53" spans="1:29" ht="13.5" customHeight="1">
      <c r="A53" s="1147"/>
      <c r="B53" s="1147"/>
      <c r="C53" s="497" t="s">
        <v>2582</v>
      </c>
      <c r="D53" s="501"/>
      <c r="E53" s="499">
        <f>IF(E48&lt;G48,G48/E48-1,E48/G48-1)</f>
        <v>2.9816644770663148E-2</v>
      </c>
      <c r="F53" s="500" t="str">
        <f>IF(OR(E53&gt;=0.2,E53&lt;=-0.2),"超过20%","")</f>
        <v/>
      </c>
      <c r="G53" s="499">
        <f>IF(G48&lt;I48,I48/G48-1,G48/I48-1)</f>
        <v>1.6548600627104948E-2</v>
      </c>
      <c r="H53" s="500" t="str">
        <f>IF(OR(G53&gt;=0.2,G53&lt;=-0.2),"超过20%","")</f>
        <v/>
      </c>
      <c r="I53" s="499">
        <f>IF(I48&lt;E48,E48/I48-1,I48/E48-1)</f>
        <v>4.6858669144117959E-2</v>
      </c>
      <c r="J53" s="500" t="str">
        <f>IF(OR(I53&gt;=0.2,I53&lt;=-0.2),"超过20%","")</f>
        <v/>
      </c>
      <c r="K53" s="1108"/>
      <c r="L53" s="1109"/>
      <c r="M53" s="1147"/>
      <c r="N53" s="1147"/>
      <c r="O53" s="1147"/>
    </row>
    <row r="54" spans="1:29" s="502" customFormat="1" ht="13.5" customHeight="1">
      <c r="A54" s="1148"/>
      <c r="B54" s="1148"/>
      <c r="C54" s="497" t="s">
        <v>2583</v>
      </c>
      <c r="D54" s="501"/>
      <c r="E54" s="499">
        <f>IF(E47&lt;G47,G47/E47-1,E47/G47-1)</f>
        <v>2.857142857142847E-2</v>
      </c>
      <c r="F54" s="500" t="str">
        <f>IF(OR(E54&gt;=0.3,E54&lt;=-0.3),"超过30%","")</f>
        <v/>
      </c>
      <c r="G54" s="499">
        <f>IF(G47&lt;I47,I47/G47-1,G47/I47-1)</f>
        <v>8.5714285714285632E-2</v>
      </c>
      <c r="H54" s="500" t="str">
        <f>IF(OR(G54&gt;=0.3,G54&lt;=-0.3),"超过30%","")</f>
        <v/>
      </c>
      <c r="I54" s="499">
        <f>IF(I47&lt;E47,E47/I47-1,I47/E47-1)</f>
        <v>5.555555555555558E-2</v>
      </c>
      <c r="J54" s="500" t="str">
        <f>IF(OR(I54&gt;=0.3,I54&lt;=-0.3),"超过30%","")</f>
        <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28"/>
      <c r="Q57" s="504"/>
    </row>
    <row r="58" spans="1:29" s="508" customFormat="1" ht="15">
      <c r="A58" s="505" t="s">
        <v>2549</v>
      </c>
      <c r="B58" s="506"/>
      <c r="C58" s="1579" t="str">
        <f>YEAR(C7)&amp;"-"&amp;MONTH(C7)</f>
        <v>2018-4</v>
      </c>
      <c r="D58" s="1578">
        <f>EDATE(C58,-1)</f>
        <v>43160</v>
      </c>
      <c r="E58" s="1578">
        <f>EDATE(D58,-1)</f>
        <v>43132</v>
      </c>
      <c r="F58" s="1578">
        <f t="shared" ref="F58:O58" si="19">EDATE(E58,-1)</f>
        <v>43101</v>
      </c>
      <c r="G58" s="1578">
        <f t="shared" si="19"/>
        <v>43070</v>
      </c>
      <c r="H58" s="1578">
        <f t="shared" si="19"/>
        <v>43040</v>
      </c>
      <c r="I58" s="1578">
        <f t="shared" si="19"/>
        <v>43009</v>
      </c>
      <c r="J58" s="1578">
        <f t="shared" si="19"/>
        <v>42979</v>
      </c>
      <c r="K58" s="1578">
        <f t="shared" si="19"/>
        <v>42948</v>
      </c>
      <c r="L58" s="1578">
        <f t="shared" si="19"/>
        <v>42917</v>
      </c>
      <c r="M58" s="1578">
        <f t="shared" si="19"/>
        <v>42887</v>
      </c>
      <c r="N58" s="1578">
        <f t="shared" si="19"/>
        <v>42856</v>
      </c>
      <c r="O58" s="1578">
        <f t="shared" si="19"/>
        <v>42826</v>
      </c>
      <c r="P58" s="1573"/>
    </row>
    <row r="59" spans="1:29" s="117" customFormat="1" ht="15">
      <c r="A59" s="509"/>
      <c r="B59" s="2629"/>
      <c r="C59" s="1576">
        <v>100</v>
      </c>
      <c r="D59" s="511">
        <v>99.5</v>
      </c>
      <c r="E59" s="512">
        <v>99</v>
      </c>
      <c r="F59" s="512">
        <v>98.5</v>
      </c>
      <c r="G59" s="512">
        <v>98</v>
      </c>
      <c r="H59" s="512">
        <v>97.5</v>
      </c>
      <c r="I59" s="512">
        <v>97</v>
      </c>
      <c r="J59" s="512">
        <v>96.5</v>
      </c>
      <c r="K59" s="512">
        <v>96</v>
      </c>
      <c r="L59" s="512">
        <v>95.5</v>
      </c>
      <c r="M59" s="513">
        <v>95</v>
      </c>
      <c r="N59" s="512">
        <v>94.5</v>
      </c>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2588</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t="str">
        <f>C9</f>
        <v>住宅</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32"/>
      <c r="Q66" s="504"/>
    </row>
    <row r="67" spans="1:17" ht="15.75" thickTop="1">
      <c r="A67" s="534"/>
      <c r="B67" s="546" t="s">
        <v>2559</v>
      </c>
      <c r="C67" s="547" t="str">
        <f>C68&amp;"（含）"&amp;"-"&amp;D68</f>
        <v>0（含）-1</v>
      </c>
      <c r="D67" s="547" t="str">
        <f t="shared" ref="D67:L67" si="21">D68&amp;"（含）"&amp;"-"&amp;E68</f>
        <v>1（含）-2</v>
      </c>
      <c r="E67" s="547" t="str">
        <f t="shared" si="21"/>
        <v>2（含）-3</v>
      </c>
      <c r="F67" s="547" t="str">
        <f t="shared" si="21"/>
        <v>3（含）-4</v>
      </c>
      <c r="G67" s="547" t="str">
        <f t="shared" si="21"/>
        <v>4（含）-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v>0</v>
      </c>
      <c r="D68" s="549">
        <v>1</v>
      </c>
      <c r="E68" s="549">
        <v>2</v>
      </c>
      <c r="F68" s="549">
        <v>3</v>
      </c>
      <c r="G68" s="549">
        <v>4</v>
      </c>
      <c r="H68" s="549"/>
      <c r="I68" s="549"/>
      <c r="J68" s="549"/>
      <c r="K68" s="550"/>
      <c r="L68" s="551"/>
      <c r="M68" s="552"/>
      <c r="N68" s="1155"/>
      <c r="O68" s="1155"/>
      <c r="P68" s="2632"/>
      <c r="Q68" s="504"/>
    </row>
    <row r="69" spans="1:17" ht="15.75" thickBot="1">
      <c r="A69" s="534"/>
      <c r="B69" s="535"/>
      <c r="C69" s="544">
        <v>100</v>
      </c>
      <c r="D69" s="544">
        <f t="shared" ref="D69:M69" si="22">C69-$K11</f>
        <v>98</v>
      </c>
      <c r="E69" s="544">
        <f t="shared" si="22"/>
        <v>96</v>
      </c>
      <c r="F69" s="544">
        <f t="shared" si="22"/>
        <v>94</v>
      </c>
      <c r="G69" s="544">
        <f t="shared" si="22"/>
        <v>92</v>
      </c>
      <c r="H69" s="544">
        <f t="shared" si="22"/>
        <v>90</v>
      </c>
      <c r="I69" s="544">
        <f t="shared" si="22"/>
        <v>88</v>
      </c>
      <c r="J69" s="544">
        <f t="shared" si="22"/>
        <v>86</v>
      </c>
      <c r="K69" s="544">
        <f t="shared" si="22"/>
        <v>84</v>
      </c>
      <c r="L69" s="544">
        <f t="shared" si="22"/>
        <v>82</v>
      </c>
      <c r="M69" s="545">
        <f t="shared" si="22"/>
        <v>80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32"/>
      <c r="Q81" s="504"/>
    </row>
    <row r="82" spans="1:17" ht="15.75" thickTop="1">
      <c r="A82" s="534"/>
      <c r="B82" s="546" t="s">
        <v>2100</v>
      </c>
      <c r="C82" s="539" t="s">
        <v>2605</v>
      </c>
      <c r="D82" s="539" t="s">
        <v>2606</v>
      </c>
      <c r="E82" s="539" t="s">
        <v>2607</v>
      </c>
      <c r="F82" s="539" t="s">
        <v>2608</v>
      </c>
      <c r="G82" s="539" t="s">
        <v>2609</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2611</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2612</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ht="15" thickTop="1">
      <c r="A100" s="527" t="s">
        <v>2564</v>
      </c>
      <c r="B100" s="528" t="s">
        <v>2613</v>
      </c>
      <c r="C100" s="2981" t="s">
        <v>3269</v>
      </c>
      <c r="D100" s="2954" t="s">
        <v>3120</v>
      </c>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29.25" thickTop="1">
      <c r="A102" s="534"/>
      <c r="B102" s="538" t="s">
        <v>2614</v>
      </c>
      <c r="C102" s="578" t="str">
        <f>C103&amp;"(含)"&amp;"-"&amp;D103</f>
        <v>0(含)-50000</v>
      </c>
      <c r="D102" s="578" t="str">
        <f t="shared" ref="D102:L102" si="27">D103&amp;"(含)"&amp;"-"&amp;E103</f>
        <v>50000(含)-100000</v>
      </c>
      <c r="E102" s="578" t="str">
        <f t="shared" si="27"/>
        <v>100000(含)-150000</v>
      </c>
      <c r="F102" s="578" t="str">
        <f t="shared" si="27"/>
        <v>150000(含)-200000</v>
      </c>
      <c r="G102" s="578" t="str">
        <f t="shared" si="27"/>
        <v>200000(含)-250000</v>
      </c>
      <c r="H102" s="578" t="str">
        <f t="shared" si="27"/>
        <v>250000(含)-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v>0</v>
      </c>
      <c r="D103" s="595">
        <v>50000</v>
      </c>
      <c r="E103" s="595">
        <v>100000</v>
      </c>
      <c r="F103" s="595">
        <v>150000</v>
      </c>
      <c r="G103" s="595">
        <v>200000</v>
      </c>
      <c r="H103" s="595">
        <v>250000</v>
      </c>
      <c r="I103" s="595"/>
      <c r="J103" s="596"/>
      <c r="K103" s="596"/>
      <c r="L103" s="597"/>
      <c r="M103" s="598"/>
      <c r="N103" s="1157"/>
      <c r="O103" s="1157"/>
      <c r="P103" s="2633"/>
      <c r="Q103" s="559"/>
    </row>
    <row r="104" spans="1:17" s="471" customFormat="1" ht="15.75" thickBot="1">
      <c r="A104" s="553"/>
      <c r="B104" s="543"/>
      <c r="C104" s="560">
        <v>100</v>
      </c>
      <c r="D104" s="536">
        <v>102</v>
      </c>
      <c r="E104" s="536">
        <v>104</v>
      </c>
      <c r="F104" s="536">
        <v>106</v>
      </c>
      <c r="G104" s="536">
        <v>108</v>
      </c>
      <c r="H104" s="536">
        <v>110</v>
      </c>
      <c r="I104" s="536"/>
      <c r="J104" s="536"/>
      <c r="K104" s="536"/>
      <c r="L104" s="536"/>
      <c r="M104" s="536"/>
      <c r="N104" s="1156"/>
      <c r="O104" s="1156"/>
      <c r="P104" s="2633"/>
      <c r="Q104" s="559"/>
    </row>
    <row r="105" spans="1:17" ht="15" thickTop="1">
      <c r="A105" s="599"/>
      <c r="B105" s="538" t="s">
        <v>2615</v>
      </c>
      <c r="C105" s="554" t="s">
        <v>3256</v>
      </c>
      <c r="D105" s="554" t="s">
        <v>3240</v>
      </c>
      <c r="E105" s="583" t="s">
        <v>3257</v>
      </c>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32"/>
      <c r="Q106" s="504"/>
    </row>
    <row r="107" spans="1:17" ht="15" thickTop="1">
      <c r="A107" s="599"/>
      <c r="B107" s="538" t="s">
        <v>2616</v>
      </c>
      <c r="C107" s="583" t="s">
        <v>3241</v>
      </c>
      <c r="D107" s="583" t="s">
        <v>3258</v>
      </c>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95</v>
      </c>
      <c r="E108" s="544">
        <f t="shared" si="29"/>
        <v>90</v>
      </c>
      <c r="F108" s="544">
        <f t="shared" si="29"/>
        <v>85</v>
      </c>
      <c r="G108" s="544">
        <f t="shared" si="29"/>
        <v>80</v>
      </c>
      <c r="H108" s="544">
        <f t="shared" si="29"/>
        <v>75</v>
      </c>
      <c r="I108" s="544">
        <f t="shared" si="29"/>
        <v>70</v>
      </c>
      <c r="J108" s="544">
        <f t="shared" si="29"/>
        <v>65</v>
      </c>
      <c r="K108" s="544">
        <f t="shared" si="29"/>
        <v>60</v>
      </c>
      <c r="L108" s="544">
        <f t="shared" si="29"/>
        <v>55</v>
      </c>
      <c r="M108" s="544">
        <f t="shared" si="29"/>
        <v>50</v>
      </c>
      <c r="N108" s="1156"/>
      <c r="O108" s="1156"/>
      <c r="P108" s="2632"/>
      <c r="Q108" s="504"/>
    </row>
    <row r="109" spans="1:17" ht="15" thickTop="1">
      <c r="A109" s="599"/>
      <c r="B109" s="538" t="s">
        <v>2617</v>
      </c>
      <c r="C109" s="554" t="s">
        <v>3242</v>
      </c>
      <c r="D109" s="554" t="s">
        <v>3259</v>
      </c>
      <c r="E109" s="554" t="s">
        <v>3253</v>
      </c>
      <c r="F109" s="583" t="s">
        <v>3246</v>
      </c>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32"/>
      <c r="Q110" s="504"/>
    </row>
    <row r="111" spans="1:17" s="471" customFormat="1" ht="15" thickTop="1">
      <c r="A111" s="593"/>
      <c r="B111" s="538" t="s">
        <v>1998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3"/>
      <c r="Q113" s="559"/>
    </row>
    <row r="114" spans="1:17" ht="15" thickTop="1">
      <c r="A114" s="599"/>
      <c r="B114" s="538" t="s">
        <v>2618</v>
      </c>
      <c r="C114" s="554" t="s">
        <v>3243</v>
      </c>
      <c r="D114" s="554" t="s">
        <v>3260</v>
      </c>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97</v>
      </c>
      <c r="E115" s="544">
        <f t="shared" si="31"/>
        <v>94</v>
      </c>
      <c r="F115" s="544">
        <f t="shared" si="31"/>
        <v>91</v>
      </c>
      <c r="G115" s="544">
        <f t="shared" si="31"/>
        <v>88</v>
      </c>
      <c r="H115" s="544">
        <f t="shared" si="31"/>
        <v>85</v>
      </c>
      <c r="I115" s="544">
        <f t="shared" si="31"/>
        <v>82</v>
      </c>
      <c r="J115" s="544">
        <f t="shared" si="31"/>
        <v>79</v>
      </c>
      <c r="K115" s="544">
        <f t="shared" si="31"/>
        <v>76</v>
      </c>
      <c r="L115" s="544">
        <f t="shared" si="31"/>
        <v>73</v>
      </c>
      <c r="M115" s="544">
        <f t="shared" si="31"/>
        <v>70</v>
      </c>
      <c r="N115" s="1156"/>
      <c r="O115" s="1156"/>
      <c r="P115" s="2632"/>
      <c r="Q115" s="504"/>
    </row>
    <row r="116" spans="1:17" ht="15" thickTop="1">
      <c r="A116" s="599"/>
      <c r="B116" s="538" t="s">
        <v>2619</v>
      </c>
      <c r="C116" s="554" t="s">
        <v>3066</v>
      </c>
      <c r="D116" s="554" t="s">
        <v>3244</v>
      </c>
      <c r="E116" s="554" t="s">
        <v>3261</v>
      </c>
      <c r="F116" s="554" t="s">
        <v>3262</v>
      </c>
      <c r="G116" s="554" t="s">
        <v>3263</v>
      </c>
      <c r="H116" s="583"/>
      <c r="I116" s="583"/>
      <c r="J116" s="583"/>
      <c r="K116" s="584"/>
      <c r="L116" s="585"/>
      <c r="M116" s="586"/>
      <c r="N116" s="1155"/>
      <c r="O116" s="1155"/>
      <c r="P116" s="2632"/>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6"/>
      <c r="O117" s="1156"/>
      <c r="P117" s="2632"/>
      <c r="Q117" s="504"/>
    </row>
    <row r="118" spans="1:17" ht="15" thickTop="1">
      <c r="A118" s="599"/>
      <c r="B118" s="538" t="s">
        <v>2620</v>
      </c>
      <c r="C118" s="2981" t="s">
        <v>3269</v>
      </c>
      <c r="D118" s="583" t="s">
        <v>3239</v>
      </c>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2621</v>
      </c>
      <c r="C122" s="2980" t="s">
        <v>3251</v>
      </c>
      <c r="D122" s="2980" t="s">
        <v>3252</v>
      </c>
      <c r="E122" s="2980" t="s">
        <v>3254</v>
      </c>
      <c r="F122" s="2981" t="s">
        <v>3255</v>
      </c>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7">
        <v>6</v>
      </c>
      <c r="C139" s="1088">
        <v>96</v>
      </c>
      <c r="D139" s="2650" t="s">
        <v>2632</v>
      </c>
      <c r="E139" s="1089">
        <v>100</v>
      </c>
      <c r="F139" s="1090">
        <v>102.5</v>
      </c>
      <c r="G139" s="2650" t="s">
        <v>2632</v>
      </c>
      <c r="H139" s="1091">
        <v>105</v>
      </c>
      <c r="I139" s="2651" t="s">
        <v>2633</v>
      </c>
      <c r="J139" s="1088">
        <v>20</v>
      </c>
      <c r="K139" s="1092">
        <f>C145/(J139-2)</f>
        <v>4.0555555555555553E-3</v>
      </c>
    </row>
    <row r="140" spans="1:17" ht="15">
      <c r="B140" s="1093">
        <v>5</v>
      </c>
      <c r="C140" s="1094">
        <v>100</v>
      </c>
      <c r="D140" s="1094"/>
      <c r="E140" s="1095"/>
      <c r="F140" s="1096">
        <v>102</v>
      </c>
      <c r="G140" s="1094"/>
      <c r="H140" s="1097"/>
      <c r="I140" s="2652" t="s">
        <v>2634</v>
      </c>
      <c r="J140" s="315">
        <f>ROUNDUP((J139-1)/2,0)</f>
        <v>10</v>
      </c>
      <c r="K140" s="1098">
        <v>100</v>
      </c>
    </row>
    <row r="141" spans="1:17" ht="15">
      <c r="B141" s="1093">
        <v>4</v>
      </c>
      <c r="C141" s="1094">
        <v>102</v>
      </c>
      <c r="D141" s="1094"/>
      <c r="E141" s="1095"/>
      <c r="F141" s="1096">
        <v>101.5</v>
      </c>
      <c r="G141" s="1094"/>
      <c r="H141" s="1097"/>
      <c r="I141" s="2652" t="s">
        <v>2635</v>
      </c>
      <c r="J141" s="315">
        <v>1</v>
      </c>
      <c r="K141" s="1099">
        <f>ROUND(100+(J141-J140)*K139*100,1)</f>
        <v>96.4</v>
      </c>
    </row>
    <row r="142" spans="1:17" ht="15">
      <c r="B142" s="1093">
        <v>3</v>
      </c>
      <c r="C142" s="1094">
        <v>103</v>
      </c>
      <c r="D142" s="1094"/>
      <c r="E142" s="1095"/>
      <c r="F142" s="1096">
        <v>101</v>
      </c>
      <c r="G142" s="1094"/>
      <c r="H142" s="1097"/>
      <c r="I142" s="2652" t="s">
        <v>2636</v>
      </c>
      <c r="J142" s="315">
        <f>J139</f>
        <v>20</v>
      </c>
      <c r="K142" s="1100">
        <v>95</v>
      </c>
    </row>
    <row r="143" spans="1:17" ht="15">
      <c r="B143" s="1093">
        <v>2</v>
      </c>
      <c r="C143" s="1094">
        <v>100</v>
      </c>
      <c r="D143" s="1094"/>
      <c r="E143" s="1095"/>
      <c r="F143" s="1096">
        <v>100.5</v>
      </c>
      <c r="G143" s="1094"/>
      <c r="H143" s="1097"/>
      <c r="I143" s="2652" t="s">
        <v>2637</v>
      </c>
      <c r="J143" s="1094">
        <v>15</v>
      </c>
      <c r="K143" s="1099">
        <f>ROUND(100+(J143-J140)*K139*100,1)</f>
        <v>102</v>
      </c>
    </row>
    <row r="144" spans="1:17" ht="15">
      <c r="B144" s="1093">
        <v>1</v>
      </c>
      <c r="C144" s="1094">
        <v>98</v>
      </c>
      <c r="D144" s="2653" t="s">
        <v>2638</v>
      </c>
      <c r="E144" s="1095">
        <v>102</v>
      </c>
      <c r="F144" s="1101">
        <v>100</v>
      </c>
      <c r="G144" s="2653" t="s">
        <v>2638</v>
      </c>
      <c r="H144" s="1097">
        <v>105</v>
      </c>
      <c r="I144" s="2652" t="s">
        <v>2637</v>
      </c>
      <c r="J144" s="1094">
        <v>18</v>
      </c>
      <c r="K144" s="1099">
        <f>ROUND(100+(J144-J140)*K139*100,1)</f>
        <v>103.2</v>
      </c>
    </row>
    <row r="145" spans="2:11" ht="15.75" thickBot="1">
      <c r="B145" s="2654" t="s">
        <v>2639</v>
      </c>
      <c r="C145" s="1102">
        <f>ROUND(MAX(C139:C144)/MIN(C139:C144)-1,3)</f>
        <v>7.2999999999999995E-2</v>
      </c>
      <c r="D145" s="1103"/>
      <c r="E145" s="1103"/>
      <c r="F145" s="2655" t="s">
        <v>2640</v>
      </c>
      <c r="G145" s="2656"/>
      <c r="H145" s="2657"/>
      <c r="I145" s="2658" t="s">
        <v>2637</v>
      </c>
      <c r="J145" s="1104">
        <v>8</v>
      </c>
      <c r="K145" s="1105">
        <f>ROUND(100+(J145-J140)*K139*100,1)</f>
        <v>99.2</v>
      </c>
    </row>
    <row r="147" spans="2:11">
      <c r="B147" s="2639" t="s">
        <v>2641</v>
      </c>
    </row>
    <row r="148" spans="2:11">
      <c r="B148" s="2639" t="s">
        <v>2642</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137" priority="14" stopIfTrue="1" operator="containsText" text="超过">
      <formula>NOT(ISERROR(SEARCH("超过",F52)))</formula>
    </cfRule>
  </conditionalFormatting>
  <conditionalFormatting sqref="J54">
    <cfRule type="containsText" dxfId="136" priority="13" stopIfTrue="1" operator="containsText" text="超过">
      <formula>NOT(ISERROR(SEARCH("超过",J54)))</formula>
    </cfRule>
  </conditionalFormatting>
  <conditionalFormatting sqref="H54">
    <cfRule type="containsText" dxfId="135" priority="12" stopIfTrue="1" operator="containsText" text="超过">
      <formula>NOT(ISERROR(SEARCH("超过",H54)))</formula>
    </cfRule>
  </conditionalFormatting>
  <conditionalFormatting sqref="F54">
    <cfRule type="containsText" dxfId="134" priority="11" stopIfTrue="1" operator="containsText" text="超过">
      <formula>NOT(ISERROR(SEARCH("超过",F54)))</formula>
    </cfRule>
  </conditionalFormatting>
  <conditionalFormatting sqref="F53 H53 J53">
    <cfRule type="containsText" dxfId="133" priority="10" stopIfTrue="1" operator="containsText" text="超过">
      <formula>NOT(ISERROR(SEARCH("超过",F53)))</formula>
    </cfRule>
  </conditionalFormatting>
  <conditionalFormatting sqref="E52">
    <cfRule type="expression" dxfId="132" priority="9"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41" sqref="A41:XFD41"/>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2530</v>
      </c>
      <c r="C1" s="1637" t="s">
        <v>2531</v>
      </c>
      <c r="D1" s="1624" t="s">
        <v>3106</v>
      </c>
      <c r="E1" s="2585"/>
      <c r="F1" s="2586" t="s">
        <v>2532</v>
      </c>
      <c r="G1" s="1634" t="s">
        <v>2533</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144679</v>
      </c>
      <c r="C2" s="2588" t="s">
        <v>70</v>
      </c>
      <c r="D2" s="1368" t="e">
        <f ca="1">SUMIF(INDIRECT("'"&amp;F2&amp;"'"&amp;"!A:A"),"承租人权益价值",INDIRECT("'"&amp;F2&amp;"'"&amp;"!c:c"))</f>
        <v>#REF!</v>
      </c>
      <c r="E2" s="2589" t="s">
        <v>2534</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f>IF(C2="——",C49,ROUND(B2*10000/D3,0))</f>
        <v>35059</v>
      </c>
      <c r="C3" s="400" t="s">
        <v>2535</v>
      </c>
      <c r="D3" s="399">
        <f>IF(D1="",'数据-汇总表'!E3,SUMIF('数据-汇总表'!$C19:$C33,D1,'数据-汇总表'!$E19:$E33))</f>
        <v>41267.419999999991</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2536</v>
      </c>
      <c r="B4" s="402"/>
      <c r="C4" s="3192" t="s">
        <v>2537</v>
      </c>
      <c r="D4" s="3193"/>
      <c r="E4" s="3194" t="s">
        <v>2538</v>
      </c>
      <c r="F4" s="3195"/>
      <c r="G4" s="3192" t="s">
        <v>2539</v>
      </c>
      <c r="H4" s="3193"/>
      <c r="I4" s="3192" t="s">
        <v>2540</v>
      </c>
      <c r="J4" s="3193"/>
      <c r="K4" s="2598" t="s">
        <v>2541</v>
      </c>
      <c r="L4" s="1133"/>
      <c r="M4" s="1134"/>
      <c r="N4" s="1134"/>
      <c r="O4" s="1134"/>
      <c r="P4" s="3196" t="s">
        <v>2542</v>
      </c>
      <c r="Q4" s="3197"/>
      <c r="R4" s="3179" t="s">
        <v>2538</v>
      </c>
      <c r="S4" s="3180"/>
      <c r="T4" s="3179" t="s">
        <v>2539</v>
      </c>
      <c r="U4" s="3180"/>
      <c r="V4" s="3204" t="s">
        <v>2540</v>
      </c>
      <c r="W4" s="3204"/>
      <c r="X4" s="1816"/>
      <c r="Y4" s="3179" t="s">
        <v>2542</v>
      </c>
      <c r="Z4" s="3180"/>
      <c r="AA4" s="3174" t="s">
        <v>2538</v>
      </c>
      <c r="AB4" s="3174" t="s">
        <v>2539</v>
      </c>
      <c r="AC4" s="3174" t="s">
        <v>2540</v>
      </c>
    </row>
    <row r="5" spans="1:29" ht="15">
      <c r="A5" s="404"/>
      <c r="B5" s="405"/>
      <c r="C5" s="3185" t="s">
        <v>2543</v>
      </c>
      <c r="D5" s="3186"/>
      <c r="E5" s="3183" t="s">
        <v>3235</v>
      </c>
      <c r="F5" s="3184"/>
      <c r="G5" s="3185" t="s">
        <v>3236</v>
      </c>
      <c r="H5" s="3186"/>
      <c r="I5" s="3226" t="s">
        <v>3267</v>
      </c>
      <c r="J5" s="3186"/>
      <c r="K5" s="2599"/>
      <c r="L5" s="1133"/>
      <c r="M5" s="1134"/>
      <c r="N5" s="1134"/>
      <c r="O5" s="1134"/>
      <c r="P5" s="3198"/>
      <c r="Q5" s="3199"/>
      <c r="R5" s="3181"/>
      <c r="S5" s="3182"/>
      <c r="T5" s="3181"/>
      <c r="U5" s="3182"/>
      <c r="V5" s="3204"/>
      <c r="W5" s="3204"/>
      <c r="X5" s="1816"/>
      <c r="Y5" s="3181"/>
      <c r="Z5" s="3182"/>
      <c r="AA5" s="3175"/>
      <c r="AB5" s="3175"/>
      <c r="AC5" s="3175"/>
    </row>
    <row r="6" spans="1:29" ht="15.75" thickBot="1">
      <c r="A6" s="406"/>
      <c r="B6" s="407"/>
      <c r="C6" s="3187" t="s">
        <v>2547</v>
      </c>
      <c r="D6" s="3188"/>
      <c r="E6" s="3189" t="s">
        <v>3237</v>
      </c>
      <c r="F6" s="3190"/>
      <c r="G6" s="3187" t="s">
        <v>3238</v>
      </c>
      <c r="H6" s="3188"/>
      <c r="I6" s="3187" t="s">
        <v>3268</v>
      </c>
      <c r="J6" s="3188"/>
      <c r="K6" s="2599" t="s">
        <v>2548</v>
      </c>
      <c r="L6" s="1133"/>
      <c r="M6" s="1134"/>
      <c r="N6" s="1134"/>
      <c r="O6" s="1134"/>
      <c r="P6" s="3200"/>
      <c r="Q6" s="3201"/>
      <c r="R6" s="3181"/>
      <c r="S6" s="3182"/>
      <c r="T6" s="3202"/>
      <c r="U6" s="3203"/>
      <c r="V6" s="3204"/>
      <c r="W6" s="3204"/>
      <c r="X6" s="1816"/>
      <c r="Y6" s="3202"/>
      <c r="Z6" s="3203"/>
      <c r="AA6" s="3176"/>
      <c r="AB6" s="3176"/>
      <c r="AC6" s="3176"/>
    </row>
    <row r="7" spans="1:29" s="117" customFormat="1" ht="15.75" thickBot="1">
      <c r="A7" s="408" t="s">
        <v>2549</v>
      </c>
      <c r="B7" s="409"/>
      <c r="C7" s="410">
        <f>'数据-取费表'!B2</f>
        <v>43202</v>
      </c>
      <c r="D7" s="411">
        <v>100</v>
      </c>
      <c r="E7" s="412">
        <f>C7</f>
        <v>43202</v>
      </c>
      <c r="F7" s="413">
        <f>SUMIF(58:58,YEAR(E7)&amp;"-"&amp;MONTH(E7),59:59)</f>
        <v>100</v>
      </c>
      <c r="G7" s="412">
        <f>C7</f>
        <v>43202</v>
      </c>
      <c r="H7" s="411">
        <f>SUMIF(58:58,YEAR(G7)&amp;"-"&amp;MONTH(G7),59:59)</f>
        <v>100</v>
      </c>
      <c r="I7" s="412">
        <f>C7</f>
        <v>43202</v>
      </c>
      <c r="J7" s="411">
        <f>SUMIF(58:58,YEAR(I7)&amp;"-"&amp;MONTH(I7),59:59)</f>
        <v>100</v>
      </c>
      <c r="K7" s="2600"/>
      <c r="L7" s="1135"/>
      <c r="M7" s="1136"/>
      <c r="N7" s="1136"/>
      <c r="O7" s="1136"/>
      <c r="P7" s="3177" t="s">
        <v>2550</v>
      </c>
      <c r="Q7" s="3205"/>
      <c r="R7" s="770" t="s">
        <v>23</v>
      </c>
      <c r="S7" s="771">
        <f t="shared" ref="S7:S15" si="0">F7</f>
        <v>100</v>
      </c>
      <c r="T7" s="770" t="s">
        <v>23</v>
      </c>
      <c r="U7" s="771">
        <f t="shared" ref="U7:U15" si="1">H7</f>
        <v>100</v>
      </c>
      <c r="V7" s="770" t="s">
        <v>23</v>
      </c>
      <c r="W7" s="771">
        <f t="shared" ref="W7:W15" si="2">J7</f>
        <v>100</v>
      </c>
      <c r="X7" s="772"/>
      <c r="Y7" s="3177" t="s">
        <v>2550</v>
      </c>
      <c r="Z7" s="3178"/>
      <c r="AA7" s="773">
        <f>D7/F7</f>
        <v>1</v>
      </c>
      <c r="AB7" s="773">
        <f>D7/H7</f>
        <v>1</v>
      </c>
      <c r="AC7" s="773">
        <f>D7/J7</f>
        <v>1</v>
      </c>
    </row>
    <row r="8" spans="1:29" s="117" customFormat="1" ht="15.75" thickBot="1">
      <c r="A8" s="408" t="s">
        <v>2551</v>
      </c>
      <c r="B8" s="409"/>
      <c r="C8" s="414" t="s">
        <v>2552</v>
      </c>
      <c r="D8" s="411">
        <v>100</v>
      </c>
      <c r="E8" s="2601" t="s">
        <v>3063</v>
      </c>
      <c r="F8" s="413">
        <f>SUMIF(61:61,E8,62:62)-SUMIF(61:61,C8,62:62)+100</f>
        <v>100</v>
      </c>
      <c r="G8" s="414" t="s">
        <v>3063</v>
      </c>
      <c r="H8" s="411">
        <f>SUMIF(61:61,G8,62:62)-SUMIF(61:61,C8,62:62)+100</f>
        <v>100</v>
      </c>
      <c r="I8" s="2601" t="s">
        <v>3063</v>
      </c>
      <c r="J8" s="411">
        <f>SUMIF(61:61,I8,62:62)-SUMIF(61:61,C8,62:62)+100</f>
        <v>100</v>
      </c>
      <c r="K8" s="2600"/>
      <c r="L8" s="1135"/>
      <c r="M8" s="1136"/>
      <c r="N8" s="1136"/>
      <c r="O8" s="1136"/>
      <c r="P8" s="3177" t="s">
        <v>2553</v>
      </c>
      <c r="Q8" s="3178"/>
      <c r="R8" s="770" t="s">
        <v>23</v>
      </c>
      <c r="S8" s="771">
        <f t="shared" si="0"/>
        <v>100</v>
      </c>
      <c r="T8" s="770" t="s">
        <v>23</v>
      </c>
      <c r="U8" s="771">
        <f t="shared" si="1"/>
        <v>100</v>
      </c>
      <c r="V8" s="770" t="s">
        <v>23</v>
      </c>
      <c r="W8" s="771">
        <f t="shared" si="2"/>
        <v>100</v>
      </c>
      <c r="X8" s="772"/>
      <c r="Y8" s="3177" t="s">
        <v>2553</v>
      </c>
      <c r="Z8" s="3178"/>
      <c r="AA8" s="773">
        <f t="shared" ref="AA8:AA19" si="3">D8/F8</f>
        <v>1</v>
      </c>
      <c r="AB8" s="773">
        <f t="shared" ref="AB8:AB19" si="4">D8/H8</f>
        <v>1</v>
      </c>
      <c r="AC8" s="773">
        <f t="shared" ref="AC8:AC19" si="5">D8/J8</f>
        <v>1</v>
      </c>
    </row>
    <row r="9" spans="1:29" s="117" customFormat="1">
      <c r="A9" s="415" t="s">
        <v>2554</v>
      </c>
      <c r="B9" s="71" t="s">
        <v>2555</v>
      </c>
      <c r="C9" s="2979" t="s">
        <v>3249</v>
      </c>
      <c r="D9" s="135">
        <v>100</v>
      </c>
      <c r="E9" s="417" t="s">
        <v>3086</v>
      </c>
      <c r="F9" s="418">
        <f>SUMIF(63:63,E9,64:64)-SUMIF(63:63,C9,64:64)+100</f>
        <v>100</v>
      </c>
      <c r="G9" s="419" t="s">
        <v>3086</v>
      </c>
      <c r="H9" s="135">
        <f>SUMIF(63:63,G9,64:64)-SUMIF(63:63,C9,64:64)+100</f>
        <v>100</v>
      </c>
      <c r="I9" s="419" t="s">
        <v>3086</v>
      </c>
      <c r="J9" s="135">
        <f>SUMIF(63:63,I9,64:64)-SUMIF(63:63,C9,64:64)+100</f>
        <v>100</v>
      </c>
      <c r="K9" s="2600"/>
      <c r="L9" s="1135"/>
      <c r="M9" s="1136"/>
      <c r="N9" s="1136"/>
      <c r="O9" s="1136"/>
      <c r="P9" s="3215"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773">
        <f t="shared" si="5"/>
        <v>1</v>
      </c>
    </row>
    <row r="10" spans="1:29" s="427" customFormat="1" ht="27">
      <c r="A10" s="421"/>
      <c r="B10" s="422" t="s">
        <v>2558</v>
      </c>
      <c r="C10" s="423" t="s">
        <v>3250</v>
      </c>
      <c r="D10" s="136">
        <v>100</v>
      </c>
      <c r="E10" s="424" t="s">
        <v>3250</v>
      </c>
      <c r="F10" s="425">
        <f>SUMIF(65:65,E10,66:66)-SUMIF(65:65,C10,66:66)+100</f>
        <v>100</v>
      </c>
      <c r="G10" s="423" t="s">
        <v>3250</v>
      </c>
      <c r="H10" s="136">
        <f>SUMIF(65:65,G10,66:66)-SUMIF(65:65,C10,66:66)+100</f>
        <v>100</v>
      </c>
      <c r="I10" s="423" t="s">
        <v>3250</v>
      </c>
      <c r="J10" s="136">
        <f>SUMIF(65:65,I10,66:66)-SUMIF(65:65,C10,66:66)+100</f>
        <v>100</v>
      </c>
      <c r="K10" s="426">
        <v>1</v>
      </c>
      <c r="L10" s="1138"/>
      <c r="M10" s="1139"/>
      <c r="N10" s="1139"/>
      <c r="O10" s="1139"/>
      <c r="P10" s="3215"/>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75" thickBot="1">
      <c r="A11" s="428"/>
      <c r="B11" s="422" t="s">
        <v>2559</v>
      </c>
      <c r="C11" s="429">
        <v>1.5</v>
      </c>
      <c r="D11" s="136">
        <v>100</v>
      </c>
      <c r="E11" s="430">
        <v>1.2</v>
      </c>
      <c r="F11" s="425">
        <f>LOOKUP(E11,68:68,69:69)-LOOKUP(C11,68:68,69:69)+100</f>
        <v>100</v>
      </c>
      <c r="G11" s="429">
        <v>1.8</v>
      </c>
      <c r="H11" s="136">
        <f>LOOKUP(G11,68:68,69:69)-LOOKUP(C11,68:68,69:69)+100</f>
        <v>100</v>
      </c>
      <c r="I11" s="429">
        <v>1.91</v>
      </c>
      <c r="J11" s="136">
        <f>LOOKUP(I11,68:68,69:69)-LOOKUP(C11,68:68,69:69)+100</f>
        <v>100</v>
      </c>
      <c r="K11" s="426">
        <v>2</v>
      </c>
      <c r="L11" s="1141"/>
      <c r="M11" s="1134"/>
      <c r="N11" s="1134"/>
      <c r="O11" s="1134"/>
      <c r="P11" s="3215"/>
      <c r="Q11" s="1798" t="str">
        <f t="shared" si="6"/>
        <v>容积率</v>
      </c>
      <c r="R11" s="770" t="s">
        <v>21</v>
      </c>
      <c r="S11" s="771">
        <f t="shared" si="0"/>
        <v>100</v>
      </c>
      <c r="T11" s="770" t="s">
        <v>21</v>
      </c>
      <c r="U11" s="771">
        <f t="shared" si="1"/>
        <v>100</v>
      </c>
      <c r="V11" s="770" t="s">
        <v>21</v>
      </c>
      <c r="W11" s="771">
        <f t="shared" si="2"/>
        <v>100</v>
      </c>
      <c r="X11" s="772"/>
      <c r="Y11" s="3051"/>
      <c r="Z11" s="55" t="str">
        <f t="shared" si="7"/>
        <v>容积率</v>
      </c>
      <c r="AA11" s="773">
        <f t="shared" si="3"/>
        <v>1</v>
      </c>
      <c r="AB11" s="773">
        <f t="shared" si="4"/>
        <v>1</v>
      </c>
      <c r="AC11" s="773">
        <f t="shared" si="5"/>
        <v>1</v>
      </c>
    </row>
    <row r="12" spans="1:29" s="117" customFormat="1" ht="15" hidden="1">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15"/>
      <c r="Q12" s="1798">
        <f t="shared" si="6"/>
        <v>111</v>
      </c>
      <c r="R12" s="770" t="s">
        <v>21</v>
      </c>
      <c r="S12" s="771">
        <f t="shared" si="0"/>
        <v>100</v>
      </c>
      <c r="T12" s="770" t="s">
        <v>21</v>
      </c>
      <c r="U12" s="771">
        <f t="shared" si="1"/>
        <v>100</v>
      </c>
      <c r="V12" s="770" t="s">
        <v>21</v>
      </c>
      <c r="W12" s="771">
        <f t="shared" si="2"/>
        <v>100</v>
      </c>
      <c r="X12" s="772"/>
      <c r="Y12" s="3051"/>
      <c r="Z12" s="55">
        <f t="shared" si="7"/>
        <v>111</v>
      </c>
      <c r="AA12" s="773">
        <f>D12/F12</f>
        <v>1</v>
      </c>
      <c r="AB12" s="773">
        <f>D12/H12</f>
        <v>1</v>
      </c>
      <c r="AC12" s="773">
        <f>D12/J12</f>
        <v>1</v>
      </c>
    </row>
    <row r="13" spans="1:29" ht="15" hidden="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15"/>
      <c r="Q13" s="1798">
        <f t="shared" si="6"/>
        <v>111</v>
      </c>
      <c r="R13" s="770" t="s">
        <v>21</v>
      </c>
      <c r="S13" s="771">
        <f t="shared" si="0"/>
        <v>100</v>
      </c>
      <c r="T13" s="770" t="s">
        <v>21</v>
      </c>
      <c r="U13" s="771">
        <f t="shared" si="1"/>
        <v>100</v>
      </c>
      <c r="V13" s="770" t="s">
        <v>21</v>
      </c>
      <c r="W13" s="771">
        <f t="shared" si="2"/>
        <v>100</v>
      </c>
      <c r="X13" s="772"/>
      <c r="Y13" s="3051"/>
      <c r="Z13" s="55">
        <f t="shared" si="7"/>
        <v>111</v>
      </c>
      <c r="AA13" s="773">
        <f t="shared" si="3"/>
        <v>1</v>
      </c>
      <c r="AB13" s="773">
        <f t="shared" si="4"/>
        <v>1</v>
      </c>
      <c r="AC13" s="773">
        <f t="shared" si="5"/>
        <v>1</v>
      </c>
    </row>
    <row r="14" spans="1:29" ht="15.75" hidden="1"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15"/>
      <c r="Q14" s="1798">
        <f t="shared" si="6"/>
        <v>111</v>
      </c>
      <c r="R14" s="770" t="s">
        <v>21</v>
      </c>
      <c r="S14" s="771">
        <f t="shared" si="0"/>
        <v>100</v>
      </c>
      <c r="T14" s="770" t="s">
        <v>21</v>
      </c>
      <c r="U14" s="771">
        <f t="shared" si="1"/>
        <v>100</v>
      </c>
      <c r="V14" s="770" t="s">
        <v>21</v>
      </c>
      <c r="W14" s="771">
        <f t="shared" si="2"/>
        <v>100</v>
      </c>
      <c r="X14" s="772"/>
      <c r="Y14" s="3051"/>
      <c r="Z14" s="55">
        <f t="shared" si="7"/>
        <v>111</v>
      </c>
      <c r="AA14" s="773">
        <f t="shared" si="3"/>
        <v>1</v>
      </c>
      <c r="AB14" s="773">
        <f t="shared" si="4"/>
        <v>1</v>
      </c>
      <c r="AC14" s="773">
        <f t="shared" si="5"/>
        <v>1</v>
      </c>
    </row>
    <row r="15" spans="1:29" ht="40.5" customHeight="1">
      <c r="A15" s="440" t="s">
        <v>2560</v>
      </c>
      <c r="B15" s="69" t="s">
        <v>2087</v>
      </c>
      <c r="C15" s="2605" t="str">
        <f>估价对象房地状况!C3</f>
        <v>估价对象周边居住用地比例、居住小区规模和社区发展完善程度，综合评价居住社区成熟度一般</v>
      </c>
      <c r="D15" s="441">
        <v>100</v>
      </c>
      <c r="E15" s="444"/>
      <c r="F15" s="441">
        <f>SUMIF(76:76,E16,77:77)-SUMIF(76:76,C16,77:77)+100</f>
        <v>104</v>
      </c>
      <c r="G15" s="442"/>
      <c r="H15" s="441">
        <f>SUMIF(76:76,G16,77:77)-SUMIF(76:76,C16,77:77)+100</f>
        <v>102</v>
      </c>
      <c r="I15" s="442"/>
      <c r="J15" s="441">
        <f>SUMIF(76:76,I16,77:77)-SUMIF(76:76,C16,77:77)+100</f>
        <v>104</v>
      </c>
      <c r="K15" s="445">
        <v>2</v>
      </c>
      <c r="L15" s="1143"/>
      <c r="M15" s="1134"/>
      <c r="N15" s="1134"/>
      <c r="O15" s="1134"/>
      <c r="P15" s="3219" t="s">
        <v>2561</v>
      </c>
      <c r="Q15" s="1813" t="str">
        <f t="shared" si="6"/>
        <v>居住社区成熟度</v>
      </c>
      <c r="R15" s="774" t="s">
        <v>21</v>
      </c>
      <c r="S15" s="775">
        <f t="shared" si="0"/>
        <v>104</v>
      </c>
      <c r="T15" s="774" t="s">
        <v>21</v>
      </c>
      <c r="U15" s="775">
        <f t="shared" si="1"/>
        <v>102</v>
      </c>
      <c r="V15" s="774" t="s">
        <v>21</v>
      </c>
      <c r="W15" s="775">
        <f t="shared" si="2"/>
        <v>104</v>
      </c>
      <c r="X15" s="1816"/>
      <c r="Y15" s="3206" t="s">
        <v>2561</v>
      </c>
      <c r="Z15" s="1817" t="str">
        <f t="shared" si="7"/>
        <v>居住社区成熟度</v>
      </c>
      <c r="AA15" s="1814">
        <f t="shared" si="3"/>
        <v>0.96153846153846156</v>
      </c>
      <c r="AB15" s="1814">
        <f t="shared" si="4"/>
        <v>0.98039215686274506</v>
      </c>
      <c r="AC15" s="1814">
        <f t="shared" si="5"/>
        <v>0.96153846153846156</v>
      </c>
    </row>
    <row r="16" spans="1:29" ht="15">
      <c r="A16" s="428"/>
      <c r="B16" s="446"/>
      <c r="C16" s="447" t="s">
        <v>3100</v>
      </c>
      <c r="D16" s="448"/>
      <c r="E16" s="2606" t="s">
        <v>3065</v>
      </c>
      <c r="F16" s="448"/>
      <c r="G16" s="2607" t="s">
        <v>3064</v>
      </c>
      <c r="H16" s="450"/>
      <c r="I16" s="2607" t="s">
        <v>3065</v>
      </c>
      <c r="J16" s="448"/>
      <c r="K16" s="2608"/>
      <c r="L16" s="1143"/>
      <c r="M16" s="1134"/>
      <c r="N16" s="1134"/>
      <c r="O16" s="1134"/>
      <c r="P16" s="3220"/>
      <c r="Q16" s="1813"/>
      <c r="R16" s="774"/>
      <c r="S16" s="775"/>
      <c r="T16" s="774"/>
      <c r="U16" s="775"/>
      <c r="V16" s="774"/>
      <c r="W16" s="775"/>
      <c r="X16" s="1816"/>
      <c r="Y16" s="3207"/>
      <c r="Z16" s="1817"/>
      <c r="AA16" s="1814">
        <v>1</v>
      </c>
      <c r="AB16" s="1814">
        <v>1</v>
      </c>
      <c r="AC16" s="1814">
        <v>1</v>
      </c>
    </row>
    <row r="17" spans="1:29" ht="37.5" customHeight="1">
      <c r="A17" s="428"/>
      <c r="B17" s="451" t="s">
        <v>2099</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3"/>
      <c r="M17" s="1134"/>
      <c r="N17" s="1134"/>
      <c r="O17" s="1134"/>
      <c r="P17" s="3220"/>
      <c r="Q17" s="1813" t="str">
        <f>B17</f>
        <v>交通便捷度</v>
      </c>
      <c r="R17" s="774" t="s">
        <v>21</v>
      </c>
      <c r="S17" s="775">
        <f>F17</f>
        <v>100</v>
      </c>
      <c r="T17" s="774" t="s">
        <v>21</v>
      </c>
      <c r="U17" s="775">
        <f>H17</f>
        <v>100</v>
      </c>
      <c r="V17" s="774" t="s">
        <v>21</v>
      </c>
      <c r="W17" s="775">
        <f>J17</f>
        <v>100</v>
      </c>
      <c r="X17" s="1816"/>
      <c r="Y17" s="3207"/>
      <c r="Z17" s="1817" t="str">
        <f>Q17</f>
        <v>交通便捷度</v>
      </c>
      <c r="AA17" s="1814">
        <f t="shared" si="3"/>
        <v>1</v>
      </c>
      <c r="AB17" s="1814">
        <f t="shared" si="4"/>
        <v>1</v>
      </c>
      <c r="AC17" s="1814">
        <f t="shared" si="5"/>
        <v>1</v>
      </c>
    </row>
    <row r="18" spans="1:29" ht="15">
      <c r="A18" s="428"/>
      <c r="B18" s="456"/>
      <c r="C18" s="2610" t="s">
        <v>3064</v>
      </c>
      <c r="D18" s="450"/>
      <c r="E18" s="2611" t="s">
        <v>3064</v>
      </c>
      <c r="F18" s="450"/>
      <c r="G18" s="2612" t="s">
        <v>3064</v>
      </c>
      <c r="H18" s="448"/>
      <c r="I18" s="2612" t="s">
        <v>3064</v>
      </c>
      <c r="J18" s="448"/>
      <c r="K18" s="2608"/>
      <c r="L18" s="1143"/>
      <c r="M18" s="1134"/>
      <c r="N18" s="1134"/>
      <c r="O18" s="1134"/>
      <c r="P18" s="3220"/>
      <c r="Q18" s="1813"/>
      <c r="R18" s="774"/>
      <c r="S18" s="775"/>
      <c r="T18" s="774"/>
      <c r="U18" s="775"/>
      <c r="V18" s="774"/>
      <c r="W18" s="775"/>
      <c r="X18" s="1816"/>
      <c r="Y18" s="3207"/>
      <c r="Z18" s="1817"/>
      <c r="AA18" s="1814">
        <v>1</v>
      </c>
      <c r="AB18" s="1814">
        <v>1</v>
      </c>
      <c r="AC18" s="1814">
        <v>1</v>
      </c>
    </row>
    <row r="19" spans="1:29" ht="27.75" customHeight="1">
      <c r="A19" s="428"/>
      <c r="B19" s="451" t="s">
        <v>2097</v>
      </c>
      <c r="C19" s="2609" t="str">
        <f>估价对象房地状况!C7</f>
        <v>估价对象所在区域公共配套设施齐备情况</v>
      </c>
      <c r="D19" s="455">
        <v>100</v>
      </c>
      <c r="E19" s="459"/>
      <c r="F19" s="455">
        <f>SUMIF(80:80,E20,81:81)-SUMIF(80:80,C20,81:81)+100</f>
        <v>100</v>
      </c>
      <c r="G19" s="457"/>
      <c r="H19" s="450">
        <f>SUMIF(80:80,G20,81:81)-SUMIF(80:80,C20,81:81)+100</f>
        <v>98</v>
      </c>
      <c r="I19" s="457"/>
      <c r="J19" s="450">
        <f>SUMIF(80:80,I20,81:81)-SUMIF(80:80,C20,81:81)+100</f>
        <v>102</v>
      </c>
      <c r="K19" s="445">
        <v>2</v>
      </c>
      <c r="L19" s="1143"/>
      <c r="M19" s="1134"/>
      <c r="N19" s="1134"/>
      <c r="O19" s="1134"/>
      <c r="P19" s="3220"/>
      <c r="Q19" s="1813" t="str">
        <f>B19</f>
        <v>公共配套设施</v>
      </c>
      <c r="R19" s="774" t="s">
        <v>21</v>
      </c>
      <c r="S19" s="775">
        <f>F19</f>
        <v>100</v>
      </c>
      <c r="T19" s="774" t="s">
        <v>21</v>
      </c>
      <c r="U19" s="775">
        <f>H19</f>
        <v>98</v>
      </c>
      <c r="V19" s="774" t="s">
        <v>21</v>
      </c>
      <c r="W19" s="775">
        <f>J19</f>
        <v>102</v>
      </c>
      <c r="X19" s="1816"/>
      <c r="Y19" s="3207"/>
      <c r="Z19" s="1817" t="str">
        <f>Q19</f>
        <v>公共配套设施</v>
      </c>
      <c r="AA19" s="1814">
        <f t="shared" si="3"/>
        <v>1</v>
      </c>
      <c r="AB19" s="1814">
        <f t="shared" si="4"/>
        <v>1.0204081632653061</v>
      </c>
      <c r="AC19" s="1814">
        <f t="shared" si="5"/>
        <v>0.98039215686274506</v>
      </c>
    </row>
    <row r="20" spans="1:29" ht="15">
      <c r="A20" s="428"/>
      <c r="B20" s="456"/>
      <c r="C20" s="447" t="s">
        <v>3064</v>
      </c>
      <c r="D20" s="448"/>
      <c r="E20" s="2606" t="s">
        <v>3064</v>
      </c>
      <c r="F20" s="448"/>
      <c r="G20" s="2607" t="s">
        <v>3100</v>
      </c>
      <c r="H20" s="448"/>
      <c r="I20" s="2607" t="s">
        <v>3065</v>
      </c>
      <c r="J20" s="448"/>
      <c r="K20" s="2608"/>
      <c r="L20" s="1143"/>
      <c r="M20" s="1134"/>
      <c r="N20" s="1134"/>
      <c r="O20" s="1134"/>
      <c r="P20" s="3220"/>
      <c r="Q20" s="1813"/>
      <c r="R20" s="774"/>
      <c r="S20" s="775"/>
      <c r="T20" s="774"/>
      <c r="U20" s="775"/>
      <c r="V20" s="774"/>
      <c r="W20" s="775"/>
      <c r="X20" s="1816"/>
      <c r="Y20" s="3207"/>
      <c r="Z20" s="1817"/>
      <c r="AA20" s="1814">
        <v>1</v>
      </c>
      <c r="AB20" s="1814">
        <v>1</v>
      </c>
      <c r="AC20" s="1814">
        <v>1</v>
      </c>
    </row>
    <row r="21" spans="1:29" ht="28.5">
      <c r="A21" s="428"/>
      <c r="B21" s="1387" t="s">
        <v>2100</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20"/>
      <c r="Q21" s="1813" t="str">
        <f>B21</f>
        <v>基础设施水平</v>
      </c>
      <c r="R21" s="774" t="s">
        <v>17</v>
      </c>
      <c r="S21" s="775">
        <f>F21</f>
        <v>100</v>
      </c>
      <c r="T21" s="774" t="s">
        <v>17</v>
      </c>
      <c r="U21" s="775">
        <f>H21</f>
        <v>100</v>
      </c>
      <c r="V21" s="774" t="s">
        <v>17</v>
      </c>
      <c r="W21" s="775">
        <f>J21</f>
        <v>100</v>
      </c>
      <c r="X21" s="1816"/>
      <c r="Y21" s="3207"/>
      <c r="Z21" s="1817" t="str">
        <f>Q21</f>
        <v>基础设施水平</v>
      </c>
      <c r="AA21" s="1814">
        <f t="shared" ref="AA21" si="8">D21/F21</f>
        <v>1</v>
      </c>
      <c r="AB21" s="1814">
        <f t="shared" ref="AB21" si="9">D21/H21</f>
        <v>1</v>
      </c>
      <c r="AC21" s="1814">
        <f t="shared" ref="AC21" si="10">D21/J21</f>
        <v>1</v>
      </c>
    </row>
    <row r="22" spans="1:29" ht="15">
      <c r="A22" s="428"/>
      <c r="B22" s="1387"/>
      <c r="C22" s="2610" t="s">
        <v>3244</v>
      </c>
      <c r="D22" s="448"/>
      <c r="E22" s="447" t="s">
        <v>3244</v>
      </c>
      <c r="F22" s="448"/>
      <c r="G22" s="2613" t="s">
        <v>3244</v>
      </c>
      <c r="H22" s="448"/>
      <c r="I22" s="447" t="s">
        <v>3244</v>
      </c>
      <c r="J22" s="448"/>
      <c r="K22" s="2614"/>
      <c r="L22" s="1143"/>
      <c r="M22" s="1134"/>
      <c r="N22" s="1134"/>
      <c r="O22" s="1134"/>
      <c r="P22" s="3220"/>
      <c r="Q22" s="1813"/>
      <c r="R22" s="774"/>
      <c r="S22" s="775"/>
      <c r="T22" s="774"/>
      <c r="U22" s="775"/>
      <c r="V22" s="774"/>
      <c r="W22" s="775"/>
      <c r="X22" s="1816"/>
      <c r="Y22" s="3207"/>
      <c r="Z22" s="1817"/>
      <c r="AA22" s="1814">
        <v>1</v>
      </c>
      <c r="AB22" s="1814">
        <v>1</v>
      </c>
      <c r="AC22" s="1814">
        <v>1</v>
      </c>
    </row>
    <row r="23" spans="1:29" ht="27.75" customHeight="1">
      <c r="A23" s="428"/>
      <c r="B23" s="451" t="s">
        <v>2104</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20"/>
      <c r="Q23" s="1813" t="str">
        <f>B23</f>
        <v>自然及人文环境</v>
      </c>
      <c r="R23" s="774" t="s">
        <v>21</v>
      </c>
      <c r="S23" s="775">
        <f>F23</f>
        <v>100</v>
      </c>
      <c r="T23" s="774" t="s">
        <v>21</v>
      </c>
      <c r="U23" s="775">
        <f>H23</f>
        <v>100</v>
      </c>
      <c r="V23" s="774" t="s">
        <v>21</v>
      </c>
      <c r="W23" s="775">
        <f>J23</f>
        <v>100</v>
      </c>
      <c r="X23" s="1816"/>
      <c r="Y23" s="3207"/>
      <c r="Z23" s="1817" t="str">
        <f>Q23</f>
        <v>自然及人文环境</v>
      </c>
      <c r="AA23" s="1814">
        <f>D23/F23</f>
        <v>1</v>
      </c>
      <c r="AB23" s="1814">
        <f>D23/H23</f>
        <v>1</v>
      </c>
      <c r="AC23" s="1814">
        <f>D23/J23</f>
        <v>1</v>
      </c>
    </row>
    <row r="24" spans="1:29" ht="15.75" thickBot="1">
      <c r="A24" s="428"/>
      <c r="B24" s="456"/>
      <c r="C24" s="447" t="s">
        <v>3065</v>
      </c>
      <c r="D24" s="448"/>
      <c r="E24" s="2606" t="s">
        <v>3065</v>
      </c>
      <c r="F24" s="448"/>
      <c r="G24" s="2607" t="s">
        <v>3064</v>
      </c>
      <c r="H24" s="448"/>
      <c r="I24" s="2607" t="s">
        <v>3064</v>
      </c>
      <c r="J24" s="448"/>
      <c r="K24" s="2608"/>
      <c r="L24" s="1143"/>
      <c r="M24" s="1134"/>
      <c r="N24" s="1134"/>
      <c r="O24" s="1134"/>
      <c r="P24" s="3220"/>
      <c r="Q24" s="1813"/>
      <c r="R24" s="774"/>
      <c r="S24" s="775"/>
      <c r="T24" s="774"/>
      <c r="U24" s="775"/>
      <c r="V24" s="774"/>
      <c r="W24" s="775"/>
      <c r="X24" s="1816"/>
      <c r="Y24" s="3207"/>
      <c r="Z24" s="1817"/>
      <c r="AA24" s="1814">
        <v>1</v>
      </c>
      <c r="AB24" s="1814">
        <v>1</v>
      </c>
      <c r="AC24" s="1814">
        <v>1</v>
      </c>
    </row>
    <row r="25" spans="1:29" ht="15" hidden="1">
      <c r="A25" s="428"/>
      <c r="B25" s="422"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2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07"/>
      <c r="Z25" s="1817" t="str">
        <f>Q25</f>
        <v>楼层-1</v>
      </c>
      <c r="AA25" s="1814">
        <f t="shared" ref="AA25:AA46" si="15">D25/F25</f>
        <v>1</v>
      </c>
      <c r="AB25" s="1814">
        <f t="shared" ref="AB25:AB46" si="16">D25/H25</f>
        <v>1</v>
      </c>
      <c r="AC25" s="1814">
        <f t="shared" ref="AC25:AC46" si="17">D25/J25</f>
        <v>1</v>
      </c>
    </row>
    <row r="26" spans="1:29" ht="15" hidden="1">
      <c r="A26" s="428"/>
      <c r="B26" s="422"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20"/>
      <c r="Q26" s="1813" t="str">
        <f t="shared" si="11"/>
        <v>朝向</v>
      </c>
      <c r="R26" s="774" t="s">
        <v>21</v>
      </c>
      <c r="S26" s="775">
        <f t="shared" si="12"/>
        <v>100</v>
      </c>
      <c r="T26" s="774" t="s">
        <v>21</v>
      </c>
      <c r="U26" s="775">
        <f t="shared" si="13"/>
        <v>100</v>
      </c>
      <c r="V26" s="774" t="s">
        <v>21</v>
      </c>
      <c r="W26" s="775">
        <f t="shared" si="14"/>
        <v>100</v>
      </c>
      <c r="X26" s="1816"/>
      <c r="Y26" s="3207"/>
      <c r="Z26" s="1817" t="str">
        <f>Q26</f>
        <v>朝向</v>
      </c>
      <c r="AA26" s="1814">
        <f t="shared" si="15"/>
        <v>1</v>
      </c>
      <c r="AB26" s="1814">
        <f t="shared" si="16"/>
        <v>1</v>
      </c>
      <c r="AC26" s="1814">
        <f t="shared" si="17"/>
        <v>1</v>
      </c>
    </row>
    <row r="27" spans="1:29" s="117" customFormat="1" ht="15" hidden="1">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20"/>
      <c r="Q27" s="1798">
        <f t="shared" si="11"/>
        <v>111</v>
      </c>
      <c r="R27" s="770" t="s">
        <v>21</v>
      </c>
      <c r="S27" s="771">
        <f t="shared" si="12"/>
        <v>100</v>
      </c>
      <c r="T27" s="770" t="s">
        <v>21</v>
      </c>
      <c r="U27" s="771">
        <f t="shared" si="13"/>
        <v>100</v>
      </c>
      <c r="V27" s="770" t="s">
        <v>21</v>
      </c>
      <c r="W27" s="771">
        <f t="shared" si="14"/>
        <v>100</v>
      </c>
      <c r="X27" s="772"/>
      <c r="Y27" s="3207"/>
      <c r="Z27" s="55">
        <f>Q27</f>
        <v>111</v>
      </c>
      <c r="AA27" s="1814">
        <f t="shared" si="15"/>
        <v>1</v>
      </c>
      <c r="AB27" s="1814">
        <f t="shared" si="16"/>
        <v>1</v>
      </c>
      <c r="AC27" s="1814">
        <f t="shared" si="17"/>
        <v>1</v>
      </c>
    </row>
    <row r="28" spans="1:29" ht="15" hidden="1">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20"/>
      <c r="Q28" s="1813">
        <f t="shared" si="11"/>
        <v>111</v>
      </c>
      <c r="R28" s="774" t="s">
        <v>21</v>
      </c>
      <c r="S28" s="775">
        <f t="shared" si="12"/>
        <v>100</v>
      </c>
      <c r="T28" s="774" t="s">
        <v>21</v>
      </c>
      <c r="U28" s="775">
        <f t="shared" si="13"/>
        <v>100</v>
      </c>
      <c r="V28" s="774" t="s">
        <v>21</v>
      </c>
      <c r="W28" s="775">
        <f t="shared" si="14"/>
        <v>100</v>
      </c>
      <c r="X28" s="1816"/>
      <c r="Y28" s="3207"/>
      <c r="Z28" s="1817">
        <f t="shared" ref="Z28:Z46" si="18">Q28</f>
        <v>111</v>
      </c>
      <c r="AA28" s="1814">
        <f t="shared" si="15"/>
        <v>1</v>
      </c>
      <c r="AB28" s="1814">
        <f t="shared" si="16"/>
        <v>1</v>
      </c>
      <c r="AC28" s="1814">
        <f t="shared" si="17"/>
        <v>1</v>
      </c>
    </row>
    <row r="29" spans="1:29" ht="15" hidden="1">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20"/>
      <c r="Q29" s="1813">
        <f t="shared" si="11"/>
        <v>111</v>
      </c>
      <c r="R29" s="774" t="s">
        <v>21</v>
      </c>
      <c r="S29" s="775">
        <f t="shared" si="12"/>
        <v>100</v>
      </c>
      <c r="T29" s="774" t="s">
        <v>21</v>
      </c>
      <c r="U29" s="775">
        <f t="shared" si="13"/>
        <v>100</v>
      </c>
      <c r="V29" s="774" t="s">
        <v>21</v>
      </c>
      <c r="W29" s="775">
        <f t="shared" si="14"/>
        <v>100</v>
      </c>
      <c r="X29" s="1816"/>
      <c r="Y29" s="3207"/>
      <c r="Z29" s="1817">
        <f t="shared" si="18"/>
        <v>111</v>
      </c>
      <c r="AA29" s="1814">
        <f t="shared" si="15"/>
        <v>1</v>
      </c>
      <c r="AB29" s="1814">
        <f t="shared" si="16"/>
        <v>1</v>
      </c>
      <c r="AC29" s="1814">
        <f t="shared" si="17"/>
        <v>1</v>
      </c>
    </row>
    <row r="30" spans="1:29" ht="15" hidden="1">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20"/>
      <c r="Q30" s="1813">
        <f t="shared" si="11"/>
        <v>111</v>
      </c>
      <c r="R30" s="774" t="s">
        <v>21</v>
      </c>
      <c r="S30" s="775">
        <f t="shared" si="12"/>
        <v>100</v>
      </c>
      <c r="T30" s="774" t="s">
        <v>21</v>
      </c>
      <c r="U30" s="775">
        <f t="shared" si="13"/>
        <v>100</v>
      </c>
      <c r="V30" s="774" t="s">
        <v>21</v>
      </c>
      <c r="W30" s="775">
        <f t="shared" si="14"/>
        <v>100</v>
      </c>
      <c r="X30" s="1816"/>
      <c r="Y30" s="3207"/>
      <c r="Z30" s="1817">
        <f t="shared" si="18"/>
        <v>111</v>
      </c>
      <c r="AA30" s="1814">
        <f t="shared" si="15"/>
        <v>1</v>
      </c>
      <c r="AB30" s="1814">
        <f t="shared" si="16"/>
        <v>1</v>
      </c>
      <c r="AC30" s="1814">
        <f t="shared" si="17"/>
        <v>1</v>
      </c>
    </row>
    <row r="31" spans="1:29" ht="15.75" hidden="1"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20"/>
      <c r="Q31" s="1813">
        <f t="shared" si="11"/>
        <v>111</v>
      </c>
      <c r="R31" s="774" t="s">
        <v>21</v>
      </c>
      <c r="S31" s="775">
        <f t="shared" si="12"/>
        <v>100</v>
      </c>
      <c r="T31" s="774" t="s">
        <v>21</v>
      </c>
      <c r="U31" s="775">
        <f t="shared" si="13"/>
        <v>100</v>
      </c>
      <c r="V31" s="774" t="s">
        <v>21</v>
      </c>
      <c r="W31" s="775">
        <f t="shared" si="14"/>
        <v>100</v>
      </c>
      <c r="X31" s="1816"/>
      <c r="Y31" s="3207"/>
      <c r="Z31" s="1817">
        <f t="shared" si="18"/>
        <v>111</v>
      </c>
      <c r="AA31" s="1814">
        <f t="shared" si="15"/>
        <v>1</v>
      </c>
      <c r="AB31" s="1814">
        <f t="shared" si="16"/>
        <v>1</v>
      </c>
      <c r="AC31" s="1814">
        <f t="shared" si="17"/>
        <v>1</v>
      </c>
    </row>
    <row r="32" spans="1:29" ht="15">
      <c r="A32" s="440" t="s">
        <v>2564</v>
      </c>
      <c r="B32" s="71" t="s">
        <v>2565</v>
      </c>
      <c r="C32" s="2619" t="s">
        <v>3270</v>
      </c>
      <c r="D32" s="467">
        <v>100</v>
      </c>
      <c r="E32" s="2620" t="s">
        <v>3270</v>
      </c>
      <c r="F32" s="461">
        <f>SUMIF(100:100,E32,101:101)-SUMIF(100:100,C32,101:101)+100</f>
        <v>100</v>
      </c>
      <c r="G32" s="2619" t="s">
        <v>3270</v>
      </c>
      <c r="H32" s="467">
        <f>SUMIF(100:100,G32,101:101)-SUMIF(100:100,C32,101:101)+100</f>
        <v>100</v>
      </c>
      <c r="I32" s="2620" t="s">
        <v>3270</v>
      </c>
      <c r="J32" s="435">
        <f>SUMIF(100:100,I32,101:101)-SUMIF(100:100,C32,101:101)+100</f>
        <v>100</v>
      </c>
      <c r="K32" s="426">
        <v>0</v>
      </c>
      <c r="L32" s="1143"/>
      <c r="M32" s="1134"/>
      <c r="N32" s="1134"/>
      <c r="O32" s="1134"/>
      <c r="P32" s="3221" t="s">
        <v>2566</v>
      </c>
      <c r="Q32" s="1813" t="str">
        <f t="shared" si="11"/>
        <v>建筑类型</v>
      </c>
      <c r="R32" s="774" t="s">
        <v>21</v>
      </c>
      <c r="S32" s="775">
        <f t="shared" si="12"/>
        <v>100</v>
      </c>
      <c r="T32" s="774" t="s">
        <v>21</v>
      </c>
      <c r="U32" s="775">
        <f t="shared" si="13"/>
        <v>100</v>
      </c>
      <c r="V32" s="774" t="s">
        <v>21</v>
      </c>
      <c r="W32" s="775">
        <f t="shared" si="14"/>
        <v>100</v>
      </c>
      <c r="X32" s="1816"/>
      <c r="Y32" s="3209" t="s">
        <v>2566</v>
      </c>
      <c r="Z32" s="1817" t="str">
        <f t="shared" si="18"/>
        <v>建筑类型</v>
      </c>
      <c r="AA32" s="1814">
        <f t="shared" si="15"/>
        <v>1</v>
      </c>
      <c r="AB32" s="1814">
        <f t="shared" si="16"/>
        <v>1</v>
      </c>
      <c r="AC32" s="1814">
        <f t="shared" si="17"/>
        <v>1</v>
      </c>
    </row>
    <row r="33" spans="1:29" s="471" customFormat="1" ht="15">
      <c r="A33" s="468"/>
      <c r="B33" s="422" t="s">
        <v>2567</v>
      </c>
      <c r="C33" s="469">
        <v>170000</v>
      </c>
      <c r="D33" s="136">
        <v>100</v>
      </c>
      <c r="E33" s="430">
        <v>70000</v>
      </c>
      <c r="F33" s="425">
        <f>LOOKUP(E33,103:103,104:104)-LOOKUP(C33,103:103,104:104)+100</f>
        <v>96</v>
      </c>
      <c r="G33" s="429">
        <v>165000</v>
      </c>
      <c r="H33" s="136">
        <f>LOOKUP(G33,103:103,104:104)-LOOKUP(C33,103:103,104:104)+100</f>
        <v>100</v>
      </c>
      <c r="I33" s="430">
        <v>30000</v>
      </c>
      <c r="J33" s="136">
        <f>LOOKUP(I33,103:103,104:104)-LOOKUP(C33,103:103,104:104)+100</f>
        <v>94</v>
      </c>
      <c r="K33" s="2603"/>
      <c r="L33" s="1141"/>
      <c r="M33" s="1144"/>
      <c r="N33" s="1144"/>
      <c r="O33" s="1144"/>
      <c r="P33" s="3222"/>
      <c r="Q33" s="776" t="str">
        <f t="shared" si="11"/>
        <v>项目建筑规模</v>
      </c>
      <c r="R33" s="777" t="s">
        <v>21</v>
      </c>
      <c r="S33" s="778">
        <f t="shared" si="12"/>
        <v>96</v>
      </c>
      <c r="T33" s="777" t="s">
        <v>21</v>
      </c>
      <c r="U33" s="778">
        <f t="shared" si="13"/>
        <v>100</v>
      </c>
      <c r="V33" s="777" t="s">
        <v>21</v>
      </c>
      <c r="W33" s="778">
        <f t="shared" si="14"/>
        <v>94</v>
      </c>
      <c r="X33" s="779"/>
      <c r="Y33" s="3209"/>
      <c r="Z33" s="780" t="str">
        <f t="shared" si="18"/>
        <v>项目建筑规模</v>
      </c>
      <c r="AA33" s="1814">
        <f t="shared" si="15"/>
        <v>1.0416666666666667</v>
      </c>
      <c r="AB33" s="1814">
        <f t="shared" si="16"/>
        <v>1</v>
      </c>
      <c r="AC33" s="1814">
        <f t="shared" si="17"/>
        <v>1.0638297872340425</v>
      </c>
    </row>
    <row r="34" spans="1:29" ht="15">
      <c r="A34" s="472"/>
      <c r="B34" s="422" t="s">
        <v>2568</v>
      </c>
      <c r="C34" s="2621" t="s">
        <v>3240</v>
      </c>
      <c r="D34" s="435">
        <v>100</v>
      </c>
      <c r="E34" s="2622" t="s">
        <v>3240</v>
      </c>
      <c r="F34" s="461">
        <f>SUMIF(105:105,E34,106:106)-SUMIF(105:105,C34,106:106)+100</f>
        <v>100</v>
      </c>
      <c r="G34" s="2621" t="s">
        <v>3240</v>
      </c>
      <c r="H34" s="435">
        <f>SUMIF(105:105,G34,106:106)-SUMIF(105:105,C34,106:106)+100</f>
        <v>100</v>
      </c>
      <c r="I34" s="2622" t="s">
        <v>3240</v>
      </c>
      <c r="J34" s="435">
        <f>SUMIF(105:105,I34,106:106)-SUMIF(105:105,C34,106:106)+100</f>
        <v>100</v>
      </c>
      <c r="K34" s="426">
        <v>2</v>
      </c>
      <c r="L34" s="1143"/>
      <c r="M34" s="1134"/>
      <c r="N34" s="1134"/>
      <c r="O34" s="1134"/>
      <c r="P34" s="3222"/>
      <c r="Q34" s="1813" t="str">
        <f t="shared" si="11"/>
        <v>建筑结构</v>
      </c>
      <c r="R34" s="774" t="s">
        <v>21</v>
      </c>
      <c r="S34" s="775">
        <f t="shared" si="12"/>
        <v>100</v>
      </c>
      <c r="T34" s="774" t="s">
        <v>21</v>
      </c>
      <c r="U34" s="775">
        <f t="shared" si="13"/>
        <v>100</v>
      </c>
      <c r="V34" s="774" t="s">
        <v>21</v>
      </c>
      <c r="W34" s="775">
        <f t="shared" si="14"/>
        <v>100</v>
      </c>
      <c r="X34" s="1816"/>
      <c r="Y34" s="3209"/>
      <c r="Z34" s="1817" t="str">
        <f t="shared" si="18"/>
        <v>建筑结构</v>
      </c>
      <c r="AA34" s="1814">
        <f t="shared" si="15"/>
        <v>1</v>
      </c>
      <c r="AB34" s="1814">
        <f t="shared" si="16"/>
        <v>1</v>
      </c>
      <c r="AC34" s="1814">
        <f t="shared" si="17"/>
        <v>1</v>
      </c>
    </row>
    <row r="35" spans="1:29" ht="15">
      <c r="A35" s="472"/>
      <c r="B35" s="422" t="s">
        <v>2569</v>
      </c>
      <c r="C35" s="2615" t="s">
        <v>3241</v>
      </c>
      <c r="D35" s="435">
        <v>100</v>
      </c>
      <c r="E35" s="2616" t="s">
        <v>3241</v>
      </c>
      <c r="F35" s="461">
        <f>SUMIF(107:107,E35,108:108)-SUMIF(107:107,C35,108:108)+100</f>
        <v>100</v>
      </c>
      <c r="G35" s="2615" t="s">
        <v>3241</v>
      </c>
      <c r="H35" s="435">
        <f>SUMIF(107:107,G35,108:108)-SUMIF(107:107,C35,108:108)+100</f>
        <v>100</v>
      </c>
      <c r="I35" s="2616" t="s">
        <v>3241</v>
      </c>
      <c r="J35" s="435">
        <f>SUMIF(107:107,I35,108:108)-SUMIF(107:107,C35,108:108)+100</f>
        <v>100</v>
      </c>
      <c r="K35" s="426">
        <v>5</v>
      </c>
      <c r="L35" s="1143"/>
      <c r="M35" s="1134"/>
      <c r="N35" s="1134"/>
      <c r="O35" s="1134"/>
      <c r="P35" s="3222"/>
      <c r="Q35" s="1813" t="str">
        <f t="shared" si="11"/>
        <v>建筑品质</v>
      </c>
      <c r="R35" s="774" t="s">
        <v>21</v>
      </c>
      <c r="S35" s="775">
        <f t="shared" si="12"/>
        <v>100</v>
      </c>
      <c r="T35" s="774" t="s">
        <v>21</v>
      </c>
      <c r="U35" s="775">
        <f t="shared" si="13"/>
        <v>100</v>
      </c>
      <c r="V35" s="774" t="s">
        <v>21</v>
      </c>
      <c r="W35" s="775">
        <f t="shared" si="14"/>
        <v>100</v>
      </c>
      <c r="X35" s="1816"/>
      <c r="Y35" s="3209"/>
      <c r="Z35" s="1817" t="str">
        <f t="shared" si="18"/>
        <v>建筑品质</v>
      </c>
      <c r="AA35" s="1814">
        <f t="shared" si="15"/>
        <v>1</v>
      </c>
      <c r="AB35" s="1814">
        <f t="shared" si="16"/>
        <v>1</v>
      </c>
      <c r="AC35" s="1814">
        <f t="shared" si="17"/>
        <v>1</v>
      </c>
    </row>
    <row r="36" spans="1:29" ht="15">
      <c r="A36" s="472"/>
      <c r="B36" s="422" t="s">
        <v>2570</v>
      </c>
      <c r="C36" s="2615" t="s">
        <v>3242</v>
      </c>
      <c r="D36" s="435">
        <v>100</v>
      </c>
      <c r="E36" s="2616" t="s">
        <v>3242</v>
      </c>
      <c r="F36" s="461">
        <f>SUMIF(109:109,E36,110:110)-SUMIF(109:109,C36,110:110)+100</f>
        <v>100</v>
      </c>
      <c r="G36" s="2615" t="s">
        <v>3242</v>
      </c>
      <c r="H36" s="435">
        <f>SUMIF(109:109,G36,110:110)-SUMIF(109:109,C36,110:110)+100</f>
        <v>100</v>
      </c>
      <c r="I36" s="2616" t="s">
        <v>3242</v>
      </c>
      <c r="J36" s="435">
        <f>SUMIF(109:109,I36,110:110)-SUMIF(109:109,C36,110:110)+100</f>
        <v>100</v>
      </c>
      <c r="K36" s="426">
        <v>2</v>
      </c>
      <c r="L36" s="1143"/>
      <c r="M36" s="1134"/>
      <c r="N36" s="1134"/>
      <c r="O36" s="1134"/>
      <c r="P36" s="3222"/>
      <c r="Q36" s="1813" t="str">
        <f t="shared" si="11"/>
        <v>公共部分装修</v>
      </c>
      <c r="R36" s="774" t="s">
        <v>21</v>
      </c>
      <c r="S36" s="775">
        <f t="shared" si="12"/>
        <v>100</v>
      </c>
      <c r="T36" s="774" t="s">
        <v>21</v>
      </c>
      <c r="U36" s="775">
        <f t="shared" si="13"/>
        <v>100</v>
      </c>
      <c r="V36" s="774" t="s">
        <v>21</v>
      </c>
      <c r="W36" s="775">
        <f t="shared" si="14"/>
        <v>100</v>
      </c>
      <c r="X36" s="1816"/>
      <c r="Y36" s="3209"/>
      <c r="Z36" s="1817" t="str">
        <f t="shared" si="18"/>
        <v>公共部分装修</v>
      </c>
      <c r="AA36" s="1814">
        <f t="shared" si="15"/>
        <v>1</v>
      </c>
      <c r="AB36" s="1814">
        <f t="shared" si="16"/>
        <v>1</v>
      </c>
      <c r="AC36" s="1814">
        <f t="shared" si="17"/>
        <v>1</v>
      </c>
    </row>
    <row r="37" spans="1:29" s="117" customFormat="1" ht="15">
      <c r="A37" s="473"/>
      <c r="B37" s="422" t="s">
        <v>2571</v>
      </c>
      <c r="C37" s="474">
        <v>1</v>
      </c>
      <c r="D37" s="136">
        <v>100</v>
      </c>
      <c r="E37" s="474">
        <v>1</v>
      </c>
      <c r="F37" s="425">
        <f>LOOKUP(E37,112:112,113:113)-LOOKUP(C37,112:112,113:113)+100</f>
        <v>100</v>
      </c>
      <c r="G37" s="476">
        <v>1</v>
      </c>
      <c r="H37" s="136">
        <f>LOOKUP(G37,112:112,113:113)-LOOKUP(C37,112:112,113:113)+100</f>
        <v>100</v>
      </c>
      <c r="I37" s="475">
        <v>1</v>
      </c>
      <c r="J37" s="136">
        <f>LOOKUP(I37,112:112,113:113)-LOOKUP(C37,112:112,113:113)+100</f>
        <v>100</v>
      </c>
      <c r="K37" s="426">
        <v>1</v>
      </c>
      <c r="L37" s="1135"/>
      <c r="M37" s="1136"/>
      <c r="N37" s="1136"/>
      <c r="O37" s="1136"/>
      <c r="P37" s="3222"/>
      <c r="Q37" s="1798" t="str">
        <f t="shared" si="11"/>
        <v>成新度</v>
      </c>
      <c r="R37" s="770" t="s">
        <v>21</v>
      </c>
      <c r="S37" s="771">
        <f t="shared" si="12"/>
        <v>100</v>
      </c>
      <c r="T37" s="770" t="s">
        <v>21</v>
      </c>
      <c r="U37" s="771">
        <f t="shared" si="13"/>
        <v>100</v>
      </c>
      <c r="V37" s="770" t="s">
        <v>21</v>
      </c>
      <c r="W37" s="771">
        <f t="shared" si="14"/>
        <v>100</v>
      </c>
      <c r="X37" s="772"/>
      <c r="Y37" s="3209"/>
      <c r="Z37" s="55" t="str">
        <f t="shared" si="18"/>
        <v>成新度</v>
      </c>
      <c r="AA37" s="773">
        <f t="shared" si="15"/>
        <v>1</v>
      </c>
      <c r="AB37" s="773">
        <f t="shared" si="16"/>
        <v>1</v>
      </c>
      <c r="AC37" s="773">
        <f t="shared" si="17"/>
        <v>1</v>
      </c>
    </row>
    <row r="38" spans="1:29" ht="15">
      <c r="A38" s="472"/>
      <c r="B38" s="422" t="s">
        <v>2572</v>
      </c>
      <c r="C38" s="2615" t="s">
        <v>3243</v>
      </c>
      <c r="D38" s="435">
        <v>100</v>
      </c>
      <c r="E38" s="2616" t="s">
        <v>3243</v>
      </c>
      <c r="F38" s="461">
        <f>SUMIF(114:114,E38,115:115)-SUMIF(114:114,C38,115:115)+100</f>
        <v>100</v>
      </c>
      <c r="G38" s="2615" t="s">
        <v>3243</v>
      </c>
      <c r="H38" s="435">
        <f>SUMIF(114:114,G38,115:115)-SUMIF(114:114,C38,115:115)+100</f>
        <v>100</v>
      </c>
      <c r="I38" s="2616" t="s">
        <v>3243</v>
      </c>
      <c r="J38" s="435">
        <f>SUMIF(114:114,I38,115:115)-SUMIF(114:114,C38,115:115)+100</f>
        <v>100</v>
      </c>
      <c r="K38" s="426">
        <v>3</v>
      </c>
      <c r="L38" s="1143"/>
      <c r="M38" s="1134"/>
      <c r="N38" s="1134"/>
      <c r="O38" s="1134"/>
      <c r="P38" s="3222" t="s">
        <v>2566</v>
      </c>
      <c r="Q38" s="1813" t="str">
        <f t="shared" si="11"/>
        <v>物业管理</v>
      </c>
      <c r="R38" s="774" t="s">
        <v>21</v>
      </c>
      <c r="S38" s="775">
        <f t="shared" si="12"/>
        <v>100</v>
      </c>
      <c r="T38" s="774" t="s">
        <v>21</v>
      </c>
      <c r="U38" s="775">
        <f t="shared" si="13"/>
        <v>100</v>
      </c>
      <c r="V38" s="774" t="s">
        <v>21</v>
      </c>
      <c r="W38" s="775">
        <f t="shared" si="14"/>
        <v>100</v>
      </c>
      <c r="X38" s="1816"/>
      <c r="Y38" s="3209" t="s">
        <v>2566</v>
      </c>
      <c r="Z38" s="1817" t="str">
        <f t="shared" si="18"/>
        <v>物业管理</v>
      </c>
      <c r="AA38" s="1814">
        <f t="shared" si="15"/>
        <v>1</v>
      </c>
      <c r="AB38" s="1814">
        <f t="shared" si="16"/>
        <v>1</v>
      </c>
      <c r="AC38" s="1814">
        <f t="shared" si="17"/>
        <v>1</v>
      </c>
    </row>
    <row r="39" spans="1:29" ht="15">
      <c r="A39" s="472"/>
      <c r="B39" s="422" t="s">
        <v>2573</v>
      </c>
      <c r="C39" s="2615" t="s">
        <v>3244</v>
      </c>
      <c r="D39" s="435">
        <v>100</v>
      </c>
      <c r="E39" s="2616" t="s">
        <v>3244</v>
      </c>
      <c r="F39" s="461">
        <f>SUMIF(116:116,E39,117:117)-SUMIF(116:116,C39,117:117)+100</f>
        <v>100</v>
      </c>
      <c r="G39" s="2615" t="s">
        <v>3244</v>
      </c>
      <c r="H39" s="435">
        <f>SUMIF(116:116,G39,117:117)-SUMIF(116:116,C39,117:117)+100</f>
        <v>100</v>
      </c>
      <c r="I39" s="2616" t="s">
        <v>3244</v>
      </c>
      <c r="J39" s="435">
        <f>SUMIF(116:116,I39,117:117)-SUMIF(116:116,C39,117:117)+100</f>
        <v>100</v>
      </c>
      <c r="K39" s="426">
        <v>2</v>
      </c>
      <c r="L39" s="1143"/>
      <c r="M39" s="1134"/>
      <c r="N39" s="1134"/>
      <c r="O39" s="1134"/>
      <c r="P39" s="3222"/>
      <c r="Q39" s="1813" t="str">
        <f t="shared" si="11"/>
        <v>市政基础设施</v>
      </c>
      <c r="R39" s="774" t="s">
        <v>21</v>
      </c>
      <c r="S39" s="775">
        <f t="shared" si="12"/>
        <v>100</v>
      </c>
      <c r="T39" s="774" t="s">
        <v>21</v>
      </c>
      <c r="U39" s="775">
        <f t="shared" si="13"/>
        <v>100</v>
      </c>
      <c r="V39" s="774" t="s">
        <v>21</v>
      </c>
      <c r="W39" s="775">
        <f t="shared" si="14"/>
        <v>100</v>
      </c>
      <c r="X39" s="1816"/>
      <c r="Y39" s="3209"/>
      <c r="Z39" s="1817" t="str">
        <f t="shared" si="18"/>
        <v>市政基础设施</v>
      </c>
      <c r="AA39" s="1814">
        <f t="shared" si="15"/>
        <v>1</v>
      </c>
      <c r="AB39" s="1814">
        <f t="shared" si="16"/>
        <v>1</v>
      </c>
      <c r="AC39" s="1814">
        <f t="shared" si="17"/>
        <v>1</v>
      </c>
    </row>
    <row r="40" spans="1:29" ht="15.75" thickBot="1">
      <c r="A40" s="472"/>
      <c r="B40" s="422" t="s">
        <v>2574</v>
      </c>
      <c r="C40" s="2615" t="s">
        <v>3239</v>
      </c>
      <c r="D40" s="435">
        <v>100</v>
      </c>
      <c r="E40" s="2616" t="s">
        <v>3239</v>
      </c>
      <c r="F40" s="461">
        <f>SUMIF(118:118,E40,119:119)-SUMIF(118:118,C40,119:119)+100</f>
        <v>100</v>
      </c>
      <c r="G40" s="2615" t="s">
        <v>3239</v>
      </c>
      <c r="H40" s="435">
        <f>SUMIF(118:118,G40,119:119)-SUMIF(118:118,C40,119:119)+100</f>
        <v>100</v>
      </c>
      <c r="I40" s="2616" t="s">
        <v>3239</v>
      </c>
      <c r="J40" s="435">
        <f>SUMIF(118:118,I40,119:119)-SUMIF(118:118,C40,119:119)+100</f>
        <v>100</v>
      </c>
      <c r="K40" s="426"/>
      <c r="L40" s="1143"/>
      <c r="M40" s="1134"/>
      <c r="N40" s="1134"/>
      <c r="O40" s="1134"/>
      <c r="P40" s="3222"/>
      <c r="Q40" s="1813" t="str">
        <f t="shared" si="11"/>
        <v>房型</v>
      </c>
      <c r="R40" s="774" t="s">
        <v>21</v>
      </c>
      <c r="S40" s="775">
        <f t="shared" si="12"/>
        <v>100</v>
      </c>
      <c r="T40" s="774" t="s">
        <v>21</v>
      </c>
      <c r="U40" s="775">
        <f t="shared" si="13"/>
        <v>100</v>
      </c>
      <c r="V40" s="774" t="s">
        <v>21</v>
      </c>
      <c r="W40" s="775">
        <f t="shared" si="14"/>
        <v>100</v>
      </c>
      <c r="X40" s="1816"/>
      <c r="Y40" s="3209"/>
      <c r="Z40" s="1817" t="str">
        <f t="shared" si="18"/>
        <v>房型</v>
      </c>
      <c r="AA40" s="1814">
        <f t="shared" si="15"/>
        <v>1</v>
      </c>
      <c r="AB40" s="1814">
        <f t="shared" si="16"/>
        <v>1</v>
      </c>
      <c r="AC40" s="1814">
        <f t="shared" si="17"/>
        <v>1</v>
      </c>
    </row>
    <row r="41" spans="1:29" s="471" customFormat="1" ht="29.25" hidden="1" thickBot="1">
      <c r="A41" s="468"/>
      <c r="B41" s="422" t="s">
        <v>2575</v>
      </c>
      <c r="C41" s="469" t="s">
        <v>3245</v>
      </c>
      <c r="D41" s="136">
        <v>100</v>
      </c>
      <c r="E41" s="430" t="s">
        <v>3265</v>
      </c>
      <c r="F41" s="425">
        <f>SUMIF(120:120,E41,121:121)-SUMIF(120:120,C41,121:121)+100</f>
        <v>100</v>
      </c>
      <c r="G41" s="429" t="s">
        <v>3248</v>
      </c>
      <c r="H41" s="136">
        <f>SUMIF(120:120,G41,121:121)-SUMIF(120:120,C41,121:121)+100</f>
        <v>100</v>
      </c>
      <c r="I41" s="477" t="s">
        <v>3266</v>
      </c>
      <c r="J41" s="435">
        <f>SUMIF(120:120,I41,121:121)-SUMIF(120:120,C41,121:121)+100</f>
        <v>100</v>
      </c>
      <c r="K41" s="2603"/>
      <c r="L41" s="1141"/>
      <c r="M41" s="1144"/>
      <c r="N41" s="1144"/>
      <c r="O41" s="1144"/>
      <c r="P41" s="3222"/>
      <c r="Q41" s="776" t="str">
        <f t="shared" si="11"/>
        <v>单套/主力户型建筑面积</v>
      </c>
      <c r="R41" s="777" t="s">
        <v>21</v>
      </c>
      <c r="S41" s="778">
        <f t="shared" si="12"/>
        <v>100</v>
      </c>
      <c r="T41" s="777" t="s">
        <v>21</v>
      </c>
      <c r="U41" s="778">
        <f t="shared" si="13"/>
        <v>100</v>
      </c>
      <c r="V41" s="777" t="s">
        <v>21</v>
      </c>
      <c r="W41" s="778">
        <f t="shared" si="14"/>
        <v>100</v>
      </c>
      <c r="X41" s="779"/>
      <c r="Y41" s="3209"/>
      <c r="Z41" s="780" t="str">
        <f t="shared" si="18"/>
        <v>单套/主力户型建筑面积</v>
      </c>
      <c r="AA41" s="1814">
        <f t="shared" si="15"/>
        <v>1</v>
      </c>
      <c r="AB41" s="1814">
        <f t="shared" si="16"/>
        <v>1</v>
      </c>
      <c r="AC41" s="1814">
        <f t="shared" si="17"/>
        <v>1</v>
      </c>
    </row>
    <row r="42" spans="1:29" ht="15" hidden="1">
      <c r="A42" s="472"/>
      <c r="B42" s="422" t="s">
        <v>2576</v>
      </c>
      <c r="C42" s="2615" t="s">
        <v>3246</v>
      </c>
      <c r="D42" s="435">
        <v>100</v>
      </c>
      <c r="E42" s="2616" t="s">
        <v>3246</v>
      </c>
      <c r="F42" s="461">
        <f>SUMIF(122:122,E42,123:123)-SUMIF(122:122,C42,123:123)+100</f>
        <v>100</v>
      </c>
      <c r="G42" s="2615" t="s">
        <v>3246</v>
      </c>
      <c r="H42" s="435">
        <f>SUMIF(122:122,G42,123:123)-SUMIF(122:122,C42,123:123)+100</f>
        <v>100</v>
      </c>
      <c r="I42" s="2616" t="s">
        <v>3246</v>
      </c>
      <c r="J42" s="435">
        <f>SUMIF(122:122,I42,123:123)-SUMIF(122:122,C42,123:123)+100</f>
        <v>100</v>
      </c>
      <c r="K42" s="426">
        <v>2</v>
      </c>
      <c r="L42" s="1143"/>
      <c r="M42" s="1134"/>
      <c r="N42" s="1134"/>
      <c r="O42" s="1134"/>
      <c r="P42" s="3222"/>
      <c r="Q42" s="1813" t="str">
        <f t="shared" si="11"/>
        <v>内部装修</v>
      </c>
      <c r="R42" s="774" t="s">
        <v>21</v>
      </c>
      <c r="S42" s="775">
        <f t="shared" si="12"/>
        <v>100</v>
      </c>
      <c r="T42" s="774" t="s">
        <v>21</v>
      </c>
      <c r="U42" s="775">
        <f t="shared" si="13"/>
        <v>100</v>
      </c>
      <c r="V42" s="774" t="s">
        <v>21</v>
      </c>
      <c r="W42" s="775">
        <f t="shared" si="14"/>
        <v>100</v>
      </c>
      <c r="X42" s="1816"/>
      <c r="Y42" s="3209"/>
      <c r="Z42" s="1817" t="str">
        <f t="shared" si="18"/>
        <v>内部装修</v>
      </c>
      <c r="AA42" s="1814">
        <f t="shared" si="15"/>
        <v>1</v>
      </c>
      <c r="AB42" s="1814">
        <f t="shared" si="16"/>
        <v>1</v>
      </c>
      <c r="AC42" s="1814">
        <f t="shared" si="17"/>
        <v>1</v>
      </c>
    </row>
    <row r="43" spans="1:29" ht="15.75" hidden="1" thickBot="1">
      <c r="A43" s="472"/>
      <c r="B43" s="422" t="s">
        <v>2577</v>
      </c>
      <c r="C43" s="2615" t="s">
        <v>3247</v>
      </c>
      <c r="D43" s="435">
        <v>100</v>
      </c>
      <c r="E43" s="2616" t="s">
        <v>3247</v>
      </c>
      <c r="F43" s="461">
        <f>SUMIF(124:124,E43,125:125)-SUMIF(124:124,C43,125:125)+100</f>
        <v>100</v>
      </c>
      <c r="G43" s="2615" t="s">
        <v>3247</v>
      </c>
      <c r="H43" s="435">
        <f>SUMIF(124:124,G43,125:125)-SUMIF(124:124,C43,125:125)+100</f>
        <v>100</v>
      </c>
      <c r="I43" s="2616" t="s">
        <v>3247</v>
      </c>
      <c r="J43" s="435">
        <f>SUMIF(124:124,I43,125:125)-SUMIF(124:124,C43,125:125)+100</f>
        <v>100</v>
      </c>
      <c r="K43" s="426"/>
      <c r="L43" s="1143"/>
      <c r="M43" s="1134"/>
      <c r="N43" s="1134"/>
      <c r="O43" s="1134"/>
      <c r="P43" s="3222"/>
      <c r="Q43" s="1813" t="str">
        <f t="shared" si="11"/>
        <v>内部装修维护情况</v>
      </c>
      <c r="R43" s="774" t="s">
        <v>21</v>
      </c>
      <c r="S43" s="775">
        <f t="shared" si="12"/>
        <v>100</v>
      </c>
      <c r="T43" s="774" t="s">
        <v>21</v>
      </c>
      <c r="U43" s="775">
        <f t="shared" si="13"/>
        <v>100</v>
      </c>
      <c r="V43" s="774" t="s">
        <v>21</v>
      </c>
      <c r="W43" s="775">
        <f t="shared" si="14"/>
        <v>100</v>
      </c>
      <c r="X43" s="1816"/>
      <c r="Y43" s="3209"/>
      <c r="Z43" s="1817" t="str">
        <f t="shared" si="18"/>
        <v>内部装修维护情况</v>
      </c>
      <c r="AA43" s="1814">
        <f t="shared" si="15"/>
        <v>1</v>
      </c>
      <c r="AB43" s="1814">
        <f t="shared" si="16"/>
        <v>1</v>
      </c>
      <c r="AC43" s="1814">
        <f t="shared" si="17"/>
        <v>1</v>
      </c>
    </row>
    <row r="44" spans="1:29" s="117" customFormat="1" ht="15" hidden="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22"/>
      <c r="Q44" s="1798">
        <f t="shared" si="11"/>
        <v>111</v>
      </c>
      <c r="R44" s="770" t="s">
        <v>21</v>
      </c>
      <c r="S44" s="771">
        <f t="shared" si="12"/>
        <v>100</v>
      </c>
      <c r="T44" s="770" t="s">
        <v>21</v>
      </c>
      <c r="U44" s="771">
        <f t="shared" si="13"/>
        <v>100</v>
      </c>
      <c r="V44" s="770" t="s">
        <v>21</v>
      </c>
      <c r="W44" s="771">
        <f t="shared" si="14"/>
        <v>100</v>
      </c>
      <c r="X44" s="772"/>
      <c r="Y44" s="3209"/>
      <c r="Z44" s="55">
        <f t="shared" si="18"/>
        <v>111</v>
      </c>
      <c r="AA44" s="773">
        <f t="shared" si="15"/>
        <v>1</v>
      </c>
      <c r="AB44" s="773">
        <f t="shared" si="16"/>
        <v>1</v>
      </c>
      <c r="AC44" s="773">
        <f t="shared" si="17"/>
        <v>1</v>
      </c>
    </row>
    <row r="45" spans="1:29" ht="15" hidden="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22"/>
      <c r="Q45" s="1813">
        <f t="shared" si="11"/>
        <v>111</v>
      </c>
      <c r="R45" s="774" t="s">
        <v>21</v>
      </c>
      <c r="S45" s="775">
        <f t="shared" si="12"/>
        <v>100</v>
      </c>
      <c r="T45" s="774" t="s">
        <v>21</v>
      </c>
      <c r="U45" s="775">
        <f t="shared" si="13"/>
        <v>100</v>
      </c>
      <c r="V45" s="774" t="s">
        <v>21</v>
      </c>
      <c r="W45" s="775">
        <f t="shared" si="14"/>
        <v>100</v>
      </c>
      <c r="X45" s="1816"/>
      <c r="Y45" s="3209"/>
      <c r="Z45" s="1817">
        <f t="shared" si="18"/>
        <v>111</v>
      </c>
      <c r="AA45" s="1814">
        <f t="shared" si="15"/>
        <v>1</v>
      </c>
      <c r="AB45" s="1814">
        <f t="shared" si="16"/>
        <v>1</v>
      </c>
      <c r="AC45" s="1814">
        <f t="shared" si="17"/>
        <v>1</v>
      </c>
    </row>
    <row r="46" spans="1:29" ht="15.75" hidden="1"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23"/>
      <c r="Q46" s="1813">
        <f t="shared" si="11"/>
        <v>111</v>
      </c>
      <c r="R46" s="774" t="s">
        <v>20</v>
      </c>
      <c r="S46" s="775">
        <f t="shared" si="12"/>
        <v>100</v>
      </c>
      <c r="T46" s="774" t="s">
        <v>20</v>
      </c>
      <c r="U46" s="775">
        <f t="shared" si="13"/>
        <v>100</v>
      </c>
      <c r="V46" s="774" t="s">
        <v>20</v>
      </c>
      <c r="W46" s="775">
        <f t="shared" si="14"/>
        <v>100</v>
      </c>
      <c r="X46" s="1816"/>
      <c r="Y46" s="3224"/>
      <c r="Z46" s="1817">
        <f t="shared" si="18"/>
        <v>111</v>
      </c>
      <c r="AA46" s="1814">
        <f t="shared" si="15"/>
        <v>1</v>
      </c>
      <c r="AB46" s="1814">
        <f t="shared" si="16"/>
        <v>1</v>
      </c>
      <c r="AC46" s="1814">
        <f t="shared" si="17"/>
        <v>1</v>
      </c>
    </row>
    <row r="47" spans="1:29" ht="15">
      <c r="A47" s="479" t="s">
        <v>2578</v>
      </c>
      <c r="B47" s="480"/>
      <c r="C47" s="1410" t="s">
        <v>19</v>
      </c>
      <c r="D47" s="1411"/>
      <c r="E47" s="1412">
        <v>33000</v>
      </c>
      <c r="F47" s="1413"/>
      <c r="G47" s="1414">
        <v>34000</v>
      </c>
      <c r="H47" s="1415"/>
      <c r="I47" s="1412">
        <v>38000</v>
      </c>
      <c r="J47" s="1415"/>
      <c r="K47" s="2623"/>
      <c r="L47" s="1146"/>
      <c r="M47" s="1147"/>
      <c r="N47" s="1134"/>
      <c r="O47" s="1147"/>
      <c r="P47" s="3191" t="str">
        <f>A47</f>
        <v>成交单价（元/平方米）</v>
      </c>
      <c r="Q47" s="3191"/>
      <c r="R47" s="3217">
        <f>E47</f>
        <v>33000</v>
      </c>
      <c r="S47" s="3217"/>
      <c r="T47" s="3217">
        <f>G47</f>
        <v>34000</v>
      </c>
      <c r="U47" s="3217"/>
      <c r="V47" s="3217">
        <f>I47</f>
        <v>38000</v>
      </c>
      <c r="W47" s="3217"/>
      <c r="X47" s="759"/>
      <c r="Y47" s="781"/>
      <c r="Z47" s="759"/>
      <c r="AA47" s="759"/>
      <c r="AB47" s="759"/>
      <c r="AC47" s="759"/>
    </row>
    <row r="48" spans="1:29" ht="15.75" thickBot="1">
      <c r="A48" s="486" t="s">
        <v>2579</v>
      </c>
      <c r="B48" s="487"/>
      <c r="C48" s="1416">
        <f>R49</f>
        <v>35059</v>
      </c>
      <c r="D48" s="1417"/>
      <c r="E48" s="1418">
        <f>R48</f>
        <v>33053</v>
      </c>
      <c r="F48" s="1418"/>
      <c r="G48" s="1416">
        <f>T48</f>
        <v>34014</v>
      </c>
      <c r="H48" s="1417"/>
      <c r="I48" s="1418">
        <f>V48</f>
        <v>38109</v>
      </c>
      <c r="J48" s="1417"/>
      <c r="K48" s="2624"/>
      <c r="L48" s="1146"/>
      <c r="M48" s="1147"/>
      <c r="N48" s="1147"/>
      <c r="O48" s="1147"/>
      <c r="P48" s="3191" t="str">
        <f>A48</f>
        <v>比较价值（元/平方米）</v>
      </c>
      <c r="Q48" s="3191"/>
      <c r="R48" s="3217">
        <f>IF(F1="售价",ROUND(PRODUCT(R47,AA7:AA46),0),ROUND(PRODUCT(R47,AA7:AA46),1))</f>
        <v>33053</v>
      </c>
      <c r="S48" s="3217"/>
      <c r="T48" s="3217">
        <f>IF(F1="售价",ROUND(PRODUCT(T47,AB7:AB46),0),ROUND(PRODUCT(T47,AB7:AB46),1))</f>
        <v>34014</v>
      </c>
      <c r="U48" s="3217"/>
      <c r="V48" s="3217">
        <f>IF(F1="售价",ROUND(PRODUCT(V47,AC7:AC46),0),ROUND(PRODUCT(V47,AC7:AC46),1))</f>
        <v>38109</v>
      </c>
      <c r="W48" s="3217"/>
      <c r="X48" s="759"/>
      <c r="Y48" s="759"/>
      <c r="Z48" s="759"/>
      <c r="AA48" s="759"/>
      <c r="AB48" s="759"/>
      <c r="AC48" s="759"/>
    </row>
    <row r="49" spans="1:29" ht="15.75" thickBot="1">
      <c r="A49" s="492" t="s">
        <v>2580</v>
      </c>
      <c r="B49" s="493"/>
      <c r="C49" s="1419">
        <f>R49</f>
        <v>35059</v>
      </c>
      <c r="D49" s="1420"/>
      <c r="E49" s="1420"/>
      <c r="F49" s="1420"/>
      <c r="G49" s="1420"/>
      <c r="H49" s="1420"/>
      <c r="I49" s="1420"/>
      <c r="J49" s="1420"/>
      <c r="K49" s="2625"/>
      <c r="L49" s="1146"/>
      <c r="M49" s="1147"/>
      <c r="N49" s="1147"/>
      <c r="O49" s="1147"/>
      <c r="P49" s="3211" t="str">
        <f>A49</f>
        <v>估价对象XX用房的比较价值（楼面单价，元/平方米）</v>
      </c>
      <c r="Q49" s="3212"/>
      <c r="R49" s="3218">
        <f>IF(F1="售价",ROUND(AVERAGE(R48:V48),0),ROUND(AVERAGE(R48:V48),1))</f>
        <v>35059</v>
      </c>
      <c r="S49" s="3218"/>
      <c r="T49" s="3218"/>
      <c r="U49" s="3218"/>
      <c r="V49" s="3218"/>
      <c r="W49" s="321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f>IF(E47&lt;E48,E48/E47-1,E47/E48-1)</f>
        <v>1.6060606060606109E-3</v>
      </c>
      <c r="F52" s="500" t="str">
        <f>IF(OR(E52&gt;=0.3,E52&lt;=-0.3),"超过30%","")</f>
        <v/>
      </c>
      <c r="G52" s="499">
        <f>IF(G47&lt;G48,G48/G47-1,G47/G48-1)</f>
        <v>4.1176470588233371E-4</v>
      </c>
      <c r="H52" s="500" t="str">
        <f>IF(OR(G52&gt;=0.3,G52&lt;=-0.3),"超过30%","")</f>
        <v/>
      </c>
      <c r="I52" s="499">
        <f>IF(I47&lt;I48,I48/I47-1,I47/I48-1)</f>
        <v>2.8684210526315201E-3</v>
      </c>
      <c r="J52" s="500" t="str">
        <f>IF(OR(I52&gt;=0.3,I52&lt;=-0.3),"超过30%","")</f>
        <v/>
      </c>
      <c r="K52" s="1108"/>
      <c r="L52" s="1109"/>
      <c r="M52" s="1147"/>
      <c r="N52" s="1147"/>
      <c r="O52" s="1147"/>
    </row>
    <row r="53" spans="1:29" ht="13.5" customHeight="1">
      <c r="A53" s="1147"/>
      <c r="B53" s="1147"/>
      <c r="C53" s="497" t="s">
        <v>2582</v>
      </c>
      <c r="D53" s="501"/>
      <c r="E53" s="499">
        <f>IF(E48&lt;G48,G48/E48-1,E48/G48-1)</f>
        <v>2.9074516685323681E-2</v>
      </c>
      <c r="F53" s="500" t="str">
        <f>IF(OR(E53&gt;=0.2,E53&lt;=-0.2),"超过20%","")</f>
        <v/>
      </c>
      <c r="G53" s="499">
        <f>IF(G48&lt;I48,I48/G48-1,G48/I48-1)</f>
        <v>0.12039160345739996</v>
      </c>
      <c r="H53" s="500" t="str">
        <f>IF(OR(G53&gt;=0.2,G53&lt;=-0.2),"超过20%","")</f>
        <v/>
      </c>
      <c r="I53" s="499">
        <f>IF(I48&lt;E48,E48/I48-1,I48/E48-1)</f>
        <v>0.15296644782621849</v>
      </c>
      <c r="J53" s="500" t="str">
        <f>IF(OR(I53&gt;=0.2,I53&lt;=-0.2),"超过20%","")</f>
        <v/>
      </c>
      <c r="K53" s="1108"/>
      <c r="L53" s="1109"/>
      <c r="M53" s="1147"/>
      <c r="N53" s="1147"/>
      <c r="O53" s="1147"/>
    </row>
    <row r="54" spans="1:29" s="502" customFormat="1" ht="13.5" customHeight="1">
      <c r="A54" s="1148"/>
      <c r="B54" s="1148"/>
      <c r="C54" s="497" t="s">
        <v>2583</v>
      </c>
      <c r="D54" s="501"/>
      <c r="E54" s="499">
        <f>IF(E47&lt;G47,G47/E47-1,E47/G47-1)</f>
        <v>3.0303030303030276E-2</v>
      </c>
      <c r="F54" s="500" t="str">
        <f>IF(OR(E54&gt;=0.3,E54&lt;=-0.3),"超过30%","")</f>
        <v/>
      </c>
      <c r="G54" s="499">
        <f>IF(G47&lt;I47,I47/G47-1,G47/I47-1)</f>
        <v>0.11764705882352944</v>
      </c>
      <c r="H54" s="500" t="str">
        <f>IF(OR(G54&gt;=0.3,G54&lt;=-0.3),"超过30%","")</f>
        <v/>
      </c>
      <c r="I54" s="499">
        <f>IF(I47&lt;E47,E47/I47-1,I47/E47-1)</f>
        <v>0.1515151515151516</v>
      </c>
      <c r="J54" s="500" t="str">
        <f>IF(OR(I54&gt;=0.3,I54&lt;=-0.3),"超过30%","")</f>
        <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28"/>
      <c r="Q57" s="504"/>
    </row>
    <row r="58" spans="1:29" s="508" customFormat="1" ht="15">
      <c r="A58" s="505" t="s">
        <v>2585</v>
      </c>
      <c r="B58" s="506"/>
      <c r="C58" s="1579" t="str">
        <f>YEAR(C7)&amp;"-"&amp;MONTH(C7)</f>
        <v>2018-4</v>
      </c>
      <c r="D58" s="1578">
        <f>EDATE(C58,-1)</f>
        <v>43160</v>
      </c>
      <c r="E58" s="1578">
        <f>EDATE(D58,-1)</f>
        <v>43132</v>
      </c>
      <c r="F58" s="1578">
        <f t="shared" ref="F58:O58" si="19">EDATE(E58,-1)</f>
        <v>43101</v>
      </c>
      <c r="G58" s="1578">
        <f t="shared" si="19"/>
        <v>43070</v>
      </c>
      <c r="H58" s="1578">
        <f t="shared" si="19"/>
        <v>43040</v>
      </c>
      <c r="I58" s="1578">
        <f t="shared" si="19"/>
        <v>43009</v>
      </c>
      <c r="J58" s="1578">
        <f t="shared" si="19"/>
        <v>42979</v>
      </c>
      <c r="K58" s="1578">
        <f t="shared" si="19"/>
        <v>42948</v>
      </c>
      <c r="L58" s="1578">
        <f t="shared" si="19"/>
        <v>42917</v>
      </c>
      <c r="M58" s="1578">
        <f t="shared" si="19"/>
        <v>42887</v>
      </c>
      <c r="N58" s="1578">
        <f t="shared" si="19"/>
        <v>42856</v>
      </c>
      <c r="O58" s="1578">
        <f t="shared" si="19"/>
        <v>42826</v>
      </c>
      <c r="P58" s="1573"/>
    </row>
    <row r="59" spans="1:29" s="117" customFormat="1" ht="15">
      <c r="A59" s="509"/>
      <c r="B59" s="2629"/>
      <c r="C59" s="1576">
        <v>100</v>
      </c>
      <c r="D59" s="511">
        <v>99.5</v>
      </c>
      <c r="E59" s="512">
        <v>99</v>
      </c>
      <c r="F59" s="512">
        <v>98.5</v>
      </c>
      <c r="G59" s="512">
        <v>98</v>
      </c>
      <c r="H59" s="512">
        <v>97.5</v>
      </c>
      <c r="I59" s="512">
        <v>97</v>
      </c>
      <c r="J59" s="512">
        <v>96.5</v>
      </c>
      <c r="K59" s="512">
        <v>96</v>
      </c>
      <c r="L59" s="512">
        <v>95.5</v>
      </c>
      <c r="M59" s="513">
        <v>95</v>
      </c>
      <c r="N59" s="512">
        <v>94.5</v>
      </c>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2587</v>
      </c>
      <c r="B61" s="510"/>
      <c r="C61" s="522" t="s">
        <v>2588</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t="str">
        <f>C9</f>
        <v>住宅</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32"/>
      <c r="Q66" s="504"/>
    </row>
    <row r="67" spans="1:17" ht="15.75" thickTop="1">
      <c r="A67" s="534"/>
      <c r="B67" s="546" t="s">
        <v>2559</v>
      </c>
      <c r="C67" s="547" t="str">
        <f>C68&amp;"（含）"&amp;"-"&amp;D68</f>
        <v>0（含）-1</v>
      </c>
      <c r="D67" s="547" t="str">
        <f t="shared" ref="D67:L67" si="21">D68&amp;"（含）"&amp;"-"&amp;E68</f>
        <v>1（含）-2</v>
      </c>
      <c r="E67" s="547" t="str">
        <f t="shared" si="21"/>
        <v>2（含）-3</v>
      </c>
      <c r="F67" s="547" t="str">
        <f t="shared" si="21"/>
        <v>3（含）-4</v>
      </c>
      <c r="G67" s="547" t="str">
        <f t="shared" si="21"/>
        <v>4（含）-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v>0</v>
      </c>
      <c r="D68" s="549">
        <v>1</v>
      </c>
      <c r="E68" s="549">
        <v>2</v>
      </c>
      <c r="F68" s="549">
        <v>3</v>
      </c>
      <c r="G68" s="549">
        <v>4</v>
      </c>
      <c r="H68" s="549"/>
      <c r="I68" s="549"/>
      <c r="J68" s="549"/>
      <c r="K68" s="550"/>
      <c r="L68" s="551"/>
      <c r="M68" s="552"/>
      <c r="N68" s="1155"/>
      <c r="O68" s="1155"/>
      <c r="P68" s="2632"/>
      <c r="Q68" s="504"/>
    </row>
    <row r="69" spans="1:17" ht="15.75" thickBot="1">
      <c r="A69" s="534"/>
      <c r="B69" s="535"/>
      <c r="C69" s="544">
        <v>100</v>
      </c>
      <c r="D69" s="544">
        <f t="shared" ref="D69:M69" si="22">C69-$K11</f>
        <v>98</v>
      </c>
      <c r="E69" s="544">
        <f t="shared" si="22"/>
        <v>96</v>
      </c>
      <c r="F69" s="544">
        <f t="shared" si="22"/>
        <v>94</v>
      </c>
      <c r="G69" s="544">
        <f t="shared" si="22"/>
        <v>92</v>
      </c>
      <c r="H69" s="544">
        <f t="shared" si="22"/>
        <v>90</v>
      </c>
      <c r="I69" s="544">
        <f t="shared" si="22"/>
        <v>88</v>
      </c>
      <c r="J69" s="544">
        <f t="shared" si="22"/>
        <v>86</v>
      </c>
      <c r="K69" s="544">
        <f t="shared" si="22"/>
        <v>84</v>
      </c>
      <c r="L69" s="544">
        <f t="shared" si="22"/>
        <v>82</v>
      </c>
      <c r="M69" s="545">
        <f t="shared" si="22"/>
        <v>80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32"/>
      <c r="Q81" s="504"/>
    </row>
    <row r="82" spans="1:17" ht="15.75" thickTop="1">
      <c r="A82" s="534"/>
      <c r="B82" s="546" t="s">
        <v>2100</v>
      </c>
      <c r="C82" s="539" t="s">
        <v>2605</v>
      </c>
      <c r="D82" s="539" t="s">
        <v>2606</v>
      </c>
      <c r="E82" s="539" t="s">
        <v>2607</v>
      </c>
      <c r="F82" s="539" t="s">
        <v>2608</v>
      </c>
      <c r="G82" s="539" t="s">
        <v>2609</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2611</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2612</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2564</v>
      </c>
      <c r="B100" s="528" t="s">
        <v>2613</v>
      </c>
      <c r="C100" s="2954" t="s">
        <v>3271</v>
      </c>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29.25" thickTop="1">
      <c r="A102" s="534"/>
      <c r="B102" s="538" t="s">
        <v>2614</v>
      </c>
      <c r="C102" s="578" t="str">
        <f>C103&amp;"(含)"&amp;"-"&amp;D103</f>
        <v>0(含)-50000</v>
      </c>
      <c r="D102" s="578" t="str">
        <f t="shared" ref="D102:L102" si="27">D103&amp;"(含)"&amp;"-"&amp;E103</f>
        <v>50000(含)-100000</v>
      </c>
      <c r="E102" s="578" t="str">
        <f t="shared" si="27"/>
        <v>100000(含)-150000</v>
      </c>
      <c r="F102" s="578" t="str">
        <f t="shared" si="27"/>
        <v>150000(含)-200000</v>
      </c>
      <c r="G102" s="578" t="str">
        <f t="shared" si="27"/>
        <v>200000(含)-250000</v>
      </c>
      <c r="H102" s="578" t="str">
        <f t="shared" si="27"/>
        <v>250000(含)-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v>0</v>
      </c>
      <c r="D103" s="595">
        <v>50000</v>
      </c>
      <c r="E103" s="595">
        <v>100000</v>
      </c>
      <c r="F103" s="595">
        <v>150000</v>
      </c>
      <c r="G103" s="595">
        <v>200000</v>
      </c>
      <c r="H103" s="595">
        <v>250000</v>
      </c>
      <c r="I103" s="595"/>
      <c r="J103" s="596"/>
      <c r="K103" s="596"/>
      <c r="L103" s="597"/>
      <c r="M103" s="598"/>
      <c r="N103" s="1157"/>
      <c r="O103" s="1157"/>
      <c r="P103" s="2633"/>
      <c r="Q103" s="559"/>
    </row>
    <row r="104" spans="1:17" s="471" customFormat="1" ht="15.75" thickBot="1">
      <c r="A104" s="553"/>
      <c r="B104" s="543"/>
      <c r="C104" s="560">
        <v>100</v>
      </c>
      <c r="D104" s="536">
        <v>102</v>
      </c>
      <c r="E104" s="536">
        <v>104</v>
      </c>
      <c r="F104" s="536">
        <v>106</v>
      </c>
      <c r="G104" s="536">
        <v>108</v>
      </c>
      <c r="H104" s="536">
        <v>110</v>
      </c>
      <c r="I104" s="536"/>
      <c r="J104" s="536"/>
      <c r="K104" s="536"/>
      <c r="L104" s="536"/>
      <c r="M104" s="536"/>
      <c r="N104" s="1156"/>
      <c r="O104" s="1156"/>
      <c r="P104" s="2633"/>
      <c r="Q104" s="559"/>
    </row>
    <row r="105" spans="1:17" ht="15" thickTop="1">
      <c r="A105" s="599"/>
      <c r="B105" s="538" t="s">
        <v>2615</v>
      </c>
      <c r="C105" s="554" t="s">
        <v>3256</v>
      </c>
      <c r="D105" s="554" t="s">
        <v>3240</v>
      </c>
      <c r="E105" s="583" t="s">
        <v>3257</v>
      </c>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32"/>
      <c r="Q106" s="504"/>
    </row>
    <row r="107" spans="1:17" ht="15" thickTop="1">
      <c r="A107" s="599"/>
      <c r="B107" s="538" t="s">
        <v>2616</v>
      </c>
      <c r="C107" s="583" t="s">
        <v>3241</v>
      </c>
      <c r="D107" s="583" t="s">
        <v>3258</v>
      </c>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95</v>
      </c>
      <c r="E108" s="544">
        <f t="shared" si="29"/>
        <v>90</v>
      </c>
      <c r="F108" s="544">
        <f t="shared" si="29"/>
        <v>85</v>
      </c>
      <c r="G108" s="544">
        <f t="shared" si="29"/>
        <v>80</v>
      </c>
      <c r="H108" s="544">
        <f t="shared" si="29"/>
        <v>75</v>
      </c>
      <c r="I108" s="544">
        <f t="shared" si="29"/>
        <v>70</v>
      </c>
      <c r="J108" s="544">
        <f t="shared" si="29"/>
        <v>65</v>
      </c>
      <c r="K108" s="544">
        <f t="shared" si="29"/>
        <v>60</v>
      </c>
      <c r="L108" s="544">
        <f t="shared" si="29"/>
        <v>55</v>
      </c>
      <c r="M108" s="544">
        <f t="shared" si="29"/>
        <v>50</v>
      </c>
      <c r="N108" s="1156"/>
      <c r="O108" s="1156"/>
      <c r="P108" s="2632"/>
      <c r="Q108" s="504"/>
    </row>
    <row r="109" spans="1:17" ht="15" thickTop="1">
      <c r="A109" s="599"/>
      <c r="B109" s="538" t="s">
        <v>2617</v>
      </c>
      <c r="C109" s="554" t="s">
        <v>3242</v>
      </c>
      <c r="D109" s="554" t="s">
        <v>3259</v>
      </c>
      <c r="E109" s="554" t="s">
        <v>3253</v>
      </c>
      <c r="F109" s="583" t="s">
        <v>3246</v>
      </c>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32"/>
      <c r="Q110" s="504"/>
    </row>
    <row r="111" spans="1:17" s="471" customFormat="1" ht="15" thickTop="1">
      <c r="A111" s="593"/>
      <c r="B111" s="538" t="s">
        <v>1998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3"/>
      <c r="Q113" s="559"/>
    </row>
    <row r="114" spans="1:17" ht="15" thickTop="1">
      <c r="A114" s="599"/>
      <c r="B114" s="538" t="s">
        <v>2618</v>
      </c>
      <c r="C114" s="554" t="s">
        <v>3243</v>
      </c>
      <c r="D114" s="554" t="s">
        <v>3260</v>
      </c>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97</v>
      </c>
      <c r="E115" s="544">
        <f t="shared" si="31"/>
        <v>94</v>
      </c>
      <c r="F115" s="544">
        <f t="shared" si="31"/>
        <v>91</v>
      </c>
      <c r="G115" s="544">
        <f t="shared" si="31"/>
        <v>88</v>
      </c>
      <c r="H115" s="544">
        <f t="shared" si="31"/>
        <v>85</v>
      </c>
      <c r="I115" s="544">
        <f t="shared" si="31"/>
        <v>82</v>
      </c>
      <c r="J115" s="544">
        <f t="shared" si="31"/>
        <v>79</v>
      </c>
      <c r="K115" s="544">
        <f t="shared" si="31"/>
        <v>76</v>
      </c>
      <c r="L115" s="544">
        <f t="shared" si="31"/>
        <v>73</v>
      </c>
      <c r="M115" s="544">
        <f t="shared" si="31"/>
        <v>70</v>
      </c>
      <c r="N115" s="1156"/>
      <c r="O115" s="1156"/>
      <c r="P115" s="2632"/>
      <c r="Q115" s="504"/>
    </row>
    <row r="116" spans="1:17" ht="15" thickTop="1">
      <c r="A116" s="599"/>
      <c r="B116" s="538" t="s">
        <v>2619</v>
      </c>
      <c r="C116" s="554" t="s">
        <v>3066</v>
      </c>
      <c r="D116" s="554" t="s">
        <v>3244</v>
      </c>
      <c r="E116" s="554" t="s">
        <v>3261</v>
      </c>
      <c r="F116" s="554" t="s">
        <v>3262</v>
      </c>
      <c r="G116" s="554" t="s">
        <v>3263</v>
      </c>
      <c r="H116" s="583"/>
      <c r="I116" s="583"/>
      <c r="J116" s="583"/>
      <c r="K116" s="584"/>
      <c r="L116" s="585"/>
      <c r="M116" s="586"/>
      <c r="N116" s="1155"/>
      <c r="O116" s="1155"/>
      <c r="P116" s="2632"/>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6"/>
      <c r="O117" s="1156"/>
      <c r="P117" s="2632"/>
      <c r="Q117" s="504"/>
    </row>
    <row r="118" spans="1:17" ht="15" thickTop="1">
      <c r="A118" s="599"/>
      <c r="B118" s="538" t="s">
        <v>2620</v>
      </c>
      <c r="C118" s="583" t="s">
        <v>3264</v>
      </c>
      <c r="D118" s="583" t="s">
        <v>3239</v>
      </c>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2621</v>
      </c>
      <c r="C122" s="2980" t="s">
        <v>3251</v>
      </c>
      <c r="D122" s="2980" t="s">
        <v>3252</v>
      </c>
      <c r="E122" s="2980" t="s">
        <v>3254</v>
      </c>
      <c r="F122" s="2981" t="s">
        <v>3255</v>
      </c>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7">
        <v>6</v>
      </c>
      <c r="C139" s="1088">
        <v>96</v>
      </c>
      <c r="D139" s="2650" t="s">
        <v>2632</v>
      </c>
      <c r="E139" s="1089">
        <v>100</v>
      </c>
      <c r="F139" s="1090">
        <v>102.5</v>
      </c>
      <c r="G139" s="2650" t="s">
        <v>2632</v>
      </c>
      <c r="H139" s="1091">
        <v>105</v>
      </c>
      <c r="I139" s="2651" t="s">
        <v>2633</v>
      </c>
      <c r="J139" s="1088">
        <v>20</v>
      </c>
      <c r="K139" s="1092">
        <f>C145/(J139-2)</f>
        <v>4.0555555555555553E-3</v>
      </c>
    </row>
    <row r="140" spans="1:17" ht="15">
      <c r="B140" s="1093">
        <v>5</v>
      </c>
      <c r="C140" s="1094">
        <v>100</v>
      </c>
      <c r="D140" s="1094"/>
      <c r="E140" s="1095"/>
      <c r="F140" s="1096">
        <v>102</v>
      </c>
      <c r="G140" s="1094"/>
      <c r="H140" s="1097"/>
      <c r="I140" s="2652" t="s">
        <v>2634</v>
      </c>
      <c r="J140" s="315">
        <f>ROUNDUP((J139-1)/2,0)</f>
        <v>10</v>
      </c>
      <c r="K140" s="1098">
        <v>100</v>
      </c>
    </row>
    <row r="141" spans="1:17" ht="15">
      <c r="B141" s="1093">
        <v>4</v>
      </c>
      <c r="C141" s="1094">
        <v>102</v>
      </c>
      <c r="D141" s="1094"/>
      <c r="E141" s="1095"/>
      <c r="F141" s="1096">
        <v>101.5</v>
      </c>
      <c r="G141" s="1094"/>
      <c r="H141" s="1097"/>
      <c r="I141" s="2652" t="s">
        <v>2635</v>
      </c>
      <c r="J141" s="315">
        <v>1</v>
      </c>
      <c r="K141" s="1099">
        <f>ROUND(100+(J141-J140)*K139*100,1)</f>
        <v>96.4</v>
      </c>
    </row>
    <row r="142" spans="1:17" ht="15">
      <c r="B142" s="1093">
        <v>3</v>
      </c>
      <c r="C142" s="1094">
        <v>103</v>
      </c>
      <c r="D142" s="1094"/>
      <c r="E142" s="1095"/>
      <c r="F142" s="1096">
        <v>101</v>
      </c>
      <c r="G142" s="1094"/>
      <c r="H142" s="1097"/>
      <c r="I142" s="2652" t="s">
        <v>2636</v>
      </c>
      <c r="J142" s="315">
        <f>J139</f>
        <v>20</v>
      </c>
      <c r="K142" s="1100">
        <v>95</v>
      </c>
    </row>
    <row r="143" spans="1:17" ht="15">
      <c r="B143" s="1093">
        <v>2</v>
      </c>
      <c r="C143" s="1094">
        <v>100</v>
      </c>
      <c r="D143" s="1094"/>
      <c r="E143" s="1095"/>
      <c r="F143" s="1096">
        <v>100.5</v>
      </c>
      <c r="G143" s="1094"/>
      <c r="H143" s="1097"/>
      <c r="I143" s="2652" t="s">
        <v>2637</v>
      </c>
      <c r="J143" s="1094">
        <v>15</v>
      </c>
      <c r="K143" s="1099">
        <f>ROUND(100+(J143-J140)*K139*100,1)</f>
        <v>102</v>
      </c>
    </row>
    <row r="144" spans="1:17" ht="15">
      <c r="B144" s="1093">
        <v>1</v>
      </c>
      <c r="C144" s="1094">
        <v>98</v>
      </c>
      <c r="D144" s="2653" t="s">
        <v>2638</v>
      </c>
      <c r="E144" s="1095">
        <v>102</v>
      </c>
      <c r="F144" s="1101">
        <v>100</v>
      </c>
      <c r="G144" s="2653" t="s">
        <v>2638</v>
      </c>
      <c r="H144" s="1097">
        <v>105</v>
      </c>
      <c r="I144" s="2652" t="s">
        <v>2637</v>
      </c>
      <c r="J144" s="1094">
        <v>18</v>
      </c>
      <c r="K144" s="1099">
        <f>ROUND(100+(J144-J140)*K139*100,1)</f>
        <v>103.2</v>
      </c>
    </row>
    <row r="145" spans="2:11" ht="15.75" thickBot="1">
      <c r="B145" s="2654" t="s">
        <v>2639</v>
      </c>
      <c r="C145" s="1102">
        <f>ROUND(MAX(C139:C144)/MIN(C139:C144)-1,3)</f>
        <v>7.2999999999999995E-2</v>
      </c>
      <c r="D145" s="1103"/>
      <c r="E145" s="1103"/>
      <c r="F145" s="2655" t="s">
        <v>2640</v>
      </c>
      <c r="G145" s="2656"/>
      <c r="H145" s="2657"/>
      <c r="I145" s="2658" t="s">
        <v>2637</v>
      </c>
      <c r="J145" s="1104">
        <v>8</v>
      </c>
      <c r="K145" s="1105">
        <f>ROUND(100+(J145-J140)*K139*100,1)</f>
        <v>99.2</v>
      </c>
    </row>
    <row r="147" spans="2:11">
      <c r="B147" s="2639" t="s">
        <v>2641</v>
      </c>
    </row>
    <row r="148" spans="2:11">
      <c r="B148" s="2639"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2330</v>
      </c>
      <c r="B1" s="1940"/>
      <c r="C1" s="2555" t="s">
        <v>2432</v>
      </c>
      <c r="D1" s="242"/>
      <c r="E1" s="242"/>
      <c r="F1" s="242"/>
      <c r="G1" s="1382">
        <f>MATCH(B1,'数据-取费表'!A6:A16,0)+5</f>
        <v>12</v>
      </c>
      <c r="H1" s="1285" t="str">
        <f>IF(ISERROR(FIND("住宅",B1)),"非住宅","住宅")</f>
        <v>非住宅</v>
      </c>
    </row>
    <row r="2" spans="1:8" s="244" customFormat="1" ht="18" customHeight="1">
      <c r="A2" s="245" t="s">
        <v>2331</v>
      </c>
      <c r="B2" s="246">
        <f ca="1">ROUND(IF(D2="——",C52/10000,C52/10000-E2),0)</f>
        <v>105543</v>
      </c>
      <c r="C2" s="243" t="s">
        <v>2332</v>
      </c>
      <c r="D2" s="2549" t="s">
        <v>70</v>
      </c>
      <c r="E2" s="1443" t="e">
        <f ca="1">SUMIF(INDIRECT("'"&amp;G2&amp;"'"&amp;"!A:A"),"承租人权益价值",INDIRECT("'"&amp;G2&amp;"'"&amp;"!c:c"))</f>
        <v>#REF!</v>
      </c>
      <c r="F2" s="2550" t="s">
        <v>2332</v>
      </c>
      <c r="G2" s="2551"/>
    </row>
    <row r="3" spans="1:8" s="244" customFormat="1" ht="18" customHeight="1" thickBot="1">
      <c r="A3" s="247" t="s">
        <v>2333</v>
      </c>
      <c r="B3" s="248">
        <f ca="1">ROUND(B2*10000/(IF(B1="",'数据-汇总表'!E3,INDIRECT("'数据-取费表'!k"&amp;$G$1))),0)</f>
        <v>5641</v>
      </c>
      <c r="C3" s="243" t="s">
        <v>2334</v>
      </c>
      <c r="D3" s="243"/>
      <c r="E3" s="243"/>
      <c r="F3" s="243"/>
      <c r="G3" s="243"/>
    </row>
    <row r="4" spans="1:8" s="252" customFormat="1" ht="15.75">
      <c r="A4" s="249" t="s">
        <v>2335</v>
      </c>
      <c r="B4" s="250"/>
      <c r="C4" s="250"/>
      <c r="D4" s="250"/>
      <c r="E4" s="250"/>
      <c r="F4" s="250"/>
      <c r="G4" s="251"/>
    </row>
    <row r="5" spans="1:8" s="258" customFormat="1" ht="13.5" customHeight="1">
      <c r="A5" s="299" t="s">
        <v>2336</v>
      </c>
      <c r="B5" s="254" t="s">
        <v>2337</v>
      </c>
      <c r="C5" s="255">
        <f ca="1">C6+C7+C8</f>
        <v>51869447</v>
      </c>
      <c r="D5" s="255" t="s">
        <v>2338</v>
      </c>
      <c r="E5" s="256" t="s">
        <v>2339</v>
      </c>
      <c r="F5" s="256" t="s">
        <v>2340</v>
      </c>
      <c r="G5" s="257"/>
    </row>
    <row r="6" spans="1:8" s="258" customFormat="1" ht="13.5" customHeight="1">
      <c r="A6" s="952" t="s">
        <v>2341</v>
      </c>
      <c r="B6" s="259" t="s">
        <v>2342</v>
      </c>
      <c r="C6" s="260"/>
      <c r="D6" s="261"/>
      <c r="E6" s="262"/>
      <c r="F6" s="262"/>
      <c r="G6" s="263"/>
    </row>
    <row r="7" spans="1:8" s="258" customFormat="1" ht="13.5" customHeight="1">
      <c r="A7" s="952" t="s">
        <v>2343</v>
      </c>
      <c r="B7" s="259" t="s">
        <v>2344</v>
      </c>
      <c r="C7" s="264">
        <f>ROUND(C6*F7,0)</f>
        <v>0</v>
      </c>
      <c r="D7" s="264"/>
      <c r="E7" s="262"/>
      <c r="F7" s="265">
        <f>'数据-取费表'!B48+'数据-取费表'!B49</f>
        <v>3.0499999999999999E-2</v>
      </c>
      <c r="G7" s="263"/>
    </row>
    <row r="8" spans="1:8" s="267" customFormat="1">
      <c r="A8" s="952" t="s">
        <v>2345</v>
      </c>
      <c r="B8" s="259" t="s">
        <v>2346</v>
      </c>
      <c r="C8" s="264">
        <f ca="1">IF(G8="已包含在土地购买价格中",0,C9+C10)</f>
        <v>51869447</v>
      </c>
      <c r="D8" s="266"/>
      <c r="E8" s="264"/>
      <c r="F8" s="265"/>
      <c r="G8" s="2552"/>
    </row>
    <row r="9" spans="1:8" s="258" customFormat="1" ht="13.5" customHeight="1">
      <c r="A9" s="953" t="s">
        <v>800</v>
      </c>
      <c r="B9" s="268" t="s">
        <v>2347</v>
      </c>
      <c r="C9" s="269">
        <f ca="1">ROUND(D9*E9,0)</f>
        <v>51869447</v>
      </c>
      <c r="D9" s="1035">
        <f ca="1">IF(B1="",'数据-汇总表'!E5,IF(INDIRECT("'数据-取费表'!c"&amp;$G$1)="住宅",INDIRECT("'数据-取费表'!k"&amp;$G$1),0))</f>
        <v>120626.62</v>
      </c>
      <c r="E9" s="269">
        <f>'数据-取费表'!B27</f>
        <v>430</v>
      </c>
      <c r="F9" s="265"/>
      <c r="G9" s="270"/>
    </row>
    <row r="10" spans="1:8" s="258" customFormat="1" ht="13.5" customHeight="1">
      <c r="A10" s="953" t="s">
        <v>801</v>
      </c>
      <c r="B10" s="268" t="s">
        <v>2349</v>
      </c>
      <c r="C10" s="269">
        <f ca="1">ROUND(D10*E10,0)</f>
        <v>0</v>
      </c>
      <c r="D10" s="1035">
        <f ca="1">IF(B1="",'数据-汇总表'!E6,IF(INDIRECT("'数据-取费表'!c"&amp;$G$1)="住宅",INDIRECT("'数据-取费表'!s"&amp;$G$1),INDIRECT("'数据-取费表'!k"&amp;$G$1)+INDIRECT("'数据-取费表'!s"&amp;$G$1)))</f>
        <v>66471.74000000002</v>
      </c>
      <c r="E10" s="269">
        <f>'数据-取费表'!B28</f>
        <v>0</v>
      </c>
      <c r="F10" s="265"/>
      <c r="G10" s="270"/>
    </row>
    <row r="11" spans="1:8" s="258" customFormat="1" ht="13.5" hidden="1" customHeight="1">
      <c r="A11" s="271" t="s">
        <v>7</v>
      </c>
      <c r="B11" s="259" t="s">
        <v>2350</v>
      </c>
      <c r="C11" s="255"/>
      <c r="D11" s="1037"/>
      <c r="E11" s="262"/>
      <c r="F11" s="262"/>
      <c r="G11" s="263"/>
    </row>
    <row r="12" spans="1:8" s="258" customFormat="1" ht="13.5" hidden="1" customHeight="1">
      <c r="A12" s="271" t="s">
        <v>8</v>
      </c>
      <c r="B12" s="259" t="s">
        <v>2433</v>
      </c>
      <c r="C12" s="255">
        <v>0</v>
      </c>
      <c r="D12" s="1037"/>
      <c r="E12" s="272"/>
      <c r="F12" s="265">
        <v>3.0499999999999999E-2</v>
      </c>
      <c r="G12" s="263"/>
    </row>
    <row r="13" spans="1:8" s="258" customFormat="1" ht="13.5" hidden="1" customHeight="1">
      <c r="A13" s="271" t="s">
        <v>9</v>
      </c>
      <c r="B13" s="259" t="s">
        <v>2434</v>
      </c>
      <c r="C13" s="255"/>
      <c r="D13" s="1037"/>
      <c r="E13" s="262"/>
      <c r="F13" s="262"/>
      <c r="G13" s="263"/>
    </row>
    <row r="14" spans="1:8" s="258" customFormat="1" ht="13.5" hidden="1" customHeight="1">
      <c r="A14" s="271" t="s">
        <v>10</v>
      </c>
      <c r="B14" s="259" t="s">
        <v>2346</v>
      </c>
      <c r="C14" s="255"/>
      <c r="D14" s="1037"/>
      <c r="E14" s="262"/>
      <c r="F14" s="262"/>
      <c r="G14" s="263" t="s">
        <v>2435</v>
      </c>
    </row>
    <row r="15" spans="1:8" s="258" customFormat="1" ht="13.5" hidden="1" customHeight="1">
      <c r="A15" s="271" t="s">
        <v>11</v>
      </c>
      <c r="B15" s="259" t="s">
        <v>2436</v>
      </c>
      <c r="C15" s="264"/>
      <c r="D15" s="1037"/>
      <c r="E15" s="262"/>
      <c r="F15" s="262"/>
      <c r="G15" s="263" t="s">
        <v>2437</v>
      </c>
    </row>
    <row r="16" spans="1:8" s="258" customFormat="1" ht="13.5" hidden="1" customHeight="1">
      <c r="A16" s="271" t="s">
        <v>12</v>
      </c>
      <c r="B16" s="259" t="s">
        <v>2346</v>
      </c>
      <c r="C16" s="264"/>
      <c r="D16" s="1037"/>
      <c r="E16" s="262"/>
      <c r="F16" s="262"/>
      <c r="G16" s="263"/>
    </row>
    <row r="17" spans="1:7" s="258" customFormat="1" ht="13.5" hidden="1" customHeight="1">
      <c r="A17" s="271" t="s">
        <v>13</v>
      </c>
      <c r="B17" s="259" t="s">
        <v>2438</v>
      </c>
      <c r="C17" s="273"/>
      <c r="D17" s="1038"/>
      <c r="E17" s="273"/>
      <c r="F17" s="273"/>
      <c r="G17" s="263" t="s">
        <v>2437</v>
      </c>
    </row>
    <row r="18" spans="1:7" s="258" customFormat="1" ht="13.5" hidden="1" customHeight="1">
      <c r="A18" s="271" t="s">
        <v>14</v>
      </c>
      <c r="B18" s="259" t="s">
        <v>2439</v>
      </c>
      <c r="C18" s="264">
        <v>0</v>
      </c>
      <c r="D18" s="1037"/>
      <c r="E18" s="262"/>
      <c r="F18" s="265">
        <v>3.0499999999999999E-2</v>
      </c>
      <c r="G18" s="263" t="s">
        <v>2440</v>
      </c>
    </row>
    <row r="19" spans="1:7" s="267" customFormat="1" ht="13.5" customHeight="1">
      <c r="A19" s="299" t="s">
        <v>2441</v>
      </c>
      <c r="B19" s="254" t="s">
        <v>2442</v>
      </c>
      <c r="C19" s="255">
        <f ca="1">IF(G19="已包含在土地取得成本中","0",ROUND(D19*E19,0))</f>
        <v>37419672</v>
      </c>
      <c r="D19" s="1039">
        <f ca="1">D9+D10</f>
        <v>187098.36000000002</v>
      </c>
      <c r="E19" s="255">
        <f>'数据-取费表'!B31</f>
        <v>200</v>
      </c>
      <c r="F19" s="275"/>
      <c r="G19" s="2552"/>
    </row>
    <row r="20" spans="1:7" s="258" customFormat="1" ht="13.5" customHeight="1">
      <c r="A20" s="299" t="s">
        <v>2443</v>
      </c>
      <c r="B20" s="254" t="s">
        <v>2444</v>
      </c>
      <c r="C20" s="276">
        <f ca="1">ROUND((C5+C19)*F20,0)</f>
        <v>1785782</v>
      </c>
      <c r="D20" s="276"/>
      <c r="E20" s="276"/>
      <c r="F20" s="277">
        <f>'数据-取费表'!B37</f>
        <v>0.02</v>
      </c>
      <c r="G20" s="278" t="s">
        <v>2445</v>
      </c>
    </row>
    <row r="21" spans="1:7" s="258" customFormat="1" ht="13.5" customHeight="1">
      <c r="A21" s="299" t="s">
        <v>2446</v>
      </c>
      <c r="B21" s="254" t="s">
        <v>2447</v>
      </c>
      <c r="C21" s="279">
        <f>F21</f>
        <v>0.02</v>
      </c>
      <c r="D21" s="280" t="s">
        <v>2448</v>
      </c>
      <c r="E21" s="276"/>
      <c r="F21" s="277">
        <f>'数据-取费表'!B38</f>
        <v>0.02</v>
      </c>
      <c r="G21" s="278" t="s">
        <v>2449</v>
      </c>
    </row>
    <row r="22" spans="1:7" s="258" customFormat="1" ht="13.5" customHeight="1">
      <c r="A22" s="299" t="s">
        <v>2450</v>
      </c>
      <c r="B22" s="254" t="s">
        <v>2451</v>
      </c>
      <c r="C22" s="1383">
        <f ca="1">ROUND(SUM(C23:C25),0)</f>
        <v>8768750</v>
      </c>
      <c r="D22" s="279">
        <f ca="1">C26</f>
        <v>1E-3</v>
      </c>
      <c r="E22" s="280" t="s">
        <v>2448</v>
      </c>
      <c r="F22" s="281">
        <f ca="1">'数据-取费表'!B40</f>
        <v>4.7500000000000001E-2</v>
      </c>
      <c r="G22" s="278" t="str">
        <f>IF('数据-取费表'!B22&lt;=1,"单利计息","复利计息")</f>
        <v>复利计息</v>
      </c>
    </row>
    <row r="23" spans="1:7" s="258" customFormat="1" ht="13.5" customHeight="1">
      <c r="A23" s="954" t="s">
        <v>2341</v>
      </c>
      <c r="B23" s="259" t="s">
        <v>2452</v>
      </c>
      <c r="C23" s="1384">
        <f ca="1">ROUND(IF('数据-取费表'!B22&lt;=1,C5*F22*'数据-取费表'!B22,C5*(POWER((1+F22),'数据-取费表'!B22)-1)),0)</f>
        <v>5044628</v>
      </c>
      <c r="D23" s="282"/>
      <c r="E23" s="282"/>
      <c r="F23" s="283"/>
      <c r="G23" s="284" t="s">
        <v>2453</v>
      </c>
    </row>
    <row r="24" spans="1:7" s="258" customFormat="1" ht="13.5" customHeight="1">
      <c r="A24" s="954" t="s">
        <v>2343</v>
      </c>
      <c r="B24" s="259" t="s">
        <v>2454</v>
      </c>
      <c r="C24" s="1384">
        <f ca="1">ROUND(IF('数据-取费表'!B22&lt;=1,C19*F22*('数据-取费表'!B19/2+'数据-取费表'!B20),C19*(POWER((1+F22),('数据-取费表'!B19/2+'数据-取费表'!B20))-1)),0)</f>
        <v>3639297</v>
      </c>
      <c r="D24" s="282"/>
      <c r="E24" s="282"/>
      <c r="F24" s="283"/>
      <c r="G24" s="284" t="s">
        <v>2455</v>
      </c>
    </row>
    <row r="25" spans="1:7" s="258" customFormat="1" ht="24">
      <c r="A25" s="954" t="s">
        <v>2345</v>
      </c>
      <c r="B25" s="259" t="s">
        <v>2456</v>
      </c>
      <c r="C25" s="1384">
        <f ca="1">ROUND(IF('数据-取费表'!B22&lt;=1,C20*F22*'数据-取费表'!B22/2,C20*(POWER((1+F22),'数据-取费表'!B22/2)-1)),0)</f>
        <v>84825</v>
      </c>
      <c r="D25" s="282"/>
      <c r="E25" s="285"/>
      <c r="F25" s="283"/>
      <c r="G25" s="286" t="s">
        <v>2457</v>
      </c>
    </row>
    <row r="26" spans="1:7" s="258" customFormat="1">
      <c r="A26" s="954" t="s">
        <v>795</v>
      </c>
      <c r="B26" s="259" t="s">
        <v>2380</v>
      </c>
      <c r="C26" s="282">
        <f ca="1">ROUND(IF('数据-取费表'!B22&lt;=1,F21*F22*'数据-取费表'!B22/2,F21*(POWER((1+F22),'数据-取费表'!B22/2)-1)),4)</f>
        <v>1E-3</v>
      </c>
      <c r="D26" s="282"/>
      <c r="E26" s="285"/>
      <c r="F26" s="283"/>
      <c r="G26" s="287"/>
    </row>
    <row r="27" spans="1:7" s="258" customFormat="1" ht="24.75">
      <c r="A27" s="299" t="s">
        <v>2381</v>
      </c>
      <c r="B27" s="288" t="s">
        <v>2382</v>
      </c>
      <c r="C27" s="289">
        <f ca="1">C28</f>
        <v>14571984</v>
      </c>
      <c r="D27" s="279">
        <f ca="1">C29</f>
        <v>3.2000000000000002E-3</v>
      </c>
      <c r="E27" s="280" t="s">
        <v>2383</v>
      </c>
      <c r="F27" s="290">
        <f ca="1">IF(B1="",'数据-取费表'!Q16,INDIRECT("'数据-取费表'!q"&amp;$G$1))</f>
        <v>0.16</v>
      </c>
      <c r="G27" s="291" t="s">
        <v>2384</v>
      </c>
    </row>
    <row r="28" spans="1:7" s="258" customFormat="1" ht="13.5" customHeight="1">
      <c r="A28" s="954" t="s">
        <v>791</v>
      </c>
      <c r="B28" s="292" t="s">
        <v>2385</v>
      </c>
      <c r="C28" s="293">
        <f ca="1">ROUND((C5+C19+C20)*F27,0)</f>
        <v>14571984</v>
      </c>
      <c r="D28" s="279"/>
      <c r="E28" s="280"/>
      <c r="F28" s="290"/>
      <c r="G28" s="291"/>
    </row>
    <row r="29" spans="1:7" s="258" customFormat="1" ht="13.5" customHeight="1">
      <c r="A29" s="954" t="s">
        <v>792</v>
      </c>
      <c r="B29" s="292" t="s">
        <v>2386</v>
      </c>
      <c r="C29" s="282">
        <f ca="1">ROUND(C21*F27,4)</f>
        <v>3.2000000000000002E-3</v>
      </c>
      <c r="D29" s="279"/>
      <c r="E29" s="280"/>
      <c r="F29" s="290"/>
      <c r="G29" s="291"/>
    </row>
    <row r="30" spans="1:7" s="258" customFormat="1" ht="13.5" customHeight="1">
      <c r="A30" s="299" t="s">
        <v>2387</v>
      </c>
      <c r="B30" s="254" t="s">
        <v>2388</v>
      </c>
      <c r="C30" s="279">
        <f>ROUND(F30/(1+'数据-取费表'!C42),4)</f>
        <v>5.33E-2</v>
      </c>
      <c r="D30" s="280" t="s">
        <v>2383</v>
      </c>
      <c r="E30" s="285"/>
      <c r="F30" s="281">
        <f>'数据-取费表'!B41</f>
        <v>5.6000000000000001E-2</v>
      </c>
      <c r="G30" s="278" t="s">
        <v>2389</v>
      </c>
    </row>
    <row r="31" spans="1:7" ht="16.5" customHeight="1">
      <c r="A31" s="253">
        <v>1</v>
      </c>
      <c r="B31" s="254" t="s">
        <v>2390</v>
      </c>
      <c r="C31" s="255">
        <f ca="1">ROUND((C5+C19+C20+C22+C27)/(1-C21-D22-D27-C30),0)</f>
        <v>124027789</v>
      </c>
      <c r="D31" s="274"/>
      <c r="E31" s="255"/>
      <c r="F31" s="294"/>
      <c r="G31" s="278" t="s">
        <v>2391</v>
      </c>
    </row>
    <row r="32" spans="1:7" s="252" customFormat="1" ht="15.75">
      <c r="A32" s="296" t="s">
        <v>2458</v>
      </c>
      <c r="B32" s="297"/>
      <c r="C32" s="297"/>
      <c r="D32" s="297"/>
      <c r="E32" s="297"/>
      <c r="F32" s="297"/>
      <c r="G32" s="298"/>
    </row>
    <row r="33" spans="1:7" s="258" customFormat="1" ht="13.5" customHeight="1">
      <c r="A33" s="299" t="s">
        <v>782</v>
      </c>
      <c r="B33" s="254" t="s">
        <v>2459</v>
      </c>
      <c r="C33" s="300">
        <f ca="1">SUM(C34:C38)</f>
        <v>697615282</v>
      </c>
      <c r="D33" s="276"/>
      <c r="E33" s="256"/>
      <c r="F33" s="285"/>
      <c r="G33" s="278"/>
    </row>
    <row r="34" spans="1:7" s="302" customFormat="1" ht="13.5" customHeight="1">
      <c r="A34" s="954" t="s">
        <v>791</v>
      </c>
      <c r="B34" s="259" t="s">
        <v>2394</v>
      </c>
      <c r="C34" s="264">
        <f ca="1">ROUND(IF(B1="",SUMPRODUCT('数据-取费表'!K6:K14,'数据-取费表'!L6:L14),INDIRECT("'数据-取费表'!l"&amp;$G$1)*INDIRECT("'数据-取费表'!k"&amp;$G$1)+'数据-取费表'!L14*INDIRECT("'数据-取费表'!S"&amp;$G$1)),0)</f>
        <v>610316495</v>
      </c>
      <c r="D34" s="261"/>
      <c r="E34" s="264"/>
      <c r="F34" s="301"/>
      <c r="G34" s="263"/>
    </row>
    <row r="35" spans="1:7" ht="13.5" customHeight="1">
      <c r="A35" s="954" t="s">
        <v>796</v>
      </c>
      <c r="B35" s="259" t="s">
        <v>2396</v>
      </c>
      <c r="C35" s="264">
        <f ca="1">ROUND(C34*F35,0)</f>
        <v>18309495</v>
      </c>
      <c r="D35" s="264"/>
      <c r="E35" s="264"/>
      <c r="F35" s="303">
        <f>'数据-取费表'!B33</f>
        <v>0.03</v>
      </c>
      <c r="G35" s="263" t="s">
        <v>2397</v>
      </c>
    </row>
    <row r="36" spans="1:7" ht="24">
      <c r="A36" s="954" t="s">
        <v>797</v>
      </c>
      <c r="B36" s="259" t="s">
        <v>2398</v>
      </c>
      <c r="C36" s="264">
        <f ca="1">ROUND(IF(B1="",SUM('数据-取费表'!AP6:AP13)*F36,IF(INDIRECT("'数据-取费表'!c"&amp;$G$1)="住宅",INDIRECT("'数据-取费表'!k"&amp;$G$1)*INDIRECT("'数据-取费表'!l"&amp;$G$1)*F36,0)),0)</f>
        <v>22414873</v>
      </c>
      <c r="D36" s="264"/>
      <c r="E36" s="264"/>
      <c r="F36" s="303">
        <f>'数据-取费表'!B34</f>
        <v>0.05</v>
      </c>
      <c r="G36" s="304" t="s">
        <v>2399</v>
      </c>
    </row>
    <row r="37" spans="1:7" s="302" customFormat="1" ht="13.5" customHeight="1">
      <c r="A37" s="954" t="s">
        <v>798</v>
      </c>
      <c r="B37" s="259" t="s">
        <v>2400</v>
      </c>
      <c r="C37" s="293">
        <f ca="1">ROUND(E37*D37,0)</f>
        <v>37419672</v>
      </c>
      <c r="D37" s="261">
        <f ca="1">D19</f>
        <v>187098.36000000002</v>
      </c>
      <c r="E37" s="293">
        <f>'数据-取费表'!B35</f>
        <v>200</v>
      </c>
      <c r="F37" s="303"/>
      <c r="G37" s="305"/>
    </row>
    <row r="38" spans="1:7" ht="13.5" customHeight="1">
      <c r="A38" s="954" t="s">
        <v>799</v>
      </c>
      <c r="B38" s="259" t="s">
        <v>2402</v>
      </c>
      <c r="C38" s="264">
        <f ca="1">ROUND(C34*F38,0)</f>
        <v>9154747</v>
      </c>
      <c r="D38" s="264"/>
      <c r="E38" s="264"/>
      <c r="F38" s="303">
        <f>'数据-取费表'!B36</f>
        <v>1.4999999999999999E-2</v>
      </c>
      <c r="G38" s="263" t="s">
        <v>2397</v>
      </c>
    </row>
    <row r="39" spans="1:7" s="258" customFormat="1" ht="13.5" customHeight="1">
      <c r="A39" s="299" t="s">
        <v>2403</v>
      </c>
      <c r="B39" s="254" t="s">
        <v>2404</v>
      </c>
      <c r="C39" s="276">
        <f ca="1">ROUND(C33*F20,0)</f>
        <v>13952306</v>
      </c>
      <c r="D39" s="276"/>
      <c r="E39" s="276"/>
      <c r="F39" s="277"/>
      <c r="G39" s="278" t="s">
        <v>2405</v>
      </c>
    </row>
    <row r="40" spans="1:7" s="258" customFormat="1" ht="13.5" customHeight="1">
      <c r="A40" s="299" t="s">
        <v>2406</v>
      </c>
      <c r="B40" s="254" t="s">
        <v>2407</v>
      </c>
      <c r="C40" s="1731">
        <f>F21</f>
        <v>0.02</v>
      </c>
      <c r="D40" s="280" t="s">
        <v>2408</v>
      </c>
      <c r="E40" s="276"/>
      <c r="F40" s="277"/>
      <c r="G40" s="278" t="s">
        <v>2409</v>
      </c>
    </row>
    <row r="41" spans="1:7" s="258" customFormat="1" ht="13.5" customHeight="1">
      <c r="A41" s="299" t="s">
        <v>2410</v>
      </c>
      <c r="B41" s="254" t="s">
        <v>2411</v>
      </c>
      <c r="C41" s="276">
        <f ca="1">ROUND(SUM(C42:C43),0)</f>
        <v>33799461</v>
      </c>
      <c r="D41" s="279">
        <f ca="1">C44</f>
        <v>1E-3</v>
      </c>
      <c r="E41" s="280" t="s">
        <v>2408</v>
      </c>
      <c r="F41" s="281"/>
      <c r="G41" s="278" t="str">
        <f>IF('数据-取费表'!B22&lt;=1,"单利计息","复利计息")</f>
        <v>复利计息</v>
      </c>
    </row>
    <row r="42" spans="1:7" ht="13.5" customHeight="1">
      <c r="A42" s="954" t="s">
        <v>791</v>
      </c>
      <c r="B42" s="259" t="s">
        <v>2412</v>
      </c>
      <c r="C42" s="282">
        <f ca="1">ROUND(IF('数据-取费表'!B22&lt;=1,C33*F22*'数据-取费表'!B20/2,C33*(POWER((1+F22),'数据-取费表'!B20/2)-1)),0)</f>
        <v>33136726</v>
      </c>
      <c r="D42" s="282"/>
      <c r="E42" s="282"/>
      <c r="F42" s="283"/>
      <c r="G42" s="3171" t="s">
        <v>2460</v>
      </c>
    </row>
    <row r="43" spans="1:7" ht="13.5" customHeight="1">
      <c r="A43" s="954" t="s">
        <v>792</v>
      </c>
      <c r="B43" s="259" t="s">
        <v>2414</v>
      </c>
      <c r="C43" s="282">
        <f ca="1">ROUND(IF('数据-取费表'!B22&lt;=1,C39*F22*'数据-取费表'!B20/2,C39*(POWER((1+F22),'数据-取费表'!B20/2)-1)),0)</f>
        <v>662735</v>
      </c>
      <c r="D43" s="282"/>
      <c r="E43" s="282"/>
      <c r="F43" s="283"/>
      <c r="G43" s="3172"/>
    </row>
    <row r="44" spans="1:7" ht="13.5" customHeight="1">
      <c r="A44" s="954" t="s">
        <v>793</v>
      </c>
      <c r="B44" s="259" t="s">
        <v>2415</v>
      </c>
      <c r="C44" s="282">
        <f ca="1">ROUND(IF('数据-取费表'!B22&lt;=1,C40*F22*'数据-取费表'!B20/2,C40*(POWER((1+F22),'数据-取费表'!B20/2)-1)),4)</f>
        <v>1E-3</v>
      </c>
      <c r="D44" s="282"/>
      <c r="E44" s="282"/>
      <c r="F44" s="283"/>
      <c r="G44" s="3173"/>
    </row>
    <row r="45" spans="1:7" s="258" customFormat="1" ht="13.5" customHeight="1">
      <c r="A45" s="299" t="s">
        <v>2416</v>
      </c>
      <c r="B45" s="288" t="s">
        <v>2382</v>
      </c>
      <c r="C45" s="289">
        <f ca="1">C46</f>
        <v>113850814</v>
      </c>
      <c r="D45" s="279">
        <f ca="1">C47</f>
        <v>3.2000000000000002E-3</v>
      </c>
      <c r="E45" s="280" t="s">
        <v>2408</v>
      </c>
      <c r="F45" s="290"/>
      <c r="G45" s="291" t="s">
        <v>2417</v>
      </c>
    </row>
    <row r="46" spans="1:7" s="258" customFormat="1" ht="13.5" customHeight="1">
      <c r="A46" s="954" t="s">
        <v>791</v>
      </c>
      <c r="B46" s="292" t="s">
        <v>2418</v>
      </c>
      <c r="C46" s="293">
        <f ca="1">ROUND((C33+C39)*F27,0)</f>
        <v>113850814</v>
      </c>
      <c r="D46" s="307"/>
      <c r="E46" s="280"/>
      <c r="F46" s="290"/>
      <c r="G46" s="291"/>
    </row>
    <row r="47" spans="1:7" s="258" customFormat="1" ht="13.5" customHeight="1">
      <c r="A47" s="954" t="s">
        <v>792</v>
      </c>
      <c r="B47" s="292" t="s">
        <v>2419</v>
      </c>
      <c r="C47" s="282">
        <f ca="1">ROUND(C40*F27,4)</f>
        <v>3.2000000000000002E-3</v>
      </c>
      <c r="D47" s="307"/>
      <c r="E47" s="280"/>
      <c r="F47" s="290"/>
      <c r="G47" s="291"/>
    </row>
    <row r="48" spans="1:7" s="258" customFormat="1" ht="13.5" customHeight="1">
      <c r="A48" s="299" t="s">
        <v>2381</v>
      </c>
      <c r="B48" s="254" t="s">
        <v>2420</v>
      </c>
      <c r="C48" s="306">
        <f>ROUND(F30/(1+'数据-取费表'!C42),4)</f>
        <v>5.33E-2</v>
      </c>
      <c r="D48" s="280" t="s">
        <v>2408</v>
      </c>
      <c r="E48" s="276"/>
      <c r="F48" s="281"/>
      <c r="G48" s="278" t="s">
        <v>2421</v>
      </c>
    </row>
    <row r="49" spans="1:7" ht="16.5" customHeight="1">
      <c r="A49" s="299" t="s">
        <v>2387</v>
      </c>
      <c r="B49" s="254" t="s">
        <v>2461</v>
      </c>
      <c r="C49" s="276">
        <f ca="1">ROUND((C33+C39+C41+C45)/(1-C40-D41-D45-C48),0)</f>
        <v>931401478</v>
      </c>
      <c r="D49" s="276"/>
      <c r="E49" s="276"/>
      <c r="F49" s="308"/>
      <c r="G49" s="278" t="s">
        <v>2423</v>
      </c>
    </row>
    <row r="50" spans="1:7" s="302" customFormat="1">
      <c r="A50" s="299" t="s">
        <v>2424</v>
      </c>
      <c r="B50" s="254" t="s">
        <v>2425</v>
      </c>
      <c r="C50" s="276"/>
      <c r="D50" s="276"/>
      <c r="E50" s="276"/>
      <c r="F50" s="308">
        <f>IF('数据-取费表'!B24=0,'数据-取费表'!N16,1)</f>
        <v>1</v>
      </c>
      <c r="G50" s="291"/>
    </row>
    <row r="51" spans="1:7" ht="16.5" customHeight="1">
      <c r="A51" s="299" t="s">
        <v>2427</v>
      </c>
      <c r="B51" s="254" t="s">
        <v>2462</v>
      </c>
      <c r="C51" s="276">
        <f ca="1">ROUND(C49*F50,0)</f>
        <v>931401478</v>
      </c>
      <c r="D51" s="276"/>
      <c r="E51" s="276"/>
      <c r="F51" s="308"/>
      <c r="G51" s="278" t="s">
        <v>2429</v>
      </c>
    </row>
    <row r="52" spans="1:7" s="252" customFormat="1" ht="16.5" thickBot="1">
      <c r="A52" s="309" t="s">
        <v>2430</v>
      </c>
      <c r="B52" s="310"/>
      <c r="C52" s="311">
        <f ca="1">C31+C51</f>
        <v>1055429267</v>
      </c>
      <c r="D52" s="310"/>
      <c r="E52" s="310"/>
      <c r="F52" s="310"/>
      <c r="G52" s="312"/>
    </row>
    <row r="55" spans="1:7" ht="15">
      <c r="B55" s="314" t="s">
        <v>2431</v>
      </c>
      <c r="C55" s="315"/>
    </row>
    <row r="56" spans="1:7">
      <c r="B56" s="317" t="s">
        <v>1513</v>
      </c>
      <c r="C56" s="319">
        <f ca="1">1-C57</f>
        <v>0.11799999999999999</v>
      </c>
    </row>
    <row r="57" spans="1:7">
      <c r="B57" s="317" t="s">
        <v>1514</v>
      </c>
      <c r="C57" s="318">
        <f ca="1">ROUND(C51/C52,3)</f>
        <v>0.88200000000000001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18" sqref="F1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48</v>
      </c>
      <c r="D1" s="1823" t="s">
        <v>3283</v>
      </c>
      <c r="E1" s="1824" t="s">
        <v>1387</v>
      </c>
      <c r="F1" s="1286">
        <f ca="1">J53</f>
        <v>47.54</v>
      </c>
      <c r="G1" s="1839">
        <f>MATCH(C1,'数据-取费表'!A6:A16,0)+5</f>
        <v>10</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13513</v>
      </c>
      <c r="C2" s="1848" t="s">
        <v>1516</v>
      </c>
      <c r="D2" s="1848"/>
      <c r="E2" s="1849"/>
      <c r="F2" s="1850"/>
      <c r="G2" s="1851"/>
      <c r="H2" s="1843"/>
      <c r="I2" s="1843"/>
      <c r="J2" s="1843"/>
      <c r="K2" s="1844"/>
      <c r="L2" s="1843"/>
      <c r="M2" s="1843"/>
    </row>
    <row r="3" spans="1:37" ht="18" customHeight="1" thickBot="1">
      <c r="A3" s="1852" t="s">
        <v>1517</v>
      </c>
      <c r="B3" s="1853">
        <f ca="1">IF(ISERROR(B2*10000/F43),0,ROUND(B2*10000/F43,0))</f>
        <v>2308</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1225</v>
      </c>
      <c r="D5" s="1825" t="s">
        <v>1402</v>
      </c>
      <c r="E5" s="1296"/>
      <c r="F5" s="1297"/>
      <c r="G5" s="1854"/>
      <c r="H5" s="344">
        <v>1</v>
      </c>
      <c r="I5" s="345" t="s">
        <v>1401</v>
      </c>
      <c r="J5" s="1295">
        <f ca="1">J6+J10+J12</f>
        <v>0</v>
      </c>
      <c r="K5" s="1825" t="s">
        <v>1402</v>
      </c>
      <c r="L5" s="1296"/>
      <c r="M5" s="1297"/>
    </row>
    <row r="6" spans="1:37" ht="18" customHeight="1">
      <c r="A6" s="1294" t="s">
        <v>1035</v>
      </c>
      <c r="B6" s="3227" t="s">
        <v>1403</v>
      </c>
      <c r="C6" s="1299">
        <f ca="1">ROUND(F6*F8*F7*(1-F9)/10000,0)</f>
        <v>1225</v>
      </c>
      <c r="D6" s="164" t="s">
        <v>3035</v>
      </c>
      <c r="E6" s="347" t="s">
        <v>1405</v>
      </c>
      <c r="F6" s="348">
        <f ca="1">INDIRECT("'数据-取费表'!u"&amp;$G$1)</f>
        <v>600</v>
      </c>
      <c r="G6" s="1854"/>
      <c r="H6" s="1294" t="s">
        <v>1035</v>
      </c>
      <c r="I6" s="3227" t="s">
        <v>1403</v>
      </c>
      <c r="J6" s="346">
        <f ca="1">ROUND(M6*M8*M7*(1-M9)/10000,0)</f>
        <v>0</v>
      </c>
      <c r="K6" s="164" t="s">
        <v>3034</v>
      </c>
      <c r="L6" s="347" t="s">
        <v>1405</v>
      </c>
      <c r="M6" s="348">
        <f ca="1">INDIRECT("'数据-取费表'!z"&amp;$G$1)</f>
        <v>0</v>
      </c>
    </row>
    <row r="7" spans="1:37" ht="18" customHeight="1">
      <c r="A7" s="1298"/>
      <c r="B7" s="3228"/>
      <c r="C7" s="1300"/>
      <c r="D7" s="352"/>
      <c r="E7" s="2963" t="s">
        <v>1406</v>
      </c>
      <c r="F7" s="348">
        <f ca="1">IF(INDIRECT("'数据-取费表'!ah"&amp;$G$1)="",INDIRECT("'数据-取费表'!k"&amp;$G$1),INDIRECT("'数据-取费表'!ah"&amp;$G$1))</f>
        <v>1890</v>
      </c>
      <c r="G7" s="1854"/>
      <c r="H7" s="349"/>
      <c r="I7" s="3228"/>
      <c r="J7" s="351"/>
      <c r="K7" s="352"/>
      <c r="L7" s="347" t="s">
        <v>1406</v>
      </c>
      <c r="M7" s="348">
        <f ca="1">F7</f>
        <v>1890</v>
      </c>
    </row>
    <row r="8" spans="1:37" ht="18" customHeight="1">
      <c r="A8" s="349"/>
      <c r="B8" s="3228"/>
      <c r="C8" s="351"/>
      <c r="D8" s="352"/>
      <c r="E8" s="347" t="s">
        <v>1407</v>
      </c>
      <c r="F8" s="348">
        <f ca="1">INDIRECT("'数据-取费表'!ai"&amp;$G$1)</f>
        <v>12</v>
      </c>
      <c r="G8" s="1854"/>
      <c r="H8" s="349"/>
      <c r="I8" s="3228"/>
      <c r="J8" s="351"/>
      <c r="K8" s="352"/>
      <c r="L8" s="347" t="s">
        <v>1407</v>
      </c>
      <c r="M8" s="348">
        <f ca="1">INDIRECT("'数据-取费表'!ai"&amp;$G$1)</f>
        <v>12</v>
      </c>
    </row>
    <row r="9" spans="1:37" ht="18" customHeight="1">
      <c r="A9" s="349"/>
      <c r="B9" s="3229"/>
      <c r="C9" s="351"/>
      <c r="D9" s="352"/>
      <c r="E9" s="347" t="s">
        <v>1408</v>
      </c>
      <c r="F9" s="357">
        <f ca="1">INDIRECT("'数据-取费表'!w"&amp;$G$1)</f>
        <v>0.1</v>
      </c>
      <c r="G9" s="1854"/>
      <c r="H9" s="349"/>
      <c r="I9" s="3229"/>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3043</v>
      </c>
      <c r="E10" s="358" t="s">
        <v>1410</v>
      </c>
      <c r="F10" s="1369" t="s">
        <v>3284</v>
      </c>
      <c r="G10" s="1854"/>
      <c r="H10" s="1294" t="s">
        <v>1039</v>
      </c>
      <c r="I10" s="1826" t="s">
        <v>1409</v>
      </c>
      <c r="J10" s="346">
        <f ca="1">ROUND(IF(M10="押一",J6/12*M11,IF(M10="押二",J6/12*2*M11,IF(M10="押三",J6/12*3*M11,J11*M11))),0)</f>
        <v>0</v>
      </c>
      <c r="K10" s="1827" t="s">
        <v>3043</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20055</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15005</v>
      </c>
      <c r="D14" s="2966" t="s">
        <v>1418</v>
      </c>
      <c r="E14" s="2965"/>
      <c r="F14" s="364"/>
      <c r="G14" s="1854"/>
      <c r="H14" s="1204" t="s">
        <v>1035</v>
      </c>
      <c r="I14" s="347" t="s">
        <v>1419</v>
      </c>
      <c r="J14" s="24">
        <f ca="1">C29</f>
        <v>20055</v>
      </c>
      <c r="K14" s="2962"/>
      <c r="L14" s="982"/>
      <c r="M14" s="983"/>
    </row>
    <row r="15" spans="1:37" s="1861" customFormat="1" ht="18" customHeight="1" thickBot="1">
      <c r="A15" s="1204" t="s">
        <v>1036</v>
      </c>
      <c r="B15" s="347" t="s">
        <v>1420</v>
      </c>
      <c r="C15" s="24">
        <f ca="1">ROUND(C14*F15,0)</f>
        <v>450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503</v>
      </c>
      <c r="K16" s="1340" t="s">
        <v>1425</v>
      </c>
      <c r="L16" s="2969"/>
      <c r="M16" s="1297"/>
    </row>
    <row r="17" spans="1:37" s="1861" customFormat="1" ht="18" customHeight="1">
      <c r="A17" s="1204" t="s">
        <v>1390</v>
      </c>
      <c r="B17" s="347" t="s">
        <v>1426</v>
      </c>
      <c r="C17" s="24">
        <f ca="1">ROUND(F17*(F43+INDIRECT("'数据-取费表'!S"&amp;$G$1))/10000,0)</f>
        <v>1200</v>
      </c>
      <c r="D17" s="347" t="s">
        <v>1427</v>
      </c>
      <c r="E17" s="347" t="s">
        <v>1428</v>
      </c>
      <c r="F17" s="26">
        <f>'数据-取费表'!B35</f>
        <v>200</v>
      </c>
      <c r="G17" s="1857"/>
      <c r="H17" s="1204" t="s">
        <v>1035</v>
      </c>
      <c r="I17" s="347" t="s">
        <v>1429</v>
      </c>
      <c r="J17" s="24">
        <f ca="1">ROUND(IF(项目基本情况!B11="自然人",J5*M17,J18+J19+J20),1)</f>
        <v>202.1</v>
      </c>
      <c r="K17" s="2966" t="s">
        <v>1430</v>
      </c>
      <c r="L17" s="2968"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225</v>
      </c>
      <c r="D18" s="347" t="s">
        <v>1421</v>
      </c>
      <c r="E18" s="347" t="s">
        <v>1422</v>
      </c>
      <c r="F18" s="367">
        <f>'数据-取费表'!B36</f>
        <v>1.4999999999999999E-2</v>
      </c>
      <c r="G18" s="1857"/>
      <c r="H18" s="1204" t="s">
        <v>1034</v>
      </c>
      <c r="I18" s="347" t="s">
        <v>1433</v>
      </c>
      <c r="J18" s="24">
        <f ca="1">ROUND(J5*M18/(1+'数据-取费表'!C42),2)</f>
        <v>0</v>
      </c>
      <c r="K18" s="2968"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16880</v>
      </c>
      <c r="D19" s="140" t="s">
        <v>1436</v>
      </c>
      <c r="E19" s="2961"/>
      <c r="F19" s="26"/>
      <c r="G19" s="1854"/>
      <c r="H19" s="1204" t="s">
        <v>1036</v>
      </c>
      <c r="I19" s="347" t="s">
        <v>1437</v>
      </c>
      <c r="J19" s="24">
        <f ca="1">IF(K19="按租金收入计税",ROUND(J5*M19,2),ROUND(C29*M19*0.7,2))</f>
        <v>168.46</v>
      </c>
      <c r="K19" s="1831" t="s">
        <v>1438</v>
      </c>
      <c r="L19" s="347" t="s">
        <v>1422</v>
      </c>
      <c r="M19" s="367">
        <f>IF(K19="按租金收入计税",'数据-取费表'!B51,'数据-取费表'!B50)</f>
        <v>1.2E-2</v>
      </c>
    </row>
    <row r="20" spans="1:37" s="1861" customFormat="1" ht="18" customHeight="1">
      <c r="A20" s="1204" t="s">
        <v>1039</v>
      </c>
      <c r="B20" s="347" t="s">
        <v>1439</v>
      </c>
      <c r="C20" s="24">
        <f ca="1">ROUND(C19*F20,0)</f>
        <v>338</v>
      </c>
      <c r="D20" s="369" t="s">
        <v>1440</v>
      </c>
      <c r="E20" s="347" t="s">
        <v>1422</v>
      </c>
      <c r="F20" s="367">
        <f>'数据-取费表'!B37</f>
        <v>0.02</v>
      </c>
      <c r="G20" s="1857"/>
      <c r="H20" s="1204" t="s">
        <v>1389</v>
      </c>
      <c r="I20" s="164" t="s">
        <v>1441</v>
      </c>
      <c r="J20" s="25">
        <f ca="1">ROUND(M20*M21/10000,2)</f>
        <v>33.65</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28041.850000000002</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2961"/>
      <c r="F22" s="26"/>
      <c r="G22" s="1854"/>
      <c r="H22" s="1204" t="s">
        <v>1039</v>
      </c>
      <c r="I22" s="347" t="s">
        <v>1449</v>
      </c>
      <c r="J22" s="24">
        <f ca="1">ROUND(J14*M22,1)</f>
        <v>300.8</v>
      </c>
      <c r="K22" s="2968"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818</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2968" t="s">
        <v>1454</v>
      </c>
      <c r="L23" s="347" t="s">
        <v>1422</v>
      </c>
      <c r="M23" s="376">
        <f ca="1">INDIRECT("'数据-取费表'!Al"&amp;$G$1)</f>
        <v>2E-3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1392</v>
      </c>
      <c r="I24" s="1343" t="s">
        <v>1439</v>
      </c>
      <c r="J24" s="1344">
        <f ca="1">ROUND(J5*M24,1)</f>
        <v>0</v>
      </c>
      <c r="K24" s="1345" t="s">
        <v>1459</v>
      </c>
      <c r="L24" s="1343" t="s">
        <v>1422</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2961"/>
      <c r="F25" s="26"/>
      <c r="G25" s="1854"/>
      <c r="H25" s="1332" t="s">
        <v>1031</v>
      </c>
      <c r="I25" s="1347" t="s">
        <v>1463</v>
      </c>
      <c r="J25" s="355">
        <f ca="1">J5-J16</f>
        <v>-503</v>
      </c>
      <c r="K25" s="1348" t="s">
        <v>1464</v>
      </c>
      <c r="L25" s="1349"/>
      <c r="M25" s="1350"/>
    </row>
    <row r="26" spans="1:37">
      <c r="A26" s="1204" t="s">
        <v>1034</v>
      </c>
      <c r="B26" s="347" t="s">
        <v>1465</v>
      </c>
      <c r="C26" s="24">
        <f ca="1">ROUND((C19+C20)*F26,0)</f>
        <v>517</v>
      </c>
      <c r="D26" s="369" t="s">
        <v>1466</v>
      </c>
      <c r="E26" s="358" t="s">
        <v>1467</v>
      </c>
      <c r="F26" s="357">
        <f ca="1">INDIRECT("'数据-取费表'!q"&amp;$G$1)</f>
        <v>0.03</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5.9999999999999995E-4</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20055</v>
      </c>
      <c r="D29" s="1345"/>
      <c r="E29" s="1343"/>
      <c r="F29" s="1346"/>
      <c r="G29" s="1857"/>
      <c r="H29" s="380" t="s">
        <v>1033</v>
      </c>
      <c r="I29" s="381" t="s">
        <v>1479</v>
      </c>
      <c r="J29" s="382">
        <f ca="1">ROUND(J26/(1+F40)^F41,0)</f>
        <v>0</v>
      </c>
      <c r="K29" s="383" t="s">
        <v>1480</v>
      </c>
      <c r="L29" s="384"/>
      <c r="M29" s="385">
        <f ca="1">INDIRECT("'数据-取费表'!k"&amp;$G$1)</f>
        <v>58557.179999999993</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633</v>
      </c>
      <c r="D30" s="1340" t="s">
        <v>1425</v>
      </c>
      <c r="E30" s="2969"/>
      <c r="F30" s="1297"/>
      <c r="G30" s="1854"/>
      <c r="H30" s="745"/>
      <c r="I30" s="746"/>
      <c r="J30" s="747"/>
      <c r="K30" s="748"/>
      <c r="L30" s="749"/>
      <c r="M30" s="750"/>
    </row>
    <row r="31" spans="1:37" ht="18" customHeight="1">
      <c r="A31" s="1204" t="s">
        <v>1035</v>
      </c>
      <c r="B31" s="347" t="s">
        <v>1429</v>
      </c>
      <c r="C31" s="24">
        <f ca="1">ROUND(IF(项目基本情况!B11="自然人",C5*F31,C32+C33+C34),1)</f>
        <v>267.39999999999998</v>
      </c>
      <c r="D31" s="2966" t="s">
        <v>1430</v>
      </c>
      <c r="E31" s="2968"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65.33</v>
      </c>
      <c r="D32" s="2968"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168.46</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33.65</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28041.850000000002</v>
      </c>
      <c r="G35" s="1854"/>
      <c r="H35" s="745"/>
      <c r="I35" s="1863"/>
      <c r="J35" s="1864"/>
      <c r="K35" s="1865"/>
      <c r="L35" s="1862"/>
      <c r="M35" s="1862"/>
    </row>
    <row r="36" spans="1:18" ht="18" customHeight="1">
      <c r="A36" s="1355" t="s">
        <v>1039</v>
      </c>
      <c r="B36" s="347" t="s">
        <v>1449</v>
      </c>
      <c r="C36" s="24">
        <f ca="1">ROUND(C29*F36,1)</f>
        <v>300.8</v>
      </c>
      <c r="D36" s="2968"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40.1</v>
      </c>
      <c r="D37" s="2968" t="s">
        <v>1454</v>
      </c>
      <c r="E37" s="347" t="s">
        <v>1422</v>
      </c>
      <c r="F37" s="376">
        <f ca="1">INDIRECT("'数据-取费表'!Al"&amp;$G$1)</f>
        <v>2E-3</v>
      </c>
      <c r="G37" s="1854"/>
      <c r="H37" s="1862"/>
      <c r="I37" s="1863"/>
      <c r="J37" s="1864"/>
      <c r="K37" s="751"/>
      <c r="L37" s="1862"/>
      <c r="M37" s="1862"/>
    </row>
    <row r="38" spans="1:18" ht="18" customHeight="1" thickBot="1">
      <c r="A38" s="1342" t="s">
        <v>1392</v>
      </c>
      <c r="B38" s="1343" t="s">
        <v>1439</v>
      </c>
      <c r="C38" s="1344">
        <f ca="1">ROUND(C5*F38,1)</f>
        <v>24.5</v>
      </c>
      <c r="D38" s="1345" t="s">
        <v>1459</v>
      </c>
      <c r="E38" s="1343" t="s">
        <v>1422</v>
      </c>
      <c r="F38" s="1339">
        <f ca="1">INDIRECT("'数据-取费表'!Am"&amp;$G$1)</f>
        <v>0.02</v>
      </c>
      <c r="G38" s="1854"/>
      <c r="H38" s="1862"/>
      <c r="I38" s="1863"/>
      <c r="J38" s="1864"/>
      <c r="K38" s="1868"/>
      <c r="L38" s="1862"/>
      <c r="M38" s="1862"/>
    </row>
    <row r="39" spans="1:18" ht="24.6" customHeight="1" thickTop="1">
      <c r="A39" s="1332" t="s">
        <v>1031</v>
      </c>
      <c r="B39" s="1347" t="s">
        <v>1463</v>
      </c>
      <c r="C39" s="355">
        <f ca="1">C5-C30</f>
        <v>592</v>
      </c>
      <c r="D39" s="1348" t="s">
        <v>1464</v>
      </c>
      <c r="E39" s="1349"/>
      <c r="F39" s="1350"/>
      <c r="G39" s="1854"/>
      <c r="H39" s="1862"/>
      <c r="I39" s="1863"/>
      <c r="J39" s="1864"/>
      <c r="K39" s="1868"/>
      <c r="L39" s="1862"/>
      <c r="M39" s="1862"/>
    </row>
    <row r="40" spans="1:18" ht="18" customHeight="1">
      <c r="A40" s="344" t="s">
        <v>1032</v>
      </c>
      <c r="B40" s="345" t="s">
        <v>1485</v>
      </c>
      <c r="C40" s="346">
        <f ca="1">ROUND(C39*(1-((1+F42)/(1+F40))^F41)/(F40-F42),0)</f>
        <v>13513</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47.54</v>
      </c>
      <c r="G41" s="1854"/>
      <c r="H41" s="732"/>
      <c r="I41" s="1863"/>
      <c r="J41" s="1864"/>
      <c r="K41" s="751"/>
      <c r="L41" s="732"/>
      <c r="M41" s="732"/>
    </row>
    <row r="42" spans="1:18" ht="18" customHeight="1">
      <c r="A42" s="353"/>
      <c r="B42" s="354"/>
      <c r="C42" s="355"/>
      <c r="D42" s="373"/>
      <c r="E42" s="347" t="s">
        <v>1477</v>
      </c>
      <c r="F42" s="357">
        <f ca="1">INDIRECT("'数据-取费表'!v"&amp;$G$1)</f>
        <v>0.02</v>
      </c>
      <c r="G42" s="1854"/>
      <c r="H42" s="732"/>
      <c r="I42" s="1863"/>
      <c r="J42" s="1864"/>
      <c r="K42" s="751"/>
      <c r="L42" s="732"/>
      <c r="M42" s="732"/>
    </row>
    <row r="43" spans="1:18" ht="18" customHeight="1" thickBot="1">
      <c r="A43" s="380" t="s">
        <v>1033</v>
      </c>
      <c r="B43" s="381" t="s">
        <v>1487</v>
      </c>
      <c r="C43" s="382">
        <f ca="1">ROUND(C40*10000/F43,0)</f>
        <v>2308</v>
      </c>
      <c r="D43" s="383" t="s">
        <v>1488</v>
      </c>
      <c r="E43" s="384" t="s">
        <v>1489</v>
      </c>
      <c r="F43" s="385">
        <f ca="1">INDIRECT("'数据-取费表'!k"&amp;$G$1)</f>
        <v>58557.179999999993</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-22611</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3240</v>
      </c>
      <c r="K47" s="1885" t="s">
        <v>1527</v>
      </c>
      <c r="L47" s="1886">
        <f ca="1">INDIRECT("'数据-取费表'!d"&amp;$G$1)</f>
        <v>50</v>
      </c>
      <c r="M47" s="1841" t="str">
        <f>IF(ISNUMBER(FIND("住宅",C1)),"住宅","非住宅")</f>
        <v>非住宅</v>
      </c>
      <c r="O47" s="1887" t="s">
        <v>1040</v>
      </c>
      <c r="P47" s="1888" t="s">
        <v>1528</v>
      </c>
      <c r="Q47" s="1889">
        <f ca="1">C40+J29</f>
        <v>13513</v>
      </c>
      <c r="R47" s="1889" t="s">
        <v>1529</v>
      </c>
    </row>
    <row r="48" spans="1:18" s="1845" customFormat="1" ht="28.5" thickBot="1">
      <c r="A48" s="1363" t="s">
        <v>1135</v>
      </c>
      <c r="B48" s="345" t="s">
        <v>1401</v>
      </c>
      <c r="C48" s="2960">
        <f ca="1">C49+C53+C55</f>
        <v>0</v>
      </c>
      <c r="D48" s="1365"/>
      <c r="E48" s="1366"/>
      <c r="F48" s="1184"/>
      <c r="G48" s="792"/>
      <c r="H48" s="793"/>
      <c r="I48" s="1890" t="s">
        <v>1530</v>
      </c>
      <c r="J48" s="1891" t="s">
        <v>3285</v>
      </c>
      <c r="K48" s="1892" t="s">
        <v>1531</v>
      </c>
      <c r="L48" s="1893">
        <f ca="1">INDIRECT("'数据-取费表'!f"&amp;$G$1)</f>
        <v>48.54</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3034</v>
      </c>
      <c r="E49" s="1833" t="s">
        <v>1491</v>
      </c>
      <c r="F49" s="1284"/>
      <c r="G49" s="1894"/>
      <c r="H49" s="793"/>
      <c r="I49" s="1890" t="s">
        <v>1534</v>
      </c>
      <c r="J49" s="1895">
        <v>2020</v>
      </c>
      <c r="K49" s="1892" t="s">
        <v>1535</v>
      </c>
      <c r="L49" s="1896"/>
      <c r="O49" s="1897" t="s">
        <v>1042</v>
      </c>
      <c r="P49" s="1888" t="s">
        <v>1536</v>
      </c>
      <c r="Q49" s="1889">
        <f ca="1">C29</f>
        <v>20055</v>
      </c>
      <c r="R49" s="1889" t="s">
        <v>1529</v>
      </c>
    </row>
    <row r="50" spans="1:18" s="1845" customFormat="1" ht="13.5" thickBot="1">
      <c r="A50" s="1198"/>
      <c r="B50" s="1201"/>
      <c r="C50" s="1371"/>
      <c r="D50" s="1175"/>
      <c r="E50" s="1280" t="s">
        <v>1406</v>
      </c>
      <c r="F50" s="1281">
        <f ca="1">F7</f>
        <v>1890</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12</v>
      </c>
      <c r="I51" s="1901" t="s">
        <v>1540</v>
      </c>
      <c r="J51" s="1902">
        <f>IF(J49="",J50,J49+J50-YEAR('数据-取费表'!B2))</f>
        <v>62</v>
      </c>
      <c r="K51" s="1903" t="s">
        <v>1541</v>
      </c>
      <c r="L51" s="1904">
        <f ca="1">ROUND(-PV(INDIRECT("'数据-取费表'!h"&amp;$G$1),L48,(C39-C13*C76),0),0)</f>
        <v>-20170</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47.54</v>
      </c>
      <c r="R52" s="1889" t="s">
        <v>1546</v>
      </c>
    </row>
    <row r="53" spans="1:18" s="1845" customFormat="1" ht="24.75" thickBot="1">
      <c r="A53" s="1408" t="s">
        <v>1137</v>
      </c>
      <c r="B53" s="1834" t="s">
        <v>1409</v>
      </c>
      <c r="C53" s="361">
        <f ca="1">ROUND(IF(F53="押一",C49/12*F11,IF(F53="押二",C49/12*2*F11,IF(F53="押三",C49/12*3*F11,C54*F11))),0)</f>
        <v>0</v>
      </c>
      <c r="D53" s="1827" t="s">
        <v>3043</v>
      </c>
      <c r="E53" s="358" t="s">
        <v>1410</v>
      </c>
      <c r="F53" s="1369"/>
      <c r="I53" s="1908" t="s">
        <v>1547</v>
      </c>
      <c r="J53" s="1909">
        <f ca="1">IF(M47="住宅",J51,IF(D1="——",MIN(J51,L48),IF(D1="在建（套用方法）",MIN(J51,L48-'数据-取费表'!B24),IF(D1="土地（套用方法）",MIN(J51,L48-'数据-取费表'!B20)))))</f>
        <v>47.54</v>
      </c>
      <c r="K53" s="3230" t="s">
        <v>1548</v>
      </c>
      <c r="L53" s="3231"/>
      <c r="O53" s="1887" t="s">
        <v>1046</v>
      </c>
      <c r="P53" s="1888" t="s">
        <v>1549</v>
      </c>
      <c r="Q53" s="1889">
        <f ca="1">Q47+Q48</f>
        <v>13513</v>
      </c>
      <c r="R53" s="1889" t="s">
        <v>1047</v>
      </c>
    </row>
    <row r="54" spans="1:18" s="1845" customFormat="1" ht="13.5" thickBot="1">
      <c r="A54" s="1409"/>
      <c r="B54" s="1828" t="s">
        <v>1388</v>
      </c>
      <c r="C54" s="1181"/>
      <c r="D54" s="1827"/>
      <c r="E54" s="2964"/>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2964"/>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20055</v>
      </c>
      <c r="D56" s="1917"/>
      <c r="E56" s="1918"/>
      <c r="F56" s="1910"/>
      <c r="I56" s="1919" t="s">
        <v>1554</v>
      </c>
      <c r="J56" s="1920" t="s">
        <v>3056</v>
      </c>
      <c r="K56" s="1890" t="s">
        <v>1555</v>
      </c>
      <c r="L56" s="1893" t="str">
        <f ca="1">IF(L48&lt;J51,"——",L48-J53)</f>
        <v>——</v>
      </c>
      <c r="O56" s="1887" t="s">
        <v>1040</v>
      </c>
      <c r="P56" s="1888" t="s">
        <v>1528</v>
      </c>
      <c r="Q56" s="1889">
        <f ca="1">C40+J29</f>
        <v>13513</v>
      </c>
      <c r="R56" s="1889" t="s">
        <v>1529</v>
      </c>
    </row>
    <row r="57" spans="1:18" s="1845" customFormat="1" ht="24.75" thickBot="1">
      <c r="A57" s="1921"/>
      <c r="B57" s="1172" t="s">
        <v>1478</v>
      </c>
      <c r="C57" s="282">
        <f ca="1">C29</f>
        <v>20055</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543</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202.1</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1437</v>
      </c>
      <c r="C61" s="24">
        <f ca="1">IF(项目基本情况!B11="自然人","——",IF(D61="按租金收入计税",ROUND(C48*F61,2),IF(D61="按房产原值计税",ROUND(C57*F61*0.7,2),INDIRECT("'数据-取费表'!Aj"&amp;$G$1))))</f>
        <v>168.46</v>
      </c>
      <c r="D61" s="1831" t="s">
        <v>1438</v>
      </c>
      <c r="E61" s="1172" t="s">
        <v>1422</v>
      </c>
      <c r="F61" s="367">
        <f t="shared" si="0"/>
        <v>1.2E-2</v>
      </c>
      <c r="I61" s="1931"/>
      <c r="J61" s="1931"/>
      <c r="K61" s="1931"/>
      <c r="L61" s="1931"/>
      <c r="O61" s="1897" t="s">
        <v>1045</v>
      </c>
      <c r="P61" s="1888" t="str">
        <f>K59</f>
        <v>续建工期及建筑物耐用年限下的土地年期修正系数Kn</v>
      </c>
      <c r="Q61" s="1889" t="e">
        <f ca="1">L59</f>
        <v>#DIV/0!</v>
      </c>
      <c r="R61" s="1889" t="s">
        <v>1569</v>
      </c>
    </row>
    <row r="62" spans="1:18" s="1845" customFormat="1" ht="13.5" thickBot="1">
      <c r="A62" s="1204" t="s">
        <v>1495</v>
      </c>
      <c r="B62" s="1171" t="s">
        <v>1441</v>
      </c>
      <c r="C62" s="25">
        <f ca="1">IF(项目基本情况!B11="自然人","——",ROUND(F62*F63/10000,2))</f>
        <v>33.65</v>
      </c>
      <c r="D62" s="1187" t="s">
        <v>1442</v>
      </c>
      <c r="E62" s="1172" t="s">
        <v>1443</v>
      </c>
      <c r="F62" s="371">
        <f t="shared" si="0"/>
        <v>12</v>
      </c>
      <c r="I62" s="1932" t="s">
        <v>1570</v>
      </c>
      <c r="J62" s="1933" t="s">
        <v>1571</v>
      </c>
      <c r="K62" s="1933" t="s">
        <v>1572</v>
      </c>
      <c r="L62" s="1933" t="s">
        <v>1573</v>
      </c>
      <c r="M62" s="1934" t="s">
        <v>1574</v>
      </c>
      <c r="O62" s="1887" t="s">
        <v>1046</v>
      </c>
      <c r="P62" s="1888" t="s">
        <v>1549</v>
      </c>
      <c r="Q62" s="1889">
        <f ca="1">Q56+Q57</f>
        <v>13513</v>
      </c>
      <c r="R62" s="1889" t="s">
        <v>1047</v>
      </c>
    </row>
    <row r="63" spans="1:18" s="1845" customFormat="1" ht="13.5" thickBot="1">
      <c r="A63" s="372"/>
      <c r="B63" s="1178"/>
      <c r="C63" s="29"/>
      <c r="D63" s="1188"/>
      <c r="E63" s="1172" t="s">
        <v>1447</v>
      </c>
      <c r="F63" s="348">
        <f t="shared" ca="1" si="0"/>
        <v>28041.850000000002</v>
      </c>
      <c r="I63" s="1932" t="s">
        <v>1576</v>
      </c>
      <c r="J63" s="1933">
        <v>70</v>
      </c>
      <c r="K63" s="1933">
        <v>50</v>
      </c>
      <c r="L63" s="1933">
        <v>80</v>
      </c>
      <c r="M63" s="1935">
        <v>0.02</v>
      </c>
      <c r="O63" s="1872" t="s">
        <v>1577</v>
      </c>
      <c r="P63" s="1842"/>
      <c r="Q63" s="1842"/>
      <c r="R63" s="1842"/>
    </row>
    <row r="64" spans="1:18" s="1845" customFormat="1" ht="13.5" thickBot="1">
      <c r="A64" s="1204" t="s">
        <v>1039</v>
      </c>
      <c r="B64" s="1172" t="s">
        <v>1449</v>
      </c>
      <c r="C64" s="24">
        <f ca="1">ROUND(C57*F64,1)</f>
        <v>300.8</v>
      </c>
      <c r="D64" s="1186" t="s">
        <v>1482</v>
      </c>
      <c r="E64" s="1172" t="s">
        <v>1422</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40.1</v>
      </c>
      <c r="D65" s="1186" t="s">
        <v>1454</v>
      </c>
      <c r="E65" s="1172" t="s">
        <v>1422</v>
      </c>
      <c r="F65" s="376">
        <f t="shared" ca="1" si="0"/>
        <v>2E-3</v>
      </c>
      <c r="I65" s="1932" t="s">
        <v>1579</v>
      </c>
      <c r="J65" s="1933">
        <v>40</v>
      </c>
      <c r="K65" s="1933">
        <v>30</v>
      </c>
      <c r="L65" s="1933">
        <v>50</v>
      </c>
      <c r="M65" s="1935">
        <v>0.02</v>
      </c>
      <c r="O65" s="1887" t="s">
        <v>1040</v>
      </c>
      <c r="P65" s="1888" t="s">
        <v>1528</v>
      </c>
      <c r="Q65" s="1889">
        <f ca="1">C40+J29</f>
        <v>13513</v>
      </c>
      <c r="R65" s="1889" t="s">
        <v>1529</v>
      </c>
    </row>
    <row r="66" spans="1:18" s="1845" customFormat="1" ht="16.5" thickBot="1">
      <c r="A66" s="1204" t="s">
        <v>1504</v>
      </c>
      <c r="B66" s="1172" t="s">
        <v>1439</v>
      </c>
      <c r="C66" s="24">
        <f ca="1">ROUND(C48*F66,1)</f>
        <v>0</v>
      </c>
      <c r="D66" s="1186" t="s">
        <v>1459</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-543</v>
      </c>
      <c r="D67" s="1185" t="s">
        <v>1464</v>
      </c>
      <c r="E67" s="1190"/>
      <c r="F67" s="1191"/>
      <c r="O67" s="1897" t="s">
        <v>1042</v>
      </c>
      <c r="P67" s="1888" t="s">
        <v>1562</v>
      </c>
      <c r="Q67" s="1936">
        <f ca="1">L51</f>
        <v>-20170</v>
      </c>
      <c r="R67" s="1889" t="s">
        <v>1582</v>
      </c>
    </row>
    <row r="68" spans="1:18" s="1845" customFormat="1" ht="16.5" thickBot="1">
      <c r="A68" s="1169" t="s">
        <v>1032</v>
      </c>
      <c r="B68" s="1170" t="s">
        <v>1485</v>
      </c>
      <c r="C68" s="346">
        <f ca="1">ROUND(C67*(1-((1+F70)/(1+F68))^F69)/(F68-F70),0)</f>
        <v>-9098</v>
      </c>
      <c r="D68" s="1187" t="s">
        <v>1469</v>
      </c>
      <c r="E68" s="1172" t="s">
        <v>1470</v>
      </c>
      <c r="F68" s="357">
        <f ca="1">F40</f>
        <v>5.5E-2</v>
      </c>
      <c r="O68" s="1897" t="s">
        <v>1043</v>
      </c>
      <c r="P68" s="1937" t="s">
        <v>1583</v>
      </c>
      <c r="Q68" s="1889">
        <f ca="1">ROUND(Q69-Q70*Q71,0)</f>
        <v>-1113</v>
      </c>
      <c r="R68" s="1889" t="s">
        <v>1051</v>
      </c>
    </row>
    <row r="69" spans="1:18" s="1845" customFormat="1" ht="13.5" thickBot="1">
      <c r="A69" s="1173"/>
      <c r="B69" s="1174"/>
      <c r="C69" s="351"/>
      <c r="D69" s="1192" t="s">
        <v>1473</v>
      </c>
      <c r="E69" s="1172" t="s">
        <v>1474</v>
      </c>
      <c r="F69" s="379">
        <f ca="1">F41</f>
        <v>47.54</v>
      </c>
      <c r="O69" s="1897" t="s">
        <v>1048</v>
      </c>
      <c r="P69" s="1937" t="s">
        <v>1584</v>
      </c>
      <c r="Q69" s="1889">
        <f ca="1">C39</f>
        <v>592</v>
      </c>
      <c r="R69" s="1889" t="s">
        <v>1529</v>
      </c>
    </row>
    <row r="70" spans="1:18" s="1845" customFormat="1" ht="13.5" thickBot="1">
      <c r="A70" s="1176"/>
      <c r="B70" s="1177"/>
      <c r="C70" s="355"/>
      <c r="D70" s="1188"/>
      <c r="E70" s="1172" t="s">
        <v>1477</v>
      </c>
      <c r="F70" s="1278"/>
      <c r="O70" s="1897" t="s">
        <v>1049</v>
      </c>
      <c r="P70" s="1937" t="s">
        <v>1585</v>
      </c>
      <c r="Q70" s="1889">
        <f ca="1">C13</f>
        <v>20055</v>
      </c>
      <c r="R70" s="1889" t="s">
        <v>1529</v>
      </c>
    </row>
    <row r="71" spans="1:18" s="1845" customFormat="1" ht="13.5" thickBot="1">
      <c r="A71" s="1193" t="s">
        <v>1033</v>
      </c>
      <c r="B71" s="1194" t="s">
        <v>1487</v>
      </c>
      <c r="C71" s="382">
        <f ca="1">ROUND(C68*10000/F71,0)</f>
        <v>-1554</v>
      </c>
      <c r="D71" s="1195" t="s">
        <v>1488</v>
      </c>
      <c r="E71" s="1196" t="s">
        <v>1489</v>
      </c>
      <c r="F71" s="385">
        <f ca="1">F43</f>
        <v>58557.179999999993</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续建工期及建筑物耐用年限下的土地年期修正系数Kn</v>
      </c>
      <c r="Q74" s="1889" t="e">
        <f ca="1">L59</f>
        <v>#DIV/0!</v>
      </c>
      <c r="R74" s="1889" t="s">
        <v>1569</v>
      </c>
    </row>
    <row r="75" spans="1:18" ht="13.5" thickBot="1">
      <c r="A75" s="1845"/>
      <c r="B75" s="386" t="s">
        <v>1506</v>
      </c>
      <c r="C75" s="387">
        <f ca="1">ROUND(C13*C76,0)</f>
        <v>1705</v>
      </c>
      <c r="D75" s="1845"/>
      <c r="E75" s="1845"/>
      <c r="F75" s="1845"/>
      <c r="K75" s="1871"/>
      <c r="L75" s="1845"/>
      <c r="O75" s="1887" t="s">
        <v>1046</v>
      </c>
      <c r="P75" s="1888" t="s">
        <v>1549</v>
      </c>
      <c r="Q75" s="1889">
        <f ca="1">Q65+Q66</f>
        <v>13513</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-1.88</v>
      </c>
    </row>
    <row r="80" spans="1:18">
      <c r="B80" s="386" t="s">
        <v>1511</v>
      </c>
      <c r="C80" s="318">
        <f ca="1">ROUND(C75/C39,3)</f>
        <v>2.88</v>
      </c>
    </row>
    <row r="81" spans="2:3">
      <c r="B81" s="314" t="s">
        <v>1512</v>
      </c>
      <c r="C81" s="282"/>
    </row>
    <row r="82" spans="2:3">
      <c r="B82" s="317" t="s">
        <v>1513</v>
      </c>
      <c r="C82" s="319">
        <f ca="1">1-C83</f>
        <v>-0.48399999999999999</v>
      </c>
    </row>
    <row r="83" spans="2:3">
      <c r="B83" s="317" t="s">
        <v>1514</v>
      </c>
      <c r="C83" s="318">
        <f ca="1">ROUND(C13/C40,3)</f>
        <v>1.484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9" priority="4">
      <formula>$L$48&gt;$J$51</formula>
    </cfRule>
  </conditionalFormatting>
  <conditionalFormatting sqref="I55 I60">
    <cfRule type="expression" dxfId="108" priority="5">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1377</v>
      </c>
      <c r="D1" s="1823" t="s">
        <v>3283</v>
      </c>
      <c r="E1" s="1824" t="s">
        <v>1387</v>
      </c>
      <c r="F1" s="1286">
        <f ca="1">J53</f>
        <v>37.54</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5387</v>
      </c>
      <c r="C2" s="1848" t="s">
        <v>1516</v>
      </c>
      <c r="D2" s="1848"/>
      <c r="E2" s="1849"/>
      <c r="F2" s="1850"/>
      <c r="G2" s="1851"/>
      <c r="H2" s="1843"/>
      <c r="I2" s="1843"/>
      <c r="J2" s="1843"/>
      <c r="K2" s="1844"/>
      <c r="L2" s="1843"/>
      <c r="M2" s="1843"/>
    </row>
    <row r="3" spans="1:37" ht="18" customHeight="1" thickBot="1">
      <c r="A3" s="1852" t="s">
        <v>1517</v>
      </c>
      <c r="B3" s="1853">
        <f ca="1">IF(ISERROR(B2*10000/F43),0,ROUND(B2*10000/F43,0))</f>
        <v>37330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284</v>
      </c>
      <c r="D5" s="1825" t="s">
        <v>1402</v>
      </c>
      <c r="E5" s="1296"/>
      <c r="F5" s="1297"/>
      <c r="G5" s="1854"/>
      <c r="H5" s="344">
        <v>1</v>
      </c>
      <c r="I5" s="345" t="s">
        <v>1401</v>
      </c>
      <c r="J5" s="1295">
        <f ca="1">J6+J10+J12</f>
        <v>0</v>
      </c>
      <c r="K5" s="1825" t="s">
        <v>1402</v>
      </c>
      <c r="L5" s="1296"/>
      <c r="M5" s="1297"/>
    </row>
    <row r="6" spans="1:37" ht="18" customHeight="1">
      <c r="A6" s="1294" t="s">
        <v>1035</v>
      </c>
      <c r="B6" s="3227" t="s">
        <v>1403</v>
      </c>
      <c r="C6" s="1299">
        <f ca="1">ROUND(F6*F8*F7*(1-F9)/10000,0)</f>
        <v>284</v>
      </c>
      <c r="D6" s="164" t="s">
        <v>3035</v>
      </c>
      <c r="E6" s="347" t="s">
        <v>1405</v>
      </c>
      <c r="F6" s="348">
        <f ca="1">INDIRECT("'数据-取费表'!u"&amp;$G$1)</f>
        <v>6</v>
      </c>
      <c r="G6" s="1854"/>
      <c r="H6" s="1294" t="s">
        <v>1035</v>
      </c>
      <c r="I6" s="3227" t="s">
        <v>1403</v>
      </c>
      <c r="J6" s="346">
        <f ca="1">ROUND(M6*M8*M7*(1-M9)/10000,0)</f>
        <v>0</v>
      </c>
      <c r="K6" s="164" t="s">
        <v>3034</v>
      </c>
      <c r="L6" s="347" t="s">
        <v>1405</v>
      </c>
      <c r="M6" s="348">
        <f ca="1">INDIRECT("'数据-取费表'!z"&amp;$G$1)</f>
        <v>0</v>
      </c>
    </row>
    <row r="7" spans="1:37" ht="18" customHeight="1">
      <c r="A7" s="1298"/>
      <c r="B7" s="3228"/>
      <c r="C7" s="1300"/>
      <c r="D7" s="352"/>
      <c r="E7" s="1301" t="s">
        <v>1406</v>
      </c>
      <c r="F7" s="348">
        <f ca="1">IF(INDIRECT("'数据-取费表'!ah"&amp;$G$1)="",INDIRECT("'数据-取费表'!k"&amp;$G$1),INDIRECT("'数据-取费表'!ah"&amp;$G$1))</f>
        <v>1443.06</v>
      </c>
      <c r="G7" s="1854"/>
      <c r="H7" s="349"/>
      <c r="I7" s="3228"/>
      <c r="J7" s="351"/>
      <c r="K7" s="352"/>
      <c r="L7" s="347" t="s">
        <v>1406</v>
      </c>
      <c r="M7" s="348">
        <f ca="1">F7</f>
        <v>1443.06</v>
      </c>
    </row>
    <row r="8" spans="1:37" ht="18" customHeight="1">
      <c r="A8" s="349"/>
      <c r="B8" s="3228"/>
      <c r="C8" s="351"/>
      <c r="D8" s="352"/>
      <c r="E8" s="347" t="s">
        <v>1407</v>
      </c>
      <c r="F8" s="348">
        <f ca="1">INDIRECT("'数据-取费表'!ai"&amp;$G$1)</f>
        <v>365</v>
      </c>
      <c r="G8" s="1854"/>
      <c r="H8" s="349"/>
      <c r="I8" s="3228"/>
      <c r="J8" s="351"/>
      <c r="K8" s="352"/>
      <c r="L8" s="347" t="s">
        <v>1407</v>
      </c>
      <c r="M8" s="348">
        <f ca="1">INDIRECT("'数据-取费表'!ai"&amp;$G$1)</f>
        <v>365</v>
      </c>
    </row>
    <row r="9" spans="1:37" ht="18" customHeight="1">
      <c r="A9" s="349"/>
      <c r="B9" s="3229"/>
      <c r="C9" s="351"/>
      <c r="D9" s="352"/>
      <c r="E9" s="347" t="s">
        <v>1408</v>
      </c>
      <c r="F9" s="357">
        <f ca="1">INDIRECT("'数据-取费表'!w"&amp;$G$1)</f>
        <v>0.1</v>
      </c>
      <c r="G9" s="1854"/>
      <c r="H9" s="349"/>
      <c r="I9" s="3229"/>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3044</v>
      </c>
      <c r="E10" s="358" t="s">
        <v>1410</v>
      </c>
      <c r="F10" s="1369" t="s">
        <v>3284</v>
      </c>
      <c r="G10" s="1854"/>
      <c r="H10" s="1294" t="s">
        <v>1039</v>
      </c>
      <c r="I10" s="1826" t="s">
        <v>1409</v>
      </c>
      <c r="J10" s="346">
        <f ca="1">ROUND(IF(M10="押一",J6/12*M11,IF(M10="押二",J6/12*2*M11,IF(M10="押三",J6/12*3*M11,J11*M11))),0)</f>
        <v>0</v>
      </c>
      <c r="K10" s="1827" t="s">
        <v>3043</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678</v>
      </c>
      <c r="D13" s="1334" t="s">
        <v>1415</v>
      </c>
      <c r="E13" s="1334" t="s">
        <v>1416</v>
      </c>
      <c r="F13" s="1335">
        <f ca="1">INDIRECT("'数据-取费表'!y"&amp;$G$1)</f>
        <v>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442</v>
      </c>
      <c r="D14" s="1803" t="s">
        <v>1418</v>
      </c>
      <c r="E14" s="1797"/>
      <c r="F14" s="364"/>
      <c r="G14" s="1854"/>
      <c r="H14" s="1204" t="s">
        <v>1035</v>
      </c>
      <c r="I14" s="347" t="s">
        <v>1419</v>
      </c>
      <c r="J14" s="24">
        <f ca="1">C29</f>
        <v>678</v>
      </c>
      <c r="K14" s="15"/>
      <c r="L14" s="982"/>
      <c r="M14" s="983"/>
    </row>
    <row r="15" spans="1:37" s="1861" customFormat="1" ht="18" customHeight="1" thickBot="1">
      <c r="A15" s="1204" t="s">
        <v>1036</v>
      </c>
      <c r="B15" s="347" t="s">
        <v>1420</v>
      </c>
      <c r="C15" s="24">
        <f ca="1">ROUND(C14*F15,0)</f>
        <v>13</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17</v>
      </c>
      <c r="K16" s="1340" t="s">
        <v>1425</v>
      </c>
      <c r="L16" s="1341"/>
      <c r="M16" s="1297"/>
    </row>
    <row r="17" spans="1:37" s="1861" customFormat="1" ht="18" customHeight="1">
      <c r="A17" s="1204" t="s">
        <v>1390</v>
      </c>
      <c r="B17" s="347" t="s">
        <v>1426</v>
      </c>
      <c r="C17" s="24">
        <f ca="1">ROUND(F17*(F43+INDIRECT("'数据-取费表'!S"&amp;$G$1))/10000,0)</f>
        <v>30</v>
      </c>
      <c r="D17" s="347" t="s">
        <v>1427</v>
      </c>
      <c r="E17" s="347" t="s">
        <v>1428</v>
      </c>
      <c r="F17" s="26">
        <f>'数据-取费表'!B35</f>
        <v>200</v>
      </c>
      <c r="G17" s="1857"/>
      <c r="H17" s="1204" t="s">
        <v>1035</v>
      </c>
      <c r="I17" s="347" t="s">
        <v>1429</v>
      </c>
      <c r="J17" s="24">
        <f ca="1">ROUND(IF(项目基本情况!B11="自然人",J5*M17,J18+J19+J20),1)</f>
        <v>6.5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7</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492</v>
      </c>
      <c r="D19" s="140" t="s">
        <v>1436</v>
      </c>
      <c r="E19" s="1821"/>
      <c r="F19" s="26"/>
      <c r="G19" s="1854"/>
      <c r="H19" s="1204" t="s">
        <v>1036</v>
      </c>
      <c r="I19" s="347" t="s">
        <v>1437</v>
      </c>
      <c r="J19" s="24">
        <f ca="1">IF(K19="按租金收入计税",ROUND(J5*M19,2),ROUND(C29*M19*0.7,2))</f>
        <v>5.7</v>
      </c>
      <c r="K19" s="1831" t="s">
        <v>1438</v>
      </c>
      <c r="L19" s="347" t="s">
        <v>1422</v>
      </c>
      <c r="M19" s="367">
        <f>IF(K19="按租金收入计税",'数据-取费表'!B51,'数据-取费表'!B50)</f>
        <v>1.2E-2</v>
      </c>
    </row>
    <row r="20" spans="1:37" s="1861" customFormat="1" ht="18" customHeight="1">
      <c r="A20" s="1204" t="s">
        <v>1039</v>
      </c>
      <c r="B20" s="347" t="s">
        <v>1439</v>
      </c>
      <c r="C20" s="24">
        <f ca="1">ROUND(C19*F20,0)</f>
        <v>10</v>
      </c>
      <c r="D20" s="369" t="s">
        <v>1440</v>
      </c>
      <c r="E20" s="347" t="s">
        <v>1422</v>
      </c>
      <c r="F20" s="367">
        <f>'数据-取费表'!B37</f>
        <v>0.02</v>
      </c>
      <c r="G20" s="1857"/>
      <c r="H20" s="1204" t="s">
        <v>1389</v>
      </c>
      <c r="I20" s="164" t="s">
        <v>1441</v>
      </c>
      <c r="J20" s="25">
        <f ca="1">ROUND(M20*M21/10000,2)</f>
        <v>0.83</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691.06000000000006</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10.199999999999999</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23</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2E-3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-17</v>
      </c>
      <c r="K25" s="1348" t="s">
        <v>1464</v>
      </c>
      <c r="L25" s="1349"/>
      <c r="M25" s="1350"/>
    </row>
    <row r="26" spans="1:37">
      <c r="A26" s="1204" t="s">
        <v>1034</v>
      </c>
      <c r="B26" s="347" t="s">
        <v>1465</v>
      </c>
      <c r="C26" s="24">
        <f ca="1">ROUND((C19+C20)*F26,0)</f>
        <v>100</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678</v>
      </c>
      <c r="D29" s="1345"/>
      <c r="E29" s="1343"/>
      <c r="F29" s="1346"/>
      <c r="G29" s="1857"/>
      <c r="H29" s="380" t="s">
        <v>1033</v>
      </c>
      <c r="I29" s="381" t="s">
        <v>1479</v>
      </c>
      <c r="J29" s="382">
        <f ca="1">ROUND(J26/(1+F40)^F41,0)</f>
        <v>0</v>
      </c>
      <c r="K29" s="383" t="s">
        <v>1480</v>
      </c>
      <c r="L29" s="384"/>
      <c r="M29" s="385">
        <f ca="1">INDIRECT("'数据-取费表'!k"&amp;$G$1)</f>
        <v>1443.06</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39</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21.7</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15.15</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5.7</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0.83</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691.06000000000006</v>
      </c>
      <c r="G35" s="1854"/>
      <c r="H35" s="745"/>
      <c r="I35" s="1863"/>
      <c r="J35" s="1864"/>
      <c r="K35" s="1865"/>
      <c r="L35" s="1862"/>
      <c r="M35" s="1862"/>
    </row>
    <row r="36" spans="1:18" ht="18" customHeight="1">
      <c r="A36" s="1355" t="s">
        <v>1039</v>
      </c>
      <c r="B36" s="347" t="s">
        <v>1449</v>
      </c>
      <c r="C36" s="24">
        <f ca="1">ROUND(C29*F36,1)</f>
        <v>10.199999999999999</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1.4</v>
      </c>
      <c r="D37" s="1801" t="s">
        <v>1454</v>
      </c>
      <c r="E37" s="347" t="s">
        <v>1455</v>
      </c>
      <c r="F37" s="376">
        <f ca="1">INDIRECT("'数据-取费表'!Al"&amp;$G$1)</f>
        <v>2E-3</v>
      </c>
      <c r="G37" s="1854"/>
      <c r="H37" s="1862"/>
      <c r="I37" s="1863"/>
      <c r="J37" s="1864"/>
      <c r="K37" s="751"/>
      <c r="L37" s="1862"/>
      <c r="M37" s="1862"/>
    </row>
    <row r="38" spans="1:18" ht="18" customHeight="1" thickBot="1">
      <c r="A38" s="1342" t="s">
        <v>1393</v>
      </c>
      <c r="B38" s="1343" t="s">
        <v>1439</v>
      </c>
      <c r="C38" s="1344">
        <f ca="1">ROUND(C5*F38,1)</f>
        <v>5.7</v>
      </c>
      <c r="D38" s="1345" t="s">
        <v>1459</v>
      </c>
      <c r="E38" s="1343" t="s">
        <v>1455</v>
      </c>
      <c r="F38" s="1339">
        <f ca="1">INDIRECT("'数据-取费表'!Am"&amp;$G$1)</f>
        <v>0.02</v>
      </c>
      <c r="G38" s="1854"/>
      <c r="H38" s="1862"/>
      <c r="I38" s="1863"/>
      <c r="J38" s="1864"/>
      <c r="K38" s="1868"/>
      <c r="L38" s="1862"/>
      <c r="M38" s="1862"/>
    </row>
    <row r="39" spans="1:18" ht="24.6" customHeight="1" thickTop="1">
      <c r="A39" s="1332" t="s">
        <v>1031</v>
      </c>
      <c r="B39" s="1347" t="s">
        <v>1483</v>
      </c>
      <c r="C39" s="355">
        <f ca="1">C5-C30</f>
        <v>245</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5387</v>
      </c>
      <c r="D40" s="370" t="s">
        <v>1469</v>
      </c>
      <c r="E40" s="347" t="s">
        <v>1470</v>
      </c>
      <c r="F40" s="357">
        <f ca="1">INDIRECT("'数据-取费表'!I"&amp;$G$1)</f>
        <v>0.06</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37.54</v>
      </c>
      <c r="G41" s="1854"/>
      <c r="H41" s="732"/>
      <c r="I41" s="1863"/>
      <c r="J41" s="1864"/>
      <c r="K41" s="751"/>
      <c r="L41" s="732"/>
      <c r="M41" s="732"/>
    </row>
    <row r="42" spans="1:18" ht="18" customHeight="1">
      <c r="A42" s="353"/>
      <c r="B42" s="354"/>
      <c r="C42" s="355"/>
      <c r="D42" s="373"/>
      <c r="E42" s="347" t="s">
        <v>1477</v>
      </c>
      <c r="F42" s="357">
        <f ca="1">INDIRECT("'数据-取费表'!v"&amp;$G$1)</f>
        <v>0.03</v>
      </c>
      <c r="G42" s="1854"/>
      <c r="H42" s="732"/>
      <c r="I42" s="1863"/>
      <c r="J42" s="1864"/>
      <c r="K42" s="751"/>
      <c r="L42" s="732"/>
      <c r="M42" s="732"/>
    </row>
    <row r="43" spans="1:18" ht="18" customHeight="1" thickBot="1">
      <c r="A43" s="380" t="s">
        <v>1033</v>
      </c>
      <c r="B43" s="381" t="s">
        <v>1487</v>
      </c>
      <c r="C43" s="382">
        <f ca="1">ROUND(C40*10000/F43,0)</f>
        <v>37330</v>
      </c>
      <c r="D43" s="383" t="s">
        <v>1488</v>
      </c>
      <c r="E43" s="384" t="s">
        <v>1489</v>
      </c>
      <c r="F43" s="385">
        <f ca="1">INDIRECT("'数据-取费表'!k"&amp;$G$1)</f>
        <v>1443.06</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-5653</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3240</v>
      </c>
      <c r="K47" s="1885" t="s">
        <v>1527</v>
      </c>
      <c r="L47" s="1886">
        <f ca="1">INDIRECT("'数据-取费表'!d"&amp;$G$1)</f>
        <v>40</v>
      </c>
      <c r="M47" s="1841" t="str">
        <f>IF(ISNUMBER(FIND("住宅",C1)),"住宅","非住宅")</f>
        <v>非住宅</v>
      </c>
      <c r="O47" s="1887" t="s">
        <v>1040</v>
      </c>
      <c r="P47" s="1888" t="s">
        <v>1528</v>
      </c>
      <c r="Q47" s="1889">
        <f ca="1">C40+J29</f>
        <v>5387</v>
      </c>
      <c r="R47" s="1889" t="s">
        <v>1529</v>
      </c>
    </row>
    <row r="48" spans="1:18" s="1845" customFormat="1" ht="28.5" thickBot="1">
      <c r="A48" s="1363" t="s">
        <v>1135</v>
      </c>
      <c r="B48" s="345" t="s">
        <v>1401</v>
      </c>
      <c r="C48" s="1820">
        <f ca="1">C49+C53+C55</f>
        <v>0</v>
      </c>
      <c r="D48" s="1365"/>
      <c r="E48" s="1366"/>
      <c r="F48" s="1184"/>
      <c r="G48" s="792"/>
      <c r="H48" s="793"/>
      <c r="I48" s="1890" t="s">
        <v>1530</v>
      </c>
      <c r="J48" s="1891" t="s">
        <v>3285</v>
      </c>
      <c r="K48" s="1892" t="s">
        <v>1531</v>
      </c>
      <c r="L48" s="1893">
        <f ca="1">INDIRECT("'数据-取费表'!f"&amp;$G$1)</f>
        <v>38.54</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3036</v>
      </c>
      <c r="E49" s="1833" t="s">
        <v>1491</v>
      </c>
      <c r="F49" s="1284"/>
      <c r="G49" s="1894"/>
      <c r="H49" s="793"/>
      <c r="I49" s="1890" t="s">
        <v>1534</v>
      </c>
      <c r="J49" s="1895">
        <v>2020</v>
      </c>
      <c r="K49" s="1892" t="s">
        <v>1535</v>
      </c>
      <c r="L49" s="1896"/>
      <c r="O49" s="1897" t="s">
        <v>1042</v>
      </c>
      <c r="P49" s="1888" t="s">
        <v>1536</v>
      </c>
      <c r="Q49" s="1889">
        <f ca="1">C29</f>
        <v>678</v>
      </c>
      <c r="R49" s="1889" t="s">
        <v>1529</v>
      </c>
    </row>
    <row r="50" spans="1:18" s="1845" customFormat="1" ht="13.5" thickBot="1">
      <c r="A50" s="1198"/>
      <c r="B50" s="1201"/>
      <c r="C50" s="1371"/>
      <c r="D50" s="1175"/>
      <c r="E50" s="1280" t="s">
        <v>1406</v>
      </c>
      <c r="F50" s="1281">
        <f ca="1">F7</f>
        <v>1443.06</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62</v>
      </c>
      <c r="K51" s="1903" t="s">
        <v>1541</v>
      </c>
      <c r="L51" s="1904">
        <f ca="1">ROUND(-PV(INDIRECT("'数据-取费表'!h"&amp;$G$1),L48,(C39-C13*C76),0),0)</f>
        <v>3176</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37.54</v>
      </c>
      <c r="R52" s="1889" t="s">
        <v>1546</v>
      </c>
    </row>
    <row r="53" spans="1:18" s="1845" customFormat="1" ht="24.75" thickBot="1">
      <c r="A53" s="1408" t="s">
        <v>1137</v>
      </c>
      <c r="B53" s="1834" t="s">
        <v>1409</v>
      </c>
      <c r="C53" s="361">
        <f ca="1">ROUND(IF(F53="押一",C49/12*F11,IF(F53="押二",C49/12*2*F11,IF(F53="押三",C49/12*3*F11,C54*F11))),0)</f>
        <v>0</v>
      </c>
      <c r="D53" s="1827" t="s">
        <v>3043</v>
      </c>
      <c r="E53" s="358" t="s">
        <v>1410</v>
      </c>
      <c r="F53" s="1369"/>
      <c r="I53" s="1908" t="s">
        <v>1547</v>
      </c>
      <c r="J53" s="1909">
        <f ca="1">IF(M47="住宅",J51,IF(D1="——",MIN(J51,L48),IF(D1="在建（套用方法）",MIN(J51,L48-'数据-取费表'!B24),IF(D1="土地（套用方法）",MIN(J51,L48-'数据-取费表'!B20)))))</f>
        <v>37.54</v>
      </c>
      <c r="K53" s="3230" t="s">
        <v>1548</v>
      </c>
      <c r="L53" s="3231"/>
      <c r="O53" s="1887" t="s">
        <v>1046</v>
      </c>
      <c r="P53" s="1888" t="s">
        <v>1549</v>
      </c>
      <c r="Q53" s="1889">
        <f ca="1">Q47+Q48</f>
        <v>5387</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678</v>
      </c>
      <c r="D56" s="1917"/>
      <c r="E56" s="1918"/>
      <c r="F56" s="1910"/>
      <c r="I56" s="1919" t="s">
        <v>1554</v>
      </c>
      <c r="J56" s="1920" t="s">
        <v>3056</v>
      </c>
      <c r="K56" s="1890" t="s">
        <v>1555</v>
      </c>
      <c r="L56" s="1893" t="str">
        <f ca="1">IF(L48&lt;J51,"——",L48-J53)</f>
        <v>——</v>
      </c>
      <c r="O56" s="1887" t="s">
        <v>1040</v>
      </c>
      <c r="P56" s="1888" t="s">
        <v>1528</v>
      </c>
      <c r="Q56" s="1889">
        <f ca="1">C40+J29</f>
        <v>5387</v>
      </c>
      <c r="R56" s="1889" t="s">
        <v>1529</v>
      </c>
    </row>
    <row r="57" spans="1:18" s="1845" customFormat="1" ht="24.75" thickBot="1">
      <c r="A57" s="1921"/>
      <c r="B57" s="1172" t="s">
        <v>1478</v>
      </c>
      <c r="C57" s="282">
        <f ca="1">C29</f>
        <v>678</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18</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6.5</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5.7</v>
      </c>
      <c r="D61" s="1831" t="s">
        <v>1438</v>
      </c>
      <c r="E61" s="1172" t="s">
        <v>1494</v>
      </c>
      <c r="F61" s="367">
        <f t="shared" si="0"/>
        <v>1.2E-2</v>
      </c>
      <c r="I61" s="1931"/>
      <c r="J61" s="1931"/>
      <c r="K61" s="1931"/>
      <c r="L61" s="1931"/>
      <c r="O61" s="1897" t="s">
        <v>1045</v>
      </c>
      <c r="P61" s="1888" t="str">
        <f>K59</f>
        <v>续建工期及建筑物耐用年限下的土地年期修正系数Kn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0.83</v>
      </c>
      <c r="D62" s="1187" t="s">
        <v>1497</v>
      </c>
      <c r="E62" s="1172" t="s">
        <v>1498</v>
      </c>
      <c r="F62" s="371">
        <f t="shared" si="0"/>
        <v>12</v>
      </c>
      <c r="I62" s="1932" t="s">
        <v>1570</v>
      </c>
      <c r="J62" s="1933" t="s">
        <v>1571</v>
      </c>
      <c r="K62" s="1933" t="s">
        <v>1572</v>
      </c>
      <c r="L62" s="1933" t="s">
        <v>1573</v>
      </c>
      <c r="M62" s="1934" t="s">
        <v>1574</v>
      </c>
      <c r="O62" s="1887" t="s">
        <v>1046</v>
      </c>
      <c r="P62" s="1888" t="s">
        <v>1575</v>
      </c>
      <c r="Q62" s="1889">
        <f ca="1">Q56+Q57</f>
        <v>5387</v>
      </c>
      <c r="R62" s="1889" t="s">
        <v>1047</v>
      </c>
    </row>
    <row r="63" spans="1:18" s="1845" customFormat="1" ht="13.5" thickBot="1">
      <c r="A63" s="372"/>
      <c r="B63" s="1178"/>
      <c r="C63" s="29"/>
      <c r="D63" s="1188"/>
      <c r="E63" s="1172" t="s">
        <v>1499</v>
      </c>
      <c r="F63" s="348">
        <f t="shared" ca="1" si="0"/>
        <v>691.06000000000006</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10.199999999999999</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1.4</v>
      </c>
      <c r="D65" s="1186" t="s">
        <v>1454</v>
      </c>
      <c r="E65" s="1172" t="s">
        <v>1455</v>
      </c>
      <c r="F65" s="376">
        <f t="shared" ca="1" si="0"/>
        <v>2E-3</v>
      </c>
      <c r="I65" s="1932" t="s">
        <v>1579</v>
      </c>
      <c r="J65" s="1933">
        <v>40</v>
      </c>
      <c r="K65" s="1933">
        <v>30</v>
      </c>
      <c r="L65" s="1933">
        <v>50</v>
      </c>
      <c r="M65" s="1935">
        <v>0.02</v>
      </c>
      <c r="O65" s="1887" t="s">
        <v>1040</v>
      </c>
      <c r="P65" s="1888" t="s">
        <v>1580</v>
      </c>
      <c r="Q65" s="1889">
        <f ca="1">C40+J29</f>
        <v>5387</v>
      </c>
      <c r="R65" s="1889" t="s">
        <v>1529</v>
      </c>
    </row>
    <row r="66" spans="1:18" s="1845" customFormat="1" ht="16.5" thickBot="1">
      <c r="A66" s="1204" t="s">
        <v>1504</v>
      </c>
      <c r="B66" s="1172" t="s">
        <v>1439</v>
      </c>
      <c r="C66" s="24">
        <f ca="1">ROUND(C48*F66,1)</f>
        <v>0</v>
      </c>
      <c r="D66" s="1186" t="s">
        <v>1505</v>
      </c>
      <c r="E66" s="1172" t="s">
        <v>1422</v>
      </c>
      <c r="F66" s="357">
        <f t="shared" ca="1" si="0"/>
        <v>0.02</v>
      </c>
      <c r="O66" s="1887" t="s">
        <v>1041</v>
      </c>
      <c r="P66" s="1888" t="s">
        <v>1558</v>
      </c>
      <c r="Q66" s="1889">
        <f ca="1">L60</f>
        <v>0</v>
      </c>
      <c r="R66" s="1889" t="s">
        <v>1581</v>
      </c>
    </row>
    <row r="67" spans="1:18" s="1845" customFormat="1" ht="16.5" thickBot="1">
      <c r="A67" s="1179" t="s">
        <v>1031</v>
      </c>
      <c r="B67" s="1189" t="s">
        <v>1463</v>
      </c>
      <c r="C67" s="361">
        <f ca="1">C48-C58</f>
        <v>-18</v>
      </c>
      <c r="D67" s="1185" t="s">
        <v>1464</v>
      </c>
      <c r="E67" s="1190"/>
      <c r="F67" s="1191"/>
      <c r="O67" s="1897" t="s">
        <v>1042</v>
      </c>
      <c r="P67" s="1888" t="s">
        <v>1562</v>
      </c>
      <c r="Q67" s="1936">
        <f ca="1">L51</f>
        <v>3176</v>
      </c>
      <c r="R67" s="1889" t="s">
        <v>1582</v>
      </c>
    </row>
    <row r="68" spans="1:18" s="1845" customFormat="1" ht="16.5" thickBot="1">
      <c r="A68" s="1169" t="s">
        <v>1032</v>
      </c>
      <c r="B68" s="1170" t="s">
        <v>1485</v>
      </c>
      <c r="C68" s="346">
        <f ca="1">ROUND(C67*(1-((1+F70)/(1+F68))^F69)/(F68-F70),0)</f>
        <v>-266</v>
      </c>
      <c r="D68" s="1187" t="s">
        <v>1469</v>
      </c>
      <c r="E68" s="1172" t="s">
        <v>1470</v>
      </c>
      <c r="F68" s="357">
        <f ca="1">F40</f>
        <v>0.06</v>
      </c>
      <c r="O68" s="1897" t="s">
        <v>1043</v>
      </c>
      <c r="P68" s="1937" t="s">
        <v>1583</v>
      </c>
      <c r="Q68" s="1889">
        <f ca="1">ROUND(Q69-Q70*Q71,0)</f>
        <v>187</v>
      </c>
      <c r="R68" s="1889" t="s">
        <v>1051</v>
      </c>
    </row>
    <row r="69" spans="1:18" s="1845" customFormat="1" ht="13.5" thickBot="1">
      <c r="A69" s="1173"/>
      <c r="B69" s="1174"/>
      <c r="C69" s="351"/>
      <c r="D69" s="1192" t="s">
        <v>1473</v>
      </c>
      <c r="E69" s="1172" t="s">
        <v>1474</v>
      </c>
      <c r="F69" s="379">
        <f ca="1">F41</f>
        <v>37.54</v>
      </c>
      <c r="O69" s="1897" t="s">
        <v>1048</v>
      </c>
      <c r="P69" s="1937" t="s">
        <v>1584</v>
      </c>
      <c r="Q69" s="1889">
        <f ca="1">C39</f>
        <v>245</v>
      </c>
      <c r="R69" s="1889" t="s">
        <v>1529</v>
      </c>
    </row>
    <row r="70" spans="1:18" s="1845" customFormat="1" ht="13.5" thickBot="1">
      <c r="A70" s="1176"/>
      <c r="B70" s="1177"/>
      <c r="C70" s="355"/>
      <c r="D70" s="1188"/>
      <c r="E70" s="1172" t="s">
        <v>1477</v>
      </c>
      <c r="F70" s="1278"/>
      <c r="O70" s="1897" t="s">
        <v>1049</v>
      </c>
      <c r="P70" s="1937" t="s">
        <v>1585</v>
      </c>
      <c r="Q70" s="1889">
        <f ca="1">C13</f>
        <v>678</v>
      </c>
      <c r="R70" s="1889" t="s">
        <v>1529</v>
      </c>
    </row>
    <row r="71" spans="1:18" s="1845" customFormat="1" ht="13.5" thickBot="1">
      <c r="A71" s="1193" t="s">
        <v>1033</v>
      </c>
      <c r="B71" s="1194" t="s">
        <v>1487</v>
      </c>
      <c r="C71" s="382">
        <f ca="1">ROUND(C68*10000/F71,0)</f>
        <v>-1843</v>
      </c>
      <c r="D71" s="1195" t="s">
        <v>1488</v>
      </c>
      <c r="E71" s="1196" t="s">
        <v>1489</v>
      </c>
      <c r="F71" s="385">
        <f ca="1">F43</f>
        <v>1443.06</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续建工期及建筑物耐用年限下的土地年期修正系数Kn</v>
      </c>
      <c r="Q74" s="1889" t="e">
        <f ca="1">L59</f>
        <v>#DIV/0!</v>
      </c>
      <c r="R74" s="1889" t="s">
        <v>1569</v>
      </c>
    </row>
    <row r="75" spans="1:18" ht="13.5" thickBot="1">
      <c r="A75" s="1845"/>
      <c r="B75" s="386" t="s">
        <v>1506</v>
      </c>
      <c r="C75" s="387">
        <f ca="1">ROUND(C13*C76,0)</f>
        <v>58</v>
      </c>
      <c r="D75" s="1845"/>
      <c r="E75" s="1845"/>
      <c r="F75" s="1845"/>
      <c r="K75" s="1871"/>
      <c r="L75" s="1845"/>
      <c r="O75" s="1887" t="s">
        <v>1046</v>
      </c>
      <c r="P75" s="1888" t="s">
        <v>1549</v>
      </c>
      <c r="Q75" s="1889">
        <f ca="1">Q65+Q66</f>
        <v>5387</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0.76300000000000001</v>
      </c>
    </row>
    <row r="80" spans="1:18">
      <c r="B80" s="386" t="s">
        <v>1511</v>
      </c>
      <c r="C80" s="318">
        <f ca="1">ROUND(C75/C39,3)</f>
        <v>0.23699999999999999</v>
      </c>
    </row>
    <row r="81" spans="2:3">
      <c r="B81" s="314" t="s">
        <v>1512</v>
      </c>
      <c r="C81" s="282"/>
    </row>
    <row r="82" spans="2:3">
      <c r="B82" s="317" t="s">
        <v>1513</v>
      </c>
      <c r="C82" s="319">
        <f ca="1">1-C83</f>
        <v>0.874</v>
      </c>
    </row>
    <row r="83" spans="2:3">
      <c r="B83" s="317" t="s">
        <v>1514</v>
      </c>
      <c r="C83" s="318">
        <f ca="1">ROUND(C13/C40,3)</f>
        <v>0.126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4" priority="56">
      <formula>$L$48&gt;$J$51</formula>
    </cfRule>
  </conditionalFormatting>
  <conditionalFormatting sqref="I55 I60">
    <cfRule type="expression" dxfId="103" priority="57">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12</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27" t="s">
        <v>1403</v>
      </c>
      <c r="C6" s="1299">
        <f ca="1">ROUND(F6*F8*F7*(1-F9),0)</f>
        <v>0</v>
      </c>
      <c r="D6" s="164" t="s">
        <v>3032</v>
      </c>
      <c r="E6" s="347" t="s">
        <v>1405</v>
      </c>
      <c r="F6" s="348">
        <f ca="1">INDIRECT("'数据-取费表'!u"&amp;$G$1)</f>
        <v>0</v>
      </c>
      <c r="G6" s="1854"/>
      <c r="H6" s="1294" t="s">
        <v>1035</v>
      </c>
      <c r="I6" s="3227" t="s">
        <v>1403</v>
      </c>
      <c r="J6" s="346">
        <f ca="1">ROUND(M6*M8*M7*(1-M9),0)</f>
        <v>0</v>
      </c>
      <c r="K6" s="1837" t="s">
        <v>3033</v>
      </c>
      <c r="L6" s="347" t="s">
        <v>1405</v>
      </c>
      <c r="M6" s="348">
        <f ca="1">INDIRECT("'数据-取费表'!z"&amp;$G$1)</f>
        <v>0</v>
      </c>
    </row>
    <row r="7" spans="1:37" ht="18" customHeight="1">
      <c r="A7" s="1298"/>
      <c r="B7" s="3228"/>
      <c r="C7" s="1300"/>
      <c r="D7" s="352"/>
      <c r="E7" s="1301" t="s">
        <v>1406</v>
      </c>
      <c r="F7" s="348">
        <f ca="1">IF(INDIRECT("'数据-取费表'!ah"&amp;$G$1)="",INDIRECT("'数据-取费表'!k"&amp;$G$1),INDIRECT("'数据-取费表'!ah"&amp;$G$1))</f>
        <v>0</v>
      </c>
      <c r="G7" s="1854"/>
      <c r="H7" s="349"/>
      <c r="I7" s="3228"/>
      <c r="J7" s="351"/>
      <c r="K7" s="352"/>
      <c r="L7" s="347" t="s">
        <v>1406</v>
      </c>
      <c r="M7" s="348">
        <f ca="1">F7</f>
        <v>0</v>
      </c>
    </row>
    <row r="8" spans="1:37" ht="18" customHeight="1">
      <c r="A8" s="349"/>
      <c r="B8" s="3228"/>
      <c r="C8" s="351"/>
      <c r="D8" s="352"/>
      <c r="E8" s="347" t="s">
        <v>1407</v>
      </c>
      <c r="F8" s="348">
        <f ca="1">INDIRECT("'数据-取费表'!ai"&amp;$G$1)</f>
        <v>0</v>
      </c>
      <c r="G8" s="1854"/>
      <c r="H8" s="349"/>
      <c r="I8" s="3228"/>
      <c r="J8" s="351"/>
      <c r="K8" s="352"/>
      <c r="L8" s="347" t="s">
        <v>1407</v>
      </c>
      <c r="M8" s="348">
        <f ca="1">INDIRECT("'数据-取费表'!ai"&amp;$G$1)</f>
        <v>0</v>
      </c>
    </row>
    <row r="9" spans="1:37" ht="18" customHeight="1">
      <c r="A9" s="349"/>
      <c r="B9" s="3229"/>
      <c r="C9" s="351"/>
      <c r="D9" s="352"/>
      <c r="E9" s="347" t="s">
        <v>1408</v>
      </c>
      <c r="F9" s="357">
        <f ca="1">INDIRECT("'数据-取费表'!w"&amp;$G$1)</f>
        <v>0</v>
      </c>
      <c r="G9" s="1854"/>
      <c r="H9" s="349"/>
      <c r="I9" s="3229"/>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3043</v>
      </c>
      <c r="E10" s="358" t="s">
        <v>1410</v>
      </c>
      <c r="F10" s="1369"/>
      <c r="G10" s="1854"/>
      <c r="H10" s="1294" t="s">
        <v>1039</v>
      </c>
      <c r="I10" s="1826" t="s">
        <v>1409</v>
      </c>
      <c r="J10" s="346">
        <f ca="1">ROUND(IF(M10="押一",J6/12*M11,IF(M10="押二",J6/12*2*M11,IF(M10="押三",J6/12*3*M11,J11*M11))),0)</f>
        <v>0</v>
      </c>
      <c r="K10" s="1838" t="s">
        <v>3045</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3046</v>
      </c>
      <c r="E53" s="358" t="s">
        <v>1410</v>
      </c>
      <c r="F53" s="1369"/>
      <c r="I53" s="1908" t="s">
        <v>1547</v>
      </c>
      <c r="J53" s="1909" t="b">
        <f>IF(M47="住宅",J51,IF(D1="——",MIN(J51,L48),IF(D1="在建（套用方法）",MIN(J51,L48-'数据-取费表'!B24),IF(D1="土地（套用方法）",MIN(J51,L48-'数据-取费表'!B20)))))</f>
        <v>0</v>
      </c>
      <c r="K53" s="3230" t="s">
        <v>1548</v>
      </c>
      <c r="L53" s="3231"/>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12</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上海禾柃房地产开发有限公司：</v>
      </c>
    </row>
    <row r="4" spans="1:1" ht="36">
      <c r="A4" s="1951" t="str">
        <f>"受贵公司委托，我公司对"&amp;项目基本情况!S1&amp;"进行了预评估。"</f>
        <v>受贵公司委托，我公司对上海市崇明区长兴镇14街坊82/4丘出让国有建设用地使用权及在建建筑物房地产抵押价值进行了预评估。</v>
      </c>
    </row>
    <row r="5" spans="1:1" ht="18.75">
      <c r="A5" s="1952" t="s">
        <v>1612</v>
      </c>
    </row>
    <row r="6" spans="1:1" ht="18.75">
      <c r="A6" s="1953" t="s">
        <v>1613</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上海市崇明区长兴镇14街坊82/4丘出让国有建设用地使用权及在建建筑物房地产，为上海禾柃房地产开发有限公司所有。根据《不动产权证》[沪（2016）崇字不动产权第001648号]，估价对象（分摊）出让国有建设用地使用权面积为87410.87平方米，建筑面积为187098.36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上海市崇明区长兴镇14街坊82/4丘出让国有建设用地使用权及在建建筑物房地产,属上海禾柃房地产开发有限公司开发建设的，该项目尚在开发建设中。根据《不动产权证》[沪（2016）崇字不动产权第001648号]，估价对象（分摊）出让国有建设用地使用权面积为87410.87平方米，规划建筑面积为187098.36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为估价委托人在向大业信托有限责任公司办理贷款手续过程中，确定房地产抵押贷款额度提供参考依据而评估房地产抵押价值。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2018年4月12日（评估专业人员实地查勘之日）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12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本次评估采用的主估价方法为成本法和假设开发法。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3" t="s">
        <v>2527</v>
      </c>
      <c r="B1" s="2564"/>
      <c r="C1" s="2564"/>
      <c r="D1" s="2564"/>
      <c r="E1" s="2565"/>
    </row>
    <row r="2" spans="1:6" ht="15.75">
      <c r="A2" s="2566" t="s">
        <v>2331</v>
      </c>
      <c r="B2" s="2567">
        <f ca="1">SUMIF(B6:B13,"&lt;&gt;#ref!",B6:B13)</f>
        <v>18900</v>
      </c>
      <c r="C2" s="2568" t="s">
        <v>2520</v>
      </c>
      <c r="D2" s="2569" t="s">
        <v>2521</v>
      </c>
      <c r="E2" s="2570">
        <f>SUM(E6:E13)</f>
        <v>61501.26999999999</v>
      </c>
    </row>
    <row r="3" spans="1:6" ht="15.75">
      <c r="A3" s="2566" t="s">
        <v>1395</v>
      </c>
      <c r="B3" s="2567">
        <f ca="1">ROUND(B2*10000/E2,0)</f>
        <v>3073</v>
      </c>
      <c r="C3" s="2568" t="s">
        <v>2528</v>
      </c>
      <c r="D3" s="2571"/>
      <c r="E3" s="2572"/>
    </row>
    <row r="4" spans="1:6" ht="15.75">
      <c r="A4" s="2573"/>
      <c r="B4" s="2571"/>
      <c r="C4" s="2571"/>
      <c r="D4" s="2571"/>
      <c r="E4" s="2572"/>
    </row>
    <row r="5" spans="1:6" ht="15">
      <c r="A5" s="2574" t="s">
        <v>2522</v>
      </c>
      <c r="B5" s="3232" t="s">
        <v>2523</v>
      </c>
      <c r="C5" s="3232"/>
      <c r="D5" s="2575"/>
      <c r="E5" s="2576" t="s">
        <v>2524</v>
      </c>
      <c r="F5" s="2577" t="s">
        <v>2525</v>
      </c>
    </row>
    <row r="6" spans="1:6">
      <c r="A6" s="2578">
        <f>'数据-取费表'!AN6</f>
        <v>0</v>
      </c>
      <c r="B6" s="2577" t="e">
        <f ca="1">IF(F6="是",'数据-取费表'!AO6,0)</f>
        <v>#REF!</v>
      </c>
      <c r="C6" s="2568" t="s">
        <v>2520</v>
      </c>
      <c r="D6" s="2571"/>
      <c r="E6" s="2579">
        <f>IF(OR(A6=0,F6="否"),0,'数据-取费表'!K6+'数据-取费表'!S6)</f>
        <v>0</v>
      </c>
      <c r="F6" s="2580" t="s">
        <v>2526</v>
      </c>
    </row>
    <row r="7" spans="1:6">
      <c r="A7" s="2578">
        <f>'数据-取费表'!AN7</f>
        <v>0</v>
      </c>
      <c r="B7" s="2577" t="e">
        <f ca="1">IF(F7="是",'数据-取费表'!AO7,0)</f>
        <v>#REF!</v>
      </c>
      <c r="C7" s="2568" t="s">
        <v>2520</v>
      </c>
      <c r="D7" s="2571"/>
      <c r="E7" s="2579">
        <f>IF(OR(A7=0,F7="否"),0,'数据-取费表'!K7+'数据-取费表'!S7)</f>
        <v>0</v>
      </c>
      <c r="F7" s="2580" t="s">
        <v>2526</v>
      </c>
    </row>
    <row r="8" spans="1:6">
      <c r="A8" s="2578">
        <f>'数据-取费表'!AN8</f>
        <v>0</v>
      </c>
      <c r="B8" s="2577" t="e">
        <f ca="1">IF(F8="是",'数据-取费表'!AO8,0)</f>
        <v>#REF!</v>
      </c>
      <c r="C8" s="2568" t="s">
        <v>2520</v>
      </c>
      <c r="D8" s="2571"/>
      <c r="E8" s="2579">
        <f>IF(OR(A8=0,F8="否"),0,'数据-取费表'!K8+'数据-取费表'!S8)</f>
        <v>0</v>
      </c>
      <c r="F8" s="2580" t="s">
        <v>2526</v>
      </c>
    </row>
    <row r="9" spans="1:6">
      <c r="A9" s="2578" t="str">
        <f>'数据-取费表'!AN9</f>
        <v>收益法</v>
      </c>
      <c r="B9" s="2577">
        <f ca="1">IF(F9="是",'数据-取费表'!AO9,0)</f>
        <v>5387</v>
      </c>
      <c r="C9" s="2568" t="s">
        <v>2520</v>
      </c>
      <c r="D9" s="2571"/>
      <c r="E9" s="2579">
        <f>IF(OR(A9=0,F9="否"),0,'数据-取费表'!K9+'数据-取费表'!S9)</f>
        <v>1479.1599999999999</v>
      </c>
      <c r="F9" s="2580" t="s">
        <v>2526</v>
      </c>
    </row>
    <row r="10" spans="1:6">
      <c r="A10" s="2578" t="str">
        <f>'数据-取费表'!AN10</f>
        <v>收益法 (车位)</v>
      </c>
      <c r="B10" s="2577">
        <f ca="1">IF(F10="是",'数据-取费表'!AO10,0)</f>
        <v>13513</v>
      </c>
      <c r="C10" s="2568" t="s">
        <v>2520</v>
      </c>
      <c r="D10" s="2571"/>
      <c r="E10" s="2579">
        <f>IF(OR(A10=0,F10="否"),0,'数据-取费表'!K10+'数据-取费表'!S10)</f>
        <v>60022.109999999993</v>
      </c>
      <c r="F10" s="2580" t="s">
        <v>2526</v>
      </c>
    </row>
    <row r="11" spans="1:6">
      <c r="A11" s="2578">
        <f>'数据-取费表'!AN11</f>
        <v>0</v>
      </c>
      <c r="B11" s="2577" t="e">
        <f ca="1">IF(F11="是",'数据-取费表'!AO11,0)</f>
        <v>#REF!</v>
      </c>
      <c r="C11" s="2568" t="s">
        <v>2520</v>
      </c>
      <c r="D11" s="2571"/>
      <c r="E11" s="2579">
        <f>IF(OR(A11=0,F11="否"),0,'数据-取费表'!K11+'数据-取费表'!S11)</f>
        <v>0</v>
      </c>
      <c r="F11" s="2580" t="s">
        <v>2526</v>
      </c>
    </row>
    <row r="12" spans="1:6">
      <c r="A12" s="2578">
        <f>'数据-取费表'!AN12</f>
        <v>0</v>
      </c>
      <c r="B12" s="2577" t="e">
        <f ca="1">IF(F12="是",'数据-取费表'!AO12,0)</f>
        <v>#REF!</v>
      </c>
      <c r="C12" s="2568" t="s">
        <v>2520</v>
      </c>
      <c r="D12" s="2571"/>
      <c r="E12" s="2579">
        <f>IF(OR(A12=0,F12="否"),0,'数据-取费表'!K12+'数据-取费表'!S12)</f>
        <v>0</v>
      </c>
      <c r="F12" s="2580" t="s">
        <v>2526</v>
      </c>
    </row>
    <row r="13" spans="1:6" ht="15" thickBot="1">
      <c r="A13" s="2581">
        <f>'数据-取费表'!AN13</f>
        <v>0</v>
      </c>
      <c r="B13" s="2577" t="e">
        <f ca="1">IF(F13="是",'数据-取费表'!AO13,0)</f>
        <v>#REF!</v>
      </c>
      <c r="C13" s="2582" t="s">
        <v>2520</v>
      </c>
      <c r="D13" s="2583"/>
      <c r="E13" s="2579">
        <f>IF(OR(A13=0,F13="否"),0,'数据-取费表'!K13+'数据-取费表'!S13)</f>
        <v>0</v>
      </c>
      <c r="F13" s="2580"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3" t="s">
        <v>1076</v>
      </c>
      <c r="B1" s="3234"/>
      <c r="C1" s="3235"/>
      <c r="D1" s="3236">
        <f>SUM(I10,I15,I20,I21,I23)</f>
        <v>0</v>
      </c>
      <c r="E1" s="3236"/>
      <c r="F1" s="3236"/>
      <c r="G1" s="3236"/>
      <c r="H1" s="3236"/>
      <c r="I1" s="3237"/>
    </row>
    <row r="2" spans="1:9">
      <c r="A2" s="3238" t="s">
        <v>1077</v>
      </c>
      <c r="B2" s="3239" t="s">
        <v>1078</v>
      </c>
      <c r="C2" s="3239"/>
      <c r="D2" s="1304" t="s">
        <v>1079</v>
      </c>
      <c r="E2" s="1304" t="s">
        <v>1080</v>
      </c>
      <c r="F2" s="1304" t="s">
        <v>1081</v>
      </c>
      <c r="G2" s="1304" t="s">
        <v>1082</v>
      </c>
      <c r="H2" s="1304" t="s">
        <v>1083</v>
      </c>
      <c r="I2" s="1305" t="s">
        <v>1084</v>
      </c>
    </row>
    <row r="3" spans="1:9">
      <c r="A3" s="3238"/>
      <c r="B3" s="3239" t="s">
        <v>1085</v>
      </c>
      <c r="C3" s="3239"/>
      <c r="D3" s="1306"/>
      <c r="E3" s="1304"/>
      <c r="F3" s="1307"/>
      <c r="G3" s="1307"/>
      <c r="H3" s="1308"/>
      <c r="I3" s="1309">
        <f>ROUND(D3*E3*F3*G3*H3/10000,0)</f>
        <v>0</v>
      </c>
    </row>
    <row r="4" spans="1:9">
      <c r="A4" s="3238"/>
      <c r="B4" s="3239" t="s">
        <v>1086</v>
      </c>
      <c r="C4" s="3239"/>
      <c r="D4" s="1306"/>
      <c r="E4" s="1304"/>
      <c r="F4" s="1307"/>
      <c r="G4" s="1307"/>
      <c r="H4" s="1308"/>
      <c r="I4" s="1309">
        <f t="shared" ref="I4:I9" si="0">ROUND(D4*E4*F4*G4*H4/10000,0)</f>
        <v>0</v>
      </c>
    </row>
    <row r="5" spans="1:9">
      <c r="A5" s="3238"/>
      <c r="B5" s="3239" t="s">
        <v>1087</v>
      </c>
      <c r="C5" s="3239"/>
      <c r="D5" s="1306"/>
      <c r="E5" s="1304"/>
      <c r="F5" s="1307"/>
      <c r="G5" s="1307"/>
      <c r="H5" s="1308"/>
      <c r="I5" s="1309">
        <f t="shared" si="0"/>
        <v>0</v>
      </c>
    </row>
    <row r="6" spans="1:9">
      <c r="A6" s="3238"/>
      <c r="B6" s="3239" t="s">
        <v>1088</v>
      </c>
      <c r="C6" s="3239"/>
      <c r="D6" s="1306"/>
      <c r="E6" s="1304"/>
      <c r="F6" s="1307"/>
      <c r="G6" s="1307"/>
      <c r="H6" s="1308"/>
      <c r="I6" s="1309">
        <f t="shared" si="0"/>
        <v>0</v>
      </c>
    </row>
    <row r="7" spans="1:9">
      <c r="A7" s="3238"/>
      <c r="B7" s="3239" t="s">
        <v>1089</v>
      </c>
      <c r="C7" s="3239"/>
      <c r="D7" s="1306"/>
      <c r="E7" s="1304"/>
      <c r="F7" s="1307"/>
      <c r="G7" s="1307"/>
      <c r="H7" s="1308"/>
      <c r="I7" s="1309">
        <f t="shared" si="0"/>
        <v>0</v>
      </c>
    </row>
    <row r="8" spans="1:9">
      <c r="A8" s="3238"/>
      <c r="B8" s="3239" t="s">
        <v>1090</v>
      </c>
      <c r="C8" s="3239"/>
      <c r="D8" s="1306"/>
      <c r="E8" s="1304"/>
      <c r="F8" s="1307"/>
      <c r="G8" s="1307"/>
      <c r="H8" s="1308"/>
      <c r="I8" s="1309">
        <f t="shared" si="0"/>
        <v>0</v>
      </c>
    </row>
    <row r="9" spans="1:9">
      <c r="A9" s="3238"/>
      <c r="B9" s="3239" t="s">
        <v>1091</v>
      </c>
      <c r="C9" s="3239"/>
      <c r="D9" s="1306"/>
      <c r="E9" s="1304"/>
      <c r="F9" s="1307"/>
      <c r="G9" s="1307"/>
      <c r="H9" s="1308"/>
      <c r="I9" s="1309">
        <f t="shared" si="0"/>
        <v>0</v>
      </c>
    </row>
    <row r="10" spans="1:9">
      <c r="A10" s="3238"/>
      <c r="B10" s="3240" t="s">
        <v>1092</v>
      </c>
      <c r="C10" s="3240"/>
      <c r="D10" s="1310"/>
      <c r="E10" s="1310" t="e">
        <f>ROUND(D1*10000/D10/H9,0)</f>
        <v>#DIV/0!</v>
      </c>
      <c r="F10" s="1311"/>
      <c r="G10" s="1311"/>
      <c r="H10" s="1312"/>
      <c r="I10" s="1313">
        <f>SUM(I3:I9)</f>
        <v>0</v>
      </c>
    </row>
    <row r="11" spans="1:9" ht="14.25">
      <c r="A11" s="3238" t="s">
        <v>1093</v>
      </c>
      <c r="B11" s="3239" t="s">
        <v>1094</v>
      </c>
      <c r="C11" s="3239"/>
      <c r="D11" s="1306" t="s">
        <v>1095</v>
      </c>
      <c r="E11" s="1306" t="s">
        <v>1096</v>
      </c>
      <c r="F11" s="1307" t="s">
        <v>1097</v>
      </c>
      <c r="G11" s="1307" t="s">
        <v>1083</v>
      </c>
      <c r="H11" s="1314" t="s">
        <v>1098</v>
      </c>
      <c r="I11" s="1305" t="s">
        <v>1084</v>
      </c>
    </row>
    <row r="12" spans="1:9">
      <c r="A12" s="3238"/>
      <c r="B12" s="3239" t="s">
        <v>1099</v>
      </c>
      <c r="C12" s="3239"/>
      <c r="D12" s="1306"/>
      <c r="E12" s="1306"/>
      <c r="F12" s="1307"/>
      <c r="G12" s="1308"/>
      <c r="H12" s="1315"/>
      <c r="I12" s="1305">
        <f>ROUND(D12*E12*F12*G12/10000,0)</f>
        <v>0</v>
      </c>
    </row>
    <row r="13" spans="1:9">
      <c r="A13" s="3238"/>
      <c r="B13" s="3239" t="s">
        <v>1100</v>
      </c>
      <c r="C13" s="3239"/>
      <c r="D13" s="1306"/>
      <c r="E13" s="1306"/>
      <c r="F13" s="1307"/>
      <c r="G13" s="1308"/>
      <c r="H13" s="1315"/>
      <c r="I13" s="1305">
        <f>ROUND(D13*E13*F13*G13/10000,0)</f>
        <v>0</v>
      </c>
    </row>
    <row r="14" spans="1:9">
      <c r="A14" s="3238"/>
      <c r="B14" s="3239" t="s">
        <v>1101</v>
      </c>
      <c r="C14" s="3239"/>
      <c r="D14" s="1306"/>
      <c r="E14" s="1306"/>
      <c r="F14" s="1307"/>
      <c r="G14" s="1308"/>
      <c r="H14" s="1315"/>
      <c r="I14" s="1305">
        <f>ROUND(D14*E14*F14*G14/10000,0)</f>
        <v>0</v>
      </c>
    </row>
    <row r="15" spans="1:9">
      <c r="A15" s="3238"/>
      <c r="B15" s="3240" t="s">
        <v>1092</v>
      </c>
      <c r="C15" s="3240"/>
      <c r="D15" s="1310"/>
      <c r="E15" s="1310">
        <f>SUM(E12:E14)</f>
        <v>0</v>
      </c>
      <c r="F15" s="1311"/>
      <c r="G15" s="1308"/>
      <c r="H15" s="1315"/>
      <c r="I15" s="1316">
        <f>SUM(I12:I14)</f>
        <v>0</v>
      </c>
    </row>
    <row r="16" spans="1:9" ht="24">
      <c r="A16" s="3238" t="s">
        <v>1102</v>
      </c>
      <c r="B16" s="3239" t="s">
        <v>1103</v>
      </c>
      <c r="C16" s="3239"/>
      <c r="D16" s="1306" t="s">
        <v>1079</v>
      </c>
      <c r="E16" s="1317" t="s">
        <v>1104</v>
      </c>
      <c r="F16" s="1307" t="s">
        <v>1105</v>
      </c>
      <c r="G16" s="1308" t="s">
        <v>1083</v>
      </c>
      <c r="H16" s="1314" t="s">
        <v>1098</v>
      </c>
      <c r="I16" s="1305" t="s">
        <v>1084</v>
      </c>
    </row>
    <row r="17" spans="1:9" ht="14.25">
      <c r="A17" s="3238"/>
      <c r="B17" s="3239" t="s">
        <v>1106</v>
      </c>
      <c r="C17" s="3239"/>
      <c r="D17" s="1306"/>
      <c r="E17" s="1306"/>
      <c r="F17" s="1307"/>
      <c r="G17" s="1308"/>
      <c r="H17" s="1318"/>
      <c r="I17" s="1319">
        <f>ROUND(D17*E17*F17*G17/10000,0)</f>
        <v>0</v>
      </c>
    </row>
    <row r="18" spans="1:9" ht="14.25">
      <c r="A18" s="3238"/>
      <c r="B18" s="3239" t="s">
        <v>1107</v>
      </c>
      <c r="C18" s="3239"/>
      <c r="D18" s="1306"/>
      <c r="E18" s="1306"/>
      <c r="F18" s="1307"/>
      <c r="G18" s="1308"/>
      <c r="H18" s="1318"/>
      <c r="I18" s="1319">
        <f>ROUND(D18*E18*F18*G18/10000,0)</f>
        <v>0</v>
      </c>
    </row>
    <row r="19" spans="1:9" ht="14.25">
      <c r="A19" s="3238"/>
      <c r="B19" s="3239" t="s">
        <v>1108</v>
      </c>
      <c r="C19" s="3239"/>
      <c r="D19" s="1306"/>
      <c r="E19" s="1306"/>
      <c r="F19" s="1307"/>
      <c r="G19" s="1308"/>
      <c r="H19" s="1318"/>
      <c r="I19" s="1319">
        <f>ROUND(D19*E19*F19*G19/10000,0)</f>
        <v>0</v>
      </c>
    </row>
    <row r="20" spans="1:9">
      <c r="A20" s="3238"/>
      <c r="B20" s="3240" t="s">
        <v>1092</v>
      </c>
      <c r="C20" s="3240"/>
      <c r="D20" s="1310">
        <f>SUM(D17:D19)</f>
        <v>0</v>
      </c>
      <c r="E20" s="1310"/>
      <c r="F20" s="1311"/>
      <c r="G20" s="1308"/>
      <c r="H20" s="1315"/>
      <c r="I20" s="1316">
        <f>SUM(I17:I19)</f>
        <v>0</v>
      </c>
    </row>
    <row r="21" spans="1:9">
      <c r="A21" s="3238" t="s">
        <v>1109</v>
      </c>
      <c r="B21" s="3242"/>
      <c r="C21" s="3242"/>
      <c r="D21" s="3242"/>
      <c r="E21" s="3242"/>
      <c r="F21" s="3242"/>
      <c r="G21" s="3242"/>
      <c r="H21" s="1768">
        <v>0.1</v>
      </c>
      <c r="I21" s="1313">
        <f>ROUND(I10*H21,0)</f>
        <v>0</v>
      </c>
    </row>
    <row r="22" spans="1:9" ht="14.25">
      <c r="A22" s="3243" t="s">
        <v>1110</v>
      </c>
      <c r="B22" s="3244"/>
      <c r="C22" s="3245"/>
      <c r="D22" s="1320" t="s">
        <v>1111</v>
      </c>
      <c r="E22" s="1320" t="s">
        <v>1112</v>
      </c>
      <c r="F22" s="1321" t="s">
        <v>1113</v>
      </c>
      <c r="G22" s="1321" t="s">
        <v>1114</v>
      </c>
      <c r="H22" s="1314" t="s">
        <v>1115</v>
      </c>
      <c r="I22" s="1305" t="s">
        <v>1116</v>
      </c>
    </row>
    <row r="23" spans="1:9" ht="14.25" thickBot="1">
      <c r="A23" s="3246"/>
      <c r="B23" s="3247"/>
      <c r="C23" s="3248"/>
      <c r="D23" s="1322"/>
      <c r="E23" s="1322"/>
      <c r="F23" s="1322"/>
      <c r="G23" s="1323"/>
      <c r="H23" s="1324"/>
      <c r="I23" s="1325">
        <f>ROUND(E23*D23*F23*(1-G23)/10000,0)</f>
        <v>0</v>
      </c>
    </row>
    <row r="26" spans="1:9">
      <c r="A26" s="1326" t="s">
        <v>1117</v>
      </c>
      <c r="B26" s="1326"/>
      <c r="C26" s="1326"/>
      <c r="D26" s="1326"/>
      <c r="E26" s="3249">
        <f>C27-C30-C31-C32</f>
        <v>0</v>
      </c>
      <c r="F26" s="3249"/>
      <c r="G26" s="3249"/>
      <c r="H26" s="1740" t="s">
        <v>1340</v>
      </c>
    </row>
    <row r="27" spans="1:9">
      <c r="A27" s="1327">
        <v>1</v>
      </c>
      <c r="B27" s="1328" t="s">
        <v>1118</v>
      </c>
      <c r="C27" s="1328">
        <f>C28+C29</f>
        <v>0</v>
      </c>
      <c r="D27" s="1328"/>
      <c r="E27" s="3250"/>
      <c r="F27" s="3250"/>
      <c r="G27" s="3250"/>
    </row>
    <row r="28" spans="1:9">
      <c r="A28" s="1329" t="s">
        <v>1119</v>
      </c>
      <c r="B28" s="1328" t="s">
        <v>1120</v>
      </c>
      <c r="C28" s="1328"/>
      <c r="D28" s="1328"/>
      <c r="E28" s="3250"/>
      <c r="F28" s="3250"/>
      <c r="G28" s="3250"/>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41"/>
      <c r="F32" s="3241"/>
      <c r="G32" s="3241"/>
    </row>
    <row r="33" spans="1:7" hidden="1">
      <c r="A33" s="3251" t="s">
        <v>1129</v>
      </c>
      <c r="B33" s="3252"/>
      <c r="C33" s="3252"/>
      <c r="D33" s="3253"/>
      <c r="E33" s="3249"/>
      <c r="F33" s="3249"/>
      <c r="G33" s="3249"/>
    </row>
    <row r="34" spans="1:7" hidden="1">
      <c r="A34" s="1331">
        <v>1</v>
      </c>
      <c r="B34" s="1328" t="s">
        <v>1130</v>
      </c>
      <c r="C34" s="1328"/>
      <c r="D34" s="1328"/>
      <c r="E34" s="3250"/>
      <c r="F34" s="3250"/>
      <c r="G34" s="3250"/>
    </row>
    <row r="35" spans="1:7" hidden="1">
      <c r="A35" s="1331">
        <v>2</v>
      </c>
      <c r="B35" s="1328" t="s">
        <v>1131</v>
      </c>
      <c r="C35" s="1328"/>
      <c r="D35" s="1328"/>
      <c r="E35" s="3250"/>
      <c r="F35" s="3250"/>
      <c r="G35" s="3250"/>
    </row>
    <row r="36" spans="1:7" hidden="1">
      <c r="A36" s="1331">
        <v>3</v>
      </c>
      <c r="B36" s="1328" t="s">
        <v>1132</v>
      </c>
      <c r="C36" s="1328"/>
      <c r="D36" s="1328"/>
      <c r="E36" s="3250"/>
      <c r="F36" s="3250"/>
      <c r="G36" s="3250"/>
    </row>
    <row r="37" spans="1:7" hidden="1">
      <c r="A37" s="1331">
        <v>4</v>
      </c>
      <c r="B37" s="1328" t="s">
        <v>1133</v>
      </c>
      <c r="C37" s="1328"/>
      <c r="D37" s="1328"/>
      <c r="E37" s="3250"/>
      <c r="F37" s="3250"/>
      <c r="G37" s="3250"/>
    </row>
    <row r="38" spans="1:7" hidden="1">
      <c r="A38" s="3251" t="s">
        <v>1134</v>
      </c>
      <c r="B38" s="3252"/>
      <c r="C38" s="3252"/>
      <c r="D38" s="3253"/>
      <c r="E38" s="3249"/>
      <c r="F38" s="3249"/>
      <c r="G38" s="324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2643</v>
      </c>
      <c r="C1" s="1637" t="s">
        <v>2531</v>
      </c>
      <c r="D1" s="1624"/>
      <c r="E1" s="2659"/>
      <c r="F1" s="2586"/>
      <c r="G1" s="1634" t="s">
        <v>2644</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2331</v>
      </c>
      <c r="B2" s="1421" t="e">
        <f ca="1">IF(C2="——",ROUND(C49*D3/10000,0),ROUND(C49*D3/10000,0)-D2)</f>
        <v>#DIV/0!</v>
      </c>
      <c r="C2" s="2588"/>
      <c r="D2" s="1368" t="e">
        <f ca="1">SUMIF(INDIRECT("'"&amp;F2&amp;"'"&amp;"!A:A"),"承租人权益价值",INDIRECT("'"&amp;F2&amp;"'"&amp;"!c:c"))</f>
        <v>#REF!</v>
      </c>
      <c r="E2" s="2589" t="s">
        <v>2332</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2333</v>
      </c>
      <c r="B3" s="609" t="e">
        <f ca="1">IF(C2="——",C49,ROUND(B2*10000/D3,0))</f>
        <v>#DIV/0!</v>
      </c>
      <c r="C3" s="400" t="s">
        <v>2645</v>
      </c>
      <c r="D3" s="399">
        <f>IF(D1="",'数据-汇总表'!E3,SUMIF('数据-汇总表'!$C19:$C33,D1,'数据-汇总表'!$E19:$E33))</f>
        <v>187098.36000000002</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204" t="s">
        <v>2649</v>
      </c>
      <c r="AC4" s="3174" t="s">
        <v>2650</v>
      </c>
    </row>
    <row r="5" spans="1:29" ht="15">
      <c r="A5" s="404"/>
      <c r="B5" s="405"/>
      <c r="C5" s="3185" t="s">
        <v>2543</v>
      </c>
      <c r="D5" s="3186"/>
      <c r="E5" s="3183" t="s">
        <v>2544</v>
      </c>
      <c r="F5" s="3184"/>
      <c r="G5" s="3185" t="s">
        <v>2545</v>
      </c>
      <c r="H5" s="3186"/>
      <c r="I5" s="3185" t="s">
        <v>2546</v>
      </c>
      <c r="J5" s="3186"/>
      <c r="K5" s="610"/>
      <c r="L5" s="1133"/>
      <c r="M5" s="1134"/>
      <c r="N5" s="1134"/>
      <c r="O5" s="1134"/>
      <c r="P5" s="3198"/>
      <c r="Q5" s="3199"/>
      <c r="R5" s="3181"/>
      <c r="S5" s="3182"/>
      <c r="T5" s="3181"/>
      <c r="U5" s="3182"/>
      <c r="V5" s="3204"/>
      <c r="W5" s="3204"/>
      <c r="X5" s="1816"/>
      <c r="Y5" s="3181"/>
      <c r="Z5" s="3182"/>
      <c r="AA5" s="3175"/>
      <c r="AB5" s="3204"/>
      <c r="AC5" s="3175"/>
    </row>
    <row r="6" spans="1:29" ht="15.75" thickBot="1">
      <c r="A6" s="406"/>
      <c r="B6" s="407"/>
      <c r="C6" s="3187" t="s">
        <v>2547</v>
      </c>
      <c r="D6" s="3188"/>
      <c r="E6" s="3189" t="s">
        <v>2547</v>
      </c>
      <c r="F6" s="3190"/>
      <c r="G6" s="3187" t="s">
        <v>2547</v>
      </c>
      <c r="H6" s="3188"/>
      <c r="I6" s="3187" t="s">
        <v>2547</v>
      </c>
      <c r="J6" s="3188"/>
      <c r="K6" s="610" t="s">
        <v>2548</v>
      </c>
      <c r="L6" s="1133"/>
      <c r="M6" s="1134"/>
      <c r="N6" s="1134"/>
      <c r="O6" s="1134"/>
      <c r="P6" s="3200"/>
      <c r="Q6" s="3201"/>
      <c r="R6" s="3181"/>
      <c r="S6" s="3182"/>
      <c r="T6" s="3202"/>
      <c r="U6" s="3203"/>
      <c r="V6" s="3204"/>
      <c r="W6" s="3204"/>
      <c r="X6" s="1816"/>
      <c r="Y6" s="3202"/>
      <c r="Z6" s="3203"/>
      <c r="AA6" s="3176"/>
      <c r="AB6" s="3204"/>
      <c r="AC6" s="3176"/>
    </row>
    <row r="7" spans="1:29" s="117" customFormat="1" ht="15.75" thickBot="1">
      <c r="A7" s="408" t="s">
        <v>2549</v>
      </c>
      <c r="B7" s="409"/>
      <c r="C7" s="410">
        <f>'数据-取费表'!B2</f>
        <v>43202</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77" t="s">
        <v>2550</v>
      </c>
      <c r="Q7" s="3205"/>
      <c r="R7" s="770" t="s">
        <v>17</v>
      </c>
      <c r="S7" s="771">
        <f t="shared" ref="S7:S15" si="0">F7</f>
        <v>0</v>
      </c>
      <c r="T7" s="770" t="s">
        <v>17</v>
      </c>
      <c r="U7" s="771">
        <f t="shared" ref="U7:U15" si="1">H7</f>
        <v>0</v>
      </c>
      <c r="V7" s="770" t="s">
        <v>17</v>
      </c>
      <c r="W7" s="771">
        <f t="shared" ref="W7:W15" si="2">J7</f>
        <v>0</v>
      </c>
      <c r="X7" s="772"/>
      <c r="Y7" s="3177" t="s">
        <v>2550</v>
      </c>
      <c r="Z7" s="3178"/>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77" t="s">
        <v>2553</v>
      </c>
      <c r="Q8" s="3178"/>
      <c r="R8" s="770" t="s">
        <v>17</v>
      </c>
      <c r="S8" s="771">
        <f t="shared" si="0"/>
        <v>0</v>
      </c>
      <c r="T8" s="770" t="s">
        <v>17</v>
      </c>
      <c r="U8" s="771">
        <f t="shared" si="1"/>
        <v>0</v>
      </c>
      <c r="V8" s="770" t="s">
        <v>17</v>
      </c>
      <c r="W8" s="771">
        <f t="shared" si="2"/>
        <v>0</v>
      </c>
      <c r="X8" s="772"/>
      <c r="Y8" s="3177" t="s">
        <v>2553</v>
      </c>
      <c r="Z8" s="3178"/>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15"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15"/>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15"/>
      <c r="Q11" s="1798"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15"/>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15"/>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15"/>
      <c r="Q14" s="1798">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71.25">
      <c r="A15" s="440" t="s">
        <v>2560</v>
      </c>
      <c r="B15" s="69" t="s">
        <v>2654</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19" t="s">
        <v>2561</v>
      </c>
      <c r="Q15" s="1813" t="str">
        <f t="shared" si="6"/>
        <v>商业繁华度</v>
      </c>
      <c r="R15" s="774" t="s">
        <v>17</v>
      </c>
      <c r="S15" s="775">
        <f t="shared" si="0"/>
        <v>100</v>
      </c>
      <c r="T15" s="774" t="s">
        <v>17</v>
      </c>
      <c r="U15" s="775">
        <f t="shared" si="1"/>
        <v>100</v>
      </c>
      <c r="V15" s="774" t="s">
        <v>17</v>
      </c>
      <c r="W15" s="775">
        <f t="shared" si="2"/>
        <v>100</v>
      </c>
      <c r="X15" s="1816"/>
      <c r="Y15" s="3206" t="s">
        <v>2561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20"/>
      <c r="Q16" s="1813"/>
      <c r="R16" s="774"/>
      <c r="S16" s="775"/>
      <c r="T16" s="774"/>
      <c r="U16" s="775"/>
      <c r="V16" s="774"/>
      <c r="W16" s="775"/>
      <c r="X16" s="1816"/>
      <c r="Y16" s="3207"/>
      <c r="Z16" s="1817"/>
      <c r="AA16" s="1814">
        <v>1</v>
      </c>
      <c r="AB16" s="1814">
        <v>1</v>
      </c>
      <c r="AC16" s="1814">
        <v>1</v>
      </c>
    </row>
    <row r="17" spans="1:29" ht="85.5">
      <c r="A17" s="428"/>
      <c r="B17" s="451" t="s">
        <v>2099</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20"/>
      <c r="Q17" s="1813" t="str">
        <f>B17</f>
        <v>交通便捷度</v>
      </c>
      <c r="R17" s="774" t="s">
        <v>17</v>
      </c>
      <c r="S17" s="775">
        <f>F17</f>
        <v>100</v>
      </c>
      <c r="T17" s="774" t="s">
        <v>17</v>
      </c>
      <c r="U17" s="775">
        <f>H17</f>
        <v>100</v>
      </c>
      <c r="V17" s="774" t="s">
        <v>17</v>
      </c>
      <c r="W17" s="775">
        <f>J17</f>
        <v>100</v>
      </c>
      <c r="X17" s="1816"/>
      <c r="Y17" s="3207"/>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34"/>
      <c r="P18" s="3220"/>
      <c r="Q18" s="1813"/>
      <c r="R18" s="774"/>
      <c r="S18" s="775"/>
      <c r="T18" s="774"/>
      <c r="U18" s="775"/>
      <c r="V18" s="774"/>
      <c r="W18" s="775"/>
      <c r="X18" s="1816"/>
      <c r="Y18" s="3207"/>
      <c r="Z18" s="1817"/>
      <c r="AA18" s="1814">
        <v>1</v>
      </c>
      <c r="AB18" s="1814">
        <v>1</v>
      </c>
      <c r="AC18" s="1814">
        <v>1</v>
      </c>
    </row>
    <row r="19" spans="1:29" ht="42.75">
      <c r="A19" s="428"/>
      <c r="B19" s="451" t="s">
        <v>2655</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20"/>
      <c r="Q19" s="1813" t="str">
        <f>B19</f>
        <v>公共配套设施</v>
      </c>
      <c r="R19" s="774" t="s">
        <v>17</v>
      </c>
      <c r="S19" s="775">
        <f>F19</f>
        <v>100</v>
      </c>
      <c r="T19" s="774" t="s">
        <v>17</v>
      </c>
      <c r="U19" s="775">
        <f>H19</f>
        <v>100</v>
      </c>
      <c r="V19" s="774" t="s">
        <v>17</v>
      </c>
      <c r="W19" s="775">
        <f>J19</f>
        <v>100</v>
      </c>
      <c r="X19" s="1816"/>
      <c r="Y19" s="3207"/>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34"/>
      <c r="P20" s="3220"/>
      <c r="Q20" s="1813"/>
      <c r="R20" s="774"/>
      <c r="S20" s="775"/>
      <c r="T20" s="774"/>
      <c r="U20" s="775"/>
      <c r="V20" s="774"/>
      <c r="W20" s="775"/>
      <c r="X20" s="1816"/>
      <c r="Y20" s="3207"/>
      <c r="Z20" s="1817"/>
      <c r="AA20" s="1814">
        <v>1</v>
      </c>
      <c r="AB20" s="1814">
        <v>1</v>
      </c>
      <c r="AC20" s="1814">
        <v>1</v>
      </c>
    </row>
    <row r="21" spans="1:29" ht="28.5">
      <c r="A21" s="428"/>
      <c r="B21" s="1387" t="s">
        <v>2656</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20"/>
      <c r="Q21" s="1813" t="str">
        <f>B21</f>
        <v>基础设施水平</v>
      </c>
      <c r="R21" s="774" t="s">
        <v>17</v>
      </c>
      <c r="S21" s="775">
        <f>F21</f>
        <v>100</v>
      </c>
      <c r="T21" s="774" t="s">
        <v>17</v>
      </c>
      <c r="U21" s="775">
        <f>H21</f>
        <v>100</v>
      </c>
      <c r="V21" s="774" t="s">
        <v>17</v>
      </c>
      <c r="W21" s="775">
        <f>J21</f>
        <v>100</v>
      </c>
      <c r="X21" s="1816"/>
      <c r="Y21" s="3207"/>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34"/>
      <c r="P22" s="3220"/>
      <c r="Q22" s="1813"/>
      <c r="R22" s="774"/>
      <c r="S22" s="775"/>
      <c r="T22" s="774"/>
      <c r="U22" s="775"/>
      <c r="V22" s="774"/>
      <c r="W22" s="775"/>
      <c r="X22" s="1816"/>
      <c r="Y22" s="3207"/>
      <c r="Z22" s="1817"/>
      <c r="AA22" s="1814">
        <v>1</v>
      </c>
      <c r="AB22" s="1814">
        <v>1</v>
      </c>
      <c r="AC22" s="1814">
        <v>1</v>
      </c>
    </row>
    <row r="23" spans="1:29" ht="57">
      <c r="A23" s="428"/>
      <c r="B23" s="451" t="s">
        <v>2104</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20"/>
      <c r="Q23" s="1813" t="str">
        <f>B23</f>
        <v>自然及人文环境</v>
      </c>
      <c r="R23" s="774" t="s">
        <v>17</v>
      </c>
      <c r="S23" s="775">
        <f>F23</f>
        <v>100</v>
      </c>
      <c r="T23" s="774" t="s">
        <v>17</v>
      </c>
      <c r="U23" s="775">
        <f>H23</f>
        <v>100</v>
      </c>
      <c r="V23" s="774" t="s">
        <v>17</v>
      </c>
      <c r="W23" s="775">
        <f>J23</f>
        <v>100</v>
      </c>
      <c r="X23" s="1816"/>
      <c r="Y23" s="3207"/>
      <c r="Z23" s="1817" t="str">
        <f>Q23</f>
        <v>自然及人文环境</v>
      </c>
      <c r="AA23" s="1814">
        <f t="shared" si="3"/>
        <v>1</v>
      </c>
      <c r="AB23" s="1814">
        <f t="shared" si="4"/>
        <v>1</v>
      </c>
      <c r="AC23" s="1814">
        <f t="shared" si="5"/>
        <v>1</v>
      </c>
    </row>
    <row r="24" spans="1:29" ht="15">
      <c r="A24" s="428"/>
      <c r="B24" s="456"/>
      <c r="C24" s="447"/>
      <c r="D24" s="448"/>
      <c r="E24" s="2607"/>
      <c r="F24" s="449"/>
      <c r="G24" s="2606"/>
      <c r="H24" s="448"/>
      <c r="I24" s="2607"/>
      <c r="J24" s="448"/>
      <c r="K24" s="615"/>
      <c r="L24" s="1143"/>
      <c r="M24" s="1134"/>
      <c r="N24" s="1134"/>
      <c r="O24" s="1134"/>
      <c r="P24" s="3220"/>
      <c r="Q24" s="1813"/>
      <c r="R24" s="774"/>
      <c r="S24" s="775"/>
      <c r="T24" s="774"/>
      <c r="U24" s="775"/>
      <c r="V24" s="774"/>
      <c r="W24" s="775"/>
      <c r="X24" s="1816"/>
      <c r="Y24" s="3207"/>
      <c r="Z24" s="1817"/>
      <c r="AA24" s="1814">
        <v>1</v>
      </c>
      <c r="AB24" s="1814">
        <v>1</v>
      </c>
      <c r="AC24" s="1814">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20"/>
      <c r="Q25" s="1813" t="str">
        <f t="shared" ref="Q25:Q46" si="11">B25</f>
        <v>临街状况</v>
      </c>
      <c r="R25" s="774" t="s">
        <v>17</v>
      </c>
      <c r="S25" s="775">
        <f>F25</f>
        <v>100</v>
      </c>
      <c r="T25" s="774" t="s">
        <v>17</v>
      </c>
      <c r="U25" s="775">
        <f>H25</f>
        <v>100</v>
      </c>
      <c r="V25" s="774" t="s">
        <v>17</v>
      </c>
      <c r="W25" s="775">
        <f>J25</f>
        <v>100</v>
      </c>
      <c r="X25" s="1816"/>
      <c r="Y25" s="3207"/>
      <c r="Z25" s="1817" t="str">
        <f>Q25</f>
        <v>临街状况</v>
      </c>
      <c r="AA25" s="1814">
        <f t="shared" si="3"/>
        <v>1</v>
      </c>
      <c r="AB25" s="1814">
        <f t="shared" si="4"/>
        <v>1</v>
      </c>
      <c r="AC25" s="1814">
        <f t="shared" si="5"/>
        <v>1</v>
      </c>
    </row>
    <row r="26" spans="1:29" ht="15">
      <c r="A26" s="428"/>
      <c r="B26" s="1389" t="s">
        <v>2658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20"/>
      <c r="Q26" s="1813" t="str">
        <f t="shared" si="11"/>
        <v>平面位置/可视性</v>
      </c>
      <c r="R26" s="774" t="s">
        <v>17</v>
      </c>
      <c r="S26" s="775">
        <f>F26</f>
        <v>100</v>
      </c>
      <c r="T26" s="774" t="s">
        <v>17</v>
      </c>
      <c r="U26" s="775">
        <f>H26</f>
        <v>100</v>
      </c>
      <c r="V26" s="774" t="s">
        <v>17</v>
      </c>
      <c r="W26" s="775">
        <f>J26</f>
        <v>100</v>
      </c>
      <c r="X26" s="1816"/>
      <c r="Y26" s="3207"/>
      <c r="Z26" s="1817" t="str">
        <f>Q26</f>
        <v>平面位置/可视性</v>
      </c>
      <c r="AA26" s="1814">
        <f t="shared" si="3"/>
        <v>1</v>
      </c>
      <c r="AB26" s="1814">
        <f t="shared" si="4"/>
        <v>1</v>
      </c>
      <c r="AC26" s="1814">
        <f t="shared" si="5"/>
        <v>1</v>
      </c>
    </row>
    <row r="27" spans="1:29" s="117" customFormat="1" ht="15">
      <c r="A27" s="431"/>
      <c r="B27" s="451" t="s">
        <v>2659</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20"/>
      <c r="Q27" s="1798" t="str">
        <f t="shared" si="11"/>
        <v>人流量</v>
      </c>
      <c r="R27" s="770" t="s">
        <v>17</v>
      </c>
      <c r="S27" s="771">
        <f>F27</f>
        <v>100</v>
      </c>
      <c r="T27" s="770" t="s">
        <v>17</v>
      </c>
      <c r="U27" s="771">
        <f>H27</f>
        <v>100</v>
      </c>
      <c r="V27" s="770" t="s">
        <v>17</v>
      </c>
      <c r="W27" s="771">
        <f>J27</f>
        <v>100</v>
      </c>
      <c r="X27" s="772"/>
      <c r="Y27" s="3207"/>
      <c r="Z27" s="55" t="str">
        <f>Q27</f>
        <v>人流量</v>
      </c>
      <c r="AA27" s="1814">
        <f>D27/F27</f>
        <v>1</v>
      </c>
      <c r="AB27" s="1814">
        <f>D27/H27</f>
        <v>1</v>
      </c>
      <c r="AC27" s="1814">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20"/>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07"/>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20"/>
      <c r="Q29" s="1813">
        <f t="shared" si="11"/>
        <v>111</v>
      </c>
      <c r="R29" s="774" t="s">
        <v>17</v>
      </c>
      <c r="S29" s="775">
        <f t="shared" si="12"/>
        <v>100</v>
      </c>
      <c r="T29" s="774" t="s">
        <v>17</v>
      </c>
      <c r="U29" s="775">
        <f t="shared" si="13"/>
        <v>100</v>
      </c>
      <c r="V29" s="774" t="s">
        <v>17</v>
      </c>
      <c r="W29" s="775">
        <f t="shared" si="14"/>
        <v>100</v>
      </c>
      <c r="X29" s="1816"/>
      <c r="Y29" s="3207"/>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20"/>
      <c r="Q30" s="1813">
        <f t="shared" si="11"/>
        <v>111</v>
      </c>
      <c r="R30" s="774" t="s">
        <v>17</v>
      </c>
      <c r="S30" s="775">
        <f t="shared" si="12"/>
        <v>100</v>
      </c>
      <c r="T30" s="774" t="s">
        <v>17</v>
      </c>
      <c r="U30" s="775">
        <f t="shared" si="13"/>
        <v>100</v>
      </c>
      <c r="V30" s="774" t="s">
        <v>17</v>
      </c>
      <c r="W30" s="775">
        <f t="shared" si="14"/>
        <v>100</v>
      </c>
      <c r="X30" s="1816"/>
      <c r="Y30" s="3207"/>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20"/>
      <c r="Q31" s="1813">
        <f t="shared" si="11"/>
        <v>111</v>
      </c>
      <c r="R31" s="774" t="s">
        <v>17</v>
      </c>
      <c r="S31" s="775">
        <f t="shared" si="12"/>
        <v>100</v>
      </c>
      <c r="T31" s="774" t="s">
        <v>17</v>
      </c>
      <c r="U31" s="775">
        <f t="shared" si="13"/>
        <v>100</v>
      </c>
      <c r="V31" s="774" t="s">
        <v>17</v>
      </c>
      <c r="W31" s="775">
        <f t="shared" si="14"/>
        <v>100</v>
      </c>
      <c r="X31" s="1816"/>
      <c r="Y31" s="3207"/>
      <c r="Z31" s="1817">
        <f t="shared" si="15"/>
        <v>111</v>
      </c>
      <c r="AA31" s="1814">
        <f t="shared" si="3"/>
        <v>1</v>
      </c>
      <c r="AB31" s="1814">
        <f t="shared" si="4"/>
        <v>1</v>
      </c>
      <c r="AC31" s="1814">
        <f t="shared" si="5"/>
        <v>1</v>
      </c>
    </row>
    <row r="32" spans="1:29" ht="15">
      <c r="A32" s="440" t="s">
        <v>2564</v>
      </c>
      <c r="B32" s="71" t="s">
        <v>2661</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21" t="s">
        <v>2566</v>
      </c>
      <c r="Q32" s="1813" t="str">
        <f t="shared" si="11"/>
        <v>商业类型</v>
      </c>
      <c r="R32" s="774" t="s">
        <v>17</v>
      </c>
      <c r="S32" s="775">
        <f t="shared" si="12"/>
        <v>100</v>
      </c>
      <c r="T32" s="774" t="s">
        <v>17</v>
      </c>
      <c r="U32" s="775">
        <f t="shared" si="13"/>
        <v>100</v>
      </c>
      <c r="V32" s="774" t="s">
        <v>17</v>
      </c>
      <c r="W32" s="775">
        <f t="shared" si="14"/>
        <v>100</v>
      </c>
      <c r="X32" s="1816"/>
      <c r="Y32" s="3209" t="s">
        <v>2566</v>
      </c>
      <c r="Z32" s="1817" t="str">
        <f t="shared" si="15"/>
        <v>商业类型</v>
      </c>
      <c r="AA32" s="1814">
        <f t="shared" si="3"/>
        <v>1</v>
      </c>
      <c r="AB32" s="1814">
        <f t="shared" si="4"/>
        <v>1</v>
      </c>
      <c r="AC32" s="1814">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22"/>
      <c r="Q33" s="776" t="str">
        <f t="shared" si="11"/>
        <v>项目建筑规模</v>
      </c>
      <c r="R33" s="777" t="s">
        <v>17</v>
      </c>
      <c r="S33" s="778" t="e">
        <f t="shared" si="12"/>
        <v>#N/A</v>
      </c>
      <c r="T33" s="777" t="s">
        <v>17</v>
      </c>
      <c r="U33" s="778" t="e">
        <f t="shared" si="13"/>
        <v>#N/A</v>
      </c>
      <c r="V33" s="777" t="s">
        <v>17</v>
      </c>
      <c r="W33" s="778" t="e">
        <f t="shared" si="14"/>
        <v>#N/A</v>
      </c>
      <c r="X33" s="779"/>
      <c r="Y33" s="3209"/>
      <c r="Z33" s="780" t="str">
        <f t="shared" si="15"/>
        <v>项目建筑规模</v>
      </c>
      <c r="AA33" s="1814" t="e">
        <f t="shared" si="3"/>
        <v>#N/A</v>
      </c>
      <c r="AB33" s="1814" t="e">
        <f t="shared" si="4"/>
        <v>#N/A</v>
      </c>
      <c r="AC33" s="1814" t="e">
        <f t="shared" si="5"/>
        <v>#N/A</v>
      </c>
    </row>
    <row r="34" spans="1:29" ht="15">
      <c r="A34" s="472"/>
      <c r="B34" s="422" t="s">
        <v>2568</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22"/>
      <c r="Q34" s="1813" t="str">
        <f t="shared" si="11"/>
        <v>建筑结构</v>
      </c>
      <c r="R34" s="774" t="s">
        <v>17</v>
      </c>
      <c r="S34" s="775">
        <f t="shared" si="12"/>
        <v>100</v>
      </c>
      <c r="T34" s="774" t="s">
        <v>17</v>
      </c>
      <c r="U34" s="775">
        <f t="shared" si="13"/>
        <v>100</v>
      </c>
      <c r="V34" s="774" t="s">
        <v>17</v>
      </c>
      <c r="W34" s="775">
        <f t="shared" si="14"/>
        <v>100</v>
      </c>
      <c r="X34" s="1816"/>
      <c r="Y34" s="3209"/>
      <c r="Z34" s="1817" t="str">
        <f t="shared" si="15"/>
        <v>建筑结构</v>
      </c>
      <c r="AA34" s="1814">
        <f t="shared" si="3"/>
        <v>1</v>
      </c>
      <c r="AB34" s="1814">
        <f t="shared" si="4"/>
        <v>1</v>
      </c>
      <c r="AC34" s="1814">
        <f t="shared" si="5"/>
        <v>1</v>
      </c>
    </row>
    <row r="35" spans="1:29" ht="15">
      <c r="A35" s="472"/>
      <c r="B35" s="422" t="s">
        <v>2662</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22"/>
      <c r="Q35" s="1813" t="str">
        <f t="shared" si="11"/>
        <v>公共部分装修</v>
      </c>
      <c r="R35" s="774" t="s">
        <v>17</v>
      </c>
      <c r="S35" s="775">
        <f t="shared" si="12"/>
        <v>100</v>
      </c>
      <c r="T35" s="774" t="s">
        <v>17</v>
      </c>
      <c r="U35" s="775">
        <f t="shared" si="13"/>
        <v>100</v>
      </c>
      <c r="V35" s="774" t="s">
        <v>17</v>
      </c>
      <c r="W35" s="775">
        <f t="shared" si="14"/>
        <v>100</v>
      </c>
      <c r="X35" s="1816"/>
      <c r="Y35" s="3209"/>
      <c r="Z35" s="1817" t="str">
        <f t="shared" si="15"/>
        <v>公共部分装修</v>
      </c>
      <c r="AA35" s="1814">
        <f t="shared" si="3"/>
        <v>1</v>
      </c>
      <c r="AB35" s="1814">
        <f t="shared" si="4"/>
        <v>1</v>
      </c>
      <c r="AC35" s="1814">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22"/>
      <c r="Q36" s="1813" t="str">
        <f t="shared" si="11"/>
        <v>成新度</v>
      </c>
      <c r="R36" s="774" t="s">
        <v>17</v>
      </c>
      <c r="S36" s="775" t="e">
        <f t="shared" si="12"/>
        <v>#N/A</v>
      </c>
      <c r="T36" s="774" t="s">
        <v>17</v>
      </c>
      <c r="U36" s="775" t="e">
        <f t="shared" si="13"/>
        <v>#N/A</v>
      </c>
      <c r="V36" s="774" t="s">
        <v>17</v>
      </c>
      <c r="W36" s="775" t="e">
        <f t="shared" si="14"/>
        <v>#N/A</v>
      </c>
      <c r="X36" s="1816"/>
      <c r="Y36" s="3209"/>
      <c r="Z36" s="1817" t="str">
        <f t="shared" si="15"/>
        <v>成新度</v>
      </c>
      <c r="AA36" s="1814" t="e">
        <f t="shared" si="3"/>
        <v>#N/A</v>
      </c>
      <c r="AB36" s="1814" t="e">
        <f t="shared" si="4"/>
        <v>#N/A</v>
      </c>
      <c r="AC36" s="1814" t="e">
        <f t="shared" si="5"/>
        <v>#N/A</v>
      </c>
    </row>
    <row r="37" spans="1:29" s="117" customFormat="1" ht="15">
      <c r="A37" s="473"/>
      <c r="B37" s="422" t="s">
        <v>2664</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22"/>
      <c r="Q37" s="1798" t="str">
        <f t="shared" si="11"/>
        <v>市政基础设施</v>
      </c>
      <c r="R37" s="770" t="s">
        <v>17</v>
      </c>
      <c r="S37" s="771">
        <f t="shared" si="12"/>
        <v>100</v>
      </c>
      <c r="T37" s="770" t="s">
        <v>17</v>
      </c>
      <c r="U37" s="771">
        <f t="shared" si="13"/>
        <v>100</v>
      </c>
      <c r="V37" s="770" t="s">
        <v>17</v>
      </c>
      <c r="W37" s="771">
        <f t="shared" si="14"/>
        <v>100</v>
      </c>
      <c r="X37" s="772"/>
      <c r="Y37" s="3209"/>
      <c r="Z37" s="55" t="str">
        <f t="shared" si="15"/>
        <v>市政基础设施</v>
      </c>
      <c r="AA37" s="773">
        <f t="shared" si="3"/>
        <v>1</v>
      </c>
      <c r="AB37" s="773">
        <f t="shared" si="4"/>
        <v>1</v>
      </c>
      <c r="AC37" s="773">
        <f t="shared" si="5"/>
        <v>1</v>
      </c>
    </row>
    <row r="38" spans="1:29" ht="15">
      <c r="A38" s="472"/>
      <c r="B38" s="422" t="s">
        <v>2665</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22" t="s">
        <v>2566</v>
      </c>
      <c r="Q38" s="1813" t="str">
        <f t="shared" si="11"/>
        <v>业态</v>
      </c>
      <c r="R38" s="774" t="s">
        <v>17</v>
      </c>
      <c r="S38" s="775">
        <f t="shared" si="12"/>
        <v>100</v>
      </c>
      <c r="T38" s="774" t="s">
        <v>17</v>
      </c>
      <c r="U38" s="775">
        <f t="shared" si="13"/>
        <v>100</v>
      </c>
      <c r="V38" s="774" t="s">
        <v>17</v>
      </c>
      <c r="W38" s="775">
        <f t="shared" si="14"/>
        <v>100</v>
      </c>
      <c r="X38" s="1816"/>
      <c r="Y38" s="3209" t="s">
        <v>2566</v>
      </c>
      <c r="Z38" s="1817" t="str">
        <f t="shared" si="15"/>
        <v>业态</v>
      </c>
      <c r="AA38" s="1814">
        <f t="shared" si="3"/>
        <v>1</v>
      </c>
      <c r="AB38" s="1814">
        <f t="shared" si="4"/>
        <v>1</v>
      </c>
      <c r="AC38" s="1814">
        <f t="shared" si="5"/>
        <v>1</v>
      </c>
    </row>
    <row r="39" spans="1:29" ht="15">
      <c r="A39" s="472"/>
      <c r="B39" s="422" t="s">
        <v>2666</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22"/>
      <c r="Q39" s="1813" t="str">
        <f t="shared" si="11"/>
        <v>层高</v>
      </c>
      <c r="R39" s="774" t="s">
        <v>17</v>
      </c>
      <c r="S39" s="775">
        <f t="shared" si="12"/>
        <v>100</v>
      </c>
      <c r="T39" s="774" t="s">
        <v>17</v>
      </c>
      <c r="U39" s="775">
        <f t="shared" si="13"/>
        <v>100</v>
      </c>
      <c r="V39" s="774" t="s">
        <v>17</v>
      </c>
      <c r="W39" s="775">
        <f t="shared" si="14"/>
        <v>100</v>
      </c>
      <c r="X39" s="1816"/>
      <c r="Y39" s="3209"/>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22"/>
      <c r="Q40" s="1813" t="str">
        <f t="shared" si="11"/>
        <v>单套建筑面积</v>
      </c>
      <c r="R40" s="774" t="s">
        <v>17</v>
      </c>
      <c r="S40" s="775">
        <f t="shared" si="12"/>
        <v>100</v>
      </c>
      <c r="T40" s="774" t="s">
        <v>17</v>
      </c>
      <c r="U40" s="775">
        <f t="shared" si="13"/>
        <v>100</v>
      </c>
      <c r="V40" s="774" t="s">
        <v>17</v>
      </c>
      <c r="W40" s="775">
        <f t="shared" si="14"/>
        <v>100</v>
      </c>
      <c r="X40" s="1816"/>
      <c r="Y40" s="3209"/>
      <c r="Z40" s="1817" t="str">
        <f t="shared" si="15"/>
        <v>单套建筑面积</v>
      </c>
      <c r="AA40" s="1814">
        <f t="shared" si="3"/>
        <v>1</v>
      </c>
      <c r="AB40" s="1814">
        <f t="shared" si="4"/>
        <v>1</v>
      </c>
      <c r="AC40" s="1814">
        <f t="shared" si="5"/>
        <v>1</v>
      </c>
    </row>
    <row r="41" spans="1:29" s="471" customFormat="1" ht="15">
      <c r="A41" s="468"/>
      <c r="B41" s="1815"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22"/>
      <c r="Q41" s="776" t="str">
        <f t="shared" si="11"/>
        <v>进深比</v>
      </c>
      <c r="R41" s="777" t="s">
        <v>17</v>
      </c>
      <c r="S41" s="778">
        <f t="shared" si="12"/>
        <v>100</v>
      </c>
      <c r="T41" s="777" t="s">
        <v>17</v>
      </c>
      <c r="U41" s="778">
        <f t="shared" si="13"/>
        <v>100</v>
      </c>
      <c r="V41" s="777" t="s">
        <v>17</v>
      </c>
      <c r="W41" s="778">
        <f t="shared" si="14"/>
        <v>100</v>
      </c>
      <c r="X41" s="779"/>
      <c r="Y41" s="3209"/>
      <c r="Z41" s="780" t="str">
        <f t="shared" si="15"/>
        <v>进深比</v>
      </c>
      <c r="AA41" s="1814">
        <f t="shared" si="3"/>
        <v>1</v>
      </c>
      <c r="AB41" s="1814">
        <f t="shared" si="4"/>
        <v>1</v>
      </c>
      <c r="AC41" s="1814">
        <f t="shared" si="5"/>
        <v>1</v>
      </c>
    </row>
    <row r="42" spans="1:29" ht="15">
      <c r="A42" s="472"/>
      <c r="B42" s="422" t="s">
        <v>2669</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22"/>
      <c r="Q42" s="1813" t="str">
        <f t="shared" si="11"/>
        <v>内部装修</v>
      </c>
      <c r="R42" s="774" t="s">
        <v>17</v>
      </c>
      <c r="S42" s="775">
        <f t="shared" si="12"/>
        <v>100</v>
      </c>
      <c r="T42" s="774" t="s">
        <v>17</v>
      </c>
      <c r="U42" s="775">
        <f t="shared" si="13"/>
        <v>100</v>
      </c>
      <c r="V42" s="774" t="s">
        <v>17</v>
      </c>
      <c r="W42" s="775">
        <f t="shared" si="14"/>
        <v>100</v>
      </c>
      <c r="X42" s="1816"/>
      <c r="Y42" s="3209"/>
      <c r="Z42" s="1817" t="str">
        <f t="shared" si="15"/>
        <v>内部装修</v>
      </c>
      <c r="AA42" s="1814">
        <f t="shared" si="3"/>
        <v>1</v>
      </c>
      <c r="AB42" s="1814">
        <f t="shared" si="4"/>
        <v>1</v>
      </c>
      <c r="AC42" s="1814">
        <f t="shared" si="5"/>
        <v>1</v>
      </c>
    </row>
    <row r="43" spans="1:29" ht="15">
      <c r="A43" s="472"/>
      <c r="B43" s="422" t="s">
        <v>2577</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22"/>
      <c r="Q43" s="1813" t="str">
        <f t="shared" si="11"/>
        <v>内部装修维护情况</v>
      </c>
      <c r="R43" s="774" t="s">
        <v>17</v>
      </c>
      <c r="S43" s="775">
        <f t="shared" si="12"/>
        <v>100</v>
      </c>
      <c r="T43" s="774" t="s">
        <v>17</v>
      </c>
      <c r="U43" s="775">
        <f t="shared" si="13"/>
        <v>100</v>
      </c>
      <c r="V43" s="774" t="s">
        <v>17</v>
      </c>
      <c r="W43" s="775">
        <f t="shared" si="14"/>
        <v>100</v>
      </c>
      <c r="X43" s="1816"/>
      <c r="Y43" s="3209"/>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22"/>
      <c r="Q44" s="1798">
        <f t="shared" si="11"/>
        <v>111</v>
      </c>
      <c r="R44" s="770" t="s">
        <v>17</v>
      </c>
      <c r="S44" s="771">
        <f t="shared" si="12"/>
        <v>100</v>
      </c>
      <c r="T44" s="770" t="s">
        <v>17</v>
      </c>
      <c r="U44" s="771">
        <f t="shared" si="13"/>
        <v>100</v>
      </c>
      <c r="V44" s="770" t="s">
        <v>17</v>
      </c>
      <c r="W44" s="771">
        <f t="shared" si="14"/>
        <v>100</v>
      </c>
      <c r="X44" s="772"/>
      <c r="Y44" s="3209"/>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22"/>
      <c r="Q45" s="1813">
        <f t="shared" si="11"/>
        <v>111</v>
      </c>
      <c r="R45" s="774" t="s">
        <v>17</v>
      </c>
      <c r="S45" s="775">
        <f t="shared" si="12"/>
        <v>100</v>
      </c>
      <c r="T45" s="774" t="s">
        <v>17</v>
      </c>
      <c r="U45" s="775">
        <f t="shared" si="13"/>
        <v>100</v>
      </c>
      <c r="V45" s="774" t="s">
        <v>17</v>
      </c>
      <c r="W45" s="775">
        <f t="shared" si="14"/>
        <v>100</v>
      </c>
      <c r="X45" s="1816"/>
      <c r="Y45" s="3209"/>
      <c r="Z45" s="1817">
        <f t="shared" si="15"/>
        <v>111</v>
      </c>
      <c r="AA45" s="1814">
        <f t="shared" si="3"/>
        <v>1</v>
      </c>
      <c r="AB45" s="1814">
        <f t="shared" si="4"/>
        <v>1</v>
      </c>
      <c r="AC45" s="1814">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23"/>
      <c r="Q46" s="1813">
        <f t="shared" si="11"/>
        <v>111</v>
      </c>
      <c r="R46" s="774" t="s">
        <v>17</v>
      </c>
      <c r="S46" s="775">
        <f t="shared" si="12"/>
        <v>100</v>
      </c>
      <c r="T46" s="774" t="s">
        <v>17</v>
      </c>
      <c r="U46" s="775">
        <f t="shared" si="13"/>
        <v>100</v>
      </c>
      <c r="V46" s="774" t="s">
        <v>17</v>
      </c>
      <c r="W46" s="775">
        <f t="shared" si="14"/>
        <v>100</v>
      </c>
      <c r="X46" s="1816"/>
      <c r="Y46" s="3224"/>
      <c r="Z46" s="1817">
        <f t="shared" si="15"/>
        <v>111</v>
      </c>
      <c r="AA46" s="1814">
        <f t="shared" si="3"/>
        <v>1</v>
      </c>
      <c r="AB46" s="1814">
        <f t="shared" si="4"/>
        <v>1</v>
      </c>
      <c r="AC46" s="1814">
        <f t="shared" si="5"/>
        <v>1</v>
      </c>
    </row>
    <row r="47" spans="1:29" ht="15">
      <c r="A47" s="479" t="s">
        <v>2578</v>
      </c>
      <c r="B47" s="480"/>
      <c r="C47" s="1410" t="s">
        <v>1</v>
      </c>
      <c r="D47" s="1411"/>
      <c r="E47" s="1412"/>
      <c r="F47" s="1413"/>
      <c r="G47" s="1414"/>
      <c r="H47" s="1415"/>
      <c r="I47" s="1412"/>
      <c r="J47" s="1415"/>
      <c r="K47" s="783"/>
      <c r="L47" s="1146"/>
      <c r="M47" s="1147"/>
      <c r="N47" s="1134"/>
      <c r="O47" s="1147"/>
      <c r="P47" s="3191" t="str">
        <f>A47</f>
        <v>成交单价（元/平方米）</v>
      </c>
      <c r="Q47" s="3191"/>
      <c r="R47" s="3204">
        <f>E47</f>
        <v>0</v>
      </c>
      <c r="S47" s="3204"/>
      <c r="T47" s="3204">
        <f>G47</f>
        <v>0</v>
      </c>
      <c r="U47" s="3204"/>
      <c r="V47" s="3204">
        <f>I47</f>
        <v>0</v>
      </c>
      <c r="W47" s="3204"/>
      <c r="X47" s="759"/>
      <c r="Y47" s="781"/>
      <c r="Z47" s="759"/>
      <c r="AA47" s="759"/>
      <c r="AB47" s="759"/>
      <c r="AC47" s="759"/>
    </row>
    <row r="48" spans="1:29" ht="15.75" thickBot="1">
      <c r="A48" s="486" t="s">
        <v>2670</v>
      </c>
      <c r="B48" s="487"/>
      <c r="C48" s="1416" t="e">
        <f>R49</f>
        <v>#DIV/0!</v>
      </c>
      <c r="D48" s="1417"/>
      <c r="E48" s="1418" t="e">
        <f>R48</f>
        <v>#DIV/0!</v>
      </c>
      <c r="F48" s="1418"/>
      <c r="G48" s="1416" t="e">
        <f>T48</f>
        <v>#DIV/0!</v>
      </c>
      <c r="H48" s="1417"/>
      <c r="I48" s="1418" t="e">
        <f>V48</f>
        <v>#DIV/0!</v>
      </c>
      <c r="J48" s="1417"/>
      <c r="K48" s="784"/>
      <c r="L48" s="1146"/>
      <c r="M48" s="1147"/>
      <c r="N48" s="1134"/>
      <c r="O48" s="1147"/>
      <c r="P48" s="3191" t="str">
        <f>A48</f>
        <v>比较价值（元/平方米）</v>
      </c>
      <c r="Q48" s="3191"/>
      <c r="R48" s="3217" t="e">
        <f>IF(F1="售价",ROUND(PRODUCT(R47,AA7:AA46),0),ROUND(PRODUCT(R47,AA7:AA46),1))</f>
        <v>#DIV/0!</v>
      </c>
      <c r="S48" s="3217"/>
      <c r="T48" s="3217" t="e">
        <f>IF(F1="售价",ROUND(PRODUCT(T47,AB7:AB46),0),ROUND(PRODUCT(T47,AB7:AB46),1))</f>
        <v>#DIV/0!</v>
      </c>
      <c r="U48" s="3217"/>
      <c r="V48" s="3217" t="e">
        <f>IF(F1="售价",ROUND(PRODUCT(V47,AC7:AC46),0),ROUND(PRODUCT(V47,AC7:AC46),1))</f>
        <v>#DIV/0!</v>
      </c>
      <c r="W48" s="3217"/>
      <c r="X48" s="759"/>
      <c r="Y48" s="759"/>
      <c r="Z48" s="759"/>
      <c r="AA48" s="759"/>
      <c r="AB48" s="759"/>
      <c r="AC48" s="759"/>
    </row>
    <row r="49" spans="1:29" ht="15.75" thickBot="1">
      <c r="A49" s="492" t="s">
        <v>2671</v>
      </c>
      <c r="B49" s="493"/>
      <c r="C49" s="1420" t="e">
        <f>R49</f>
        <v>#DIV/0!</v>
      </c>
      <c r="D49" s="1420"/>
      <c r="E49" s="1420"/>
      <c r="F49" s="1420"/>
      <c r="G49" s="1420"/>
      <c r="H49" s="1420"/>
      <c r="I49" s="1420"/>
      <c r="J49" s="1420"/>
      <c r="K49" s="785"/>
      <c r="L49" s="1146"/>
      <c r="M49" s="1147"/>
      <c r="N49" s="1134"/>
      <c r="O49" s="1147"/>
      <c r="P49" s="3211" t="str">
        <f>A49</f>
        <v>估价对象XX用房的比较价值（楼面单价，元/平方米）</v>
      </c>
      <c r="Q49" s="3212"/>
      <c r="R49" s="3218" t="e">
        <f>IF(F1="售价",ROUND(AVERAGE(R48:V48),0),ROUND(AVERAGE(R48:V48),1))</f>
        <v>#DIV/0!</v>
      </c>
      <c r="S49" s="3218"/>
      <c r="T49" s="3218"/>
      <c r="U49" s="3218"/>
      <c r="V49" s="3218"/>
      <c r="W49" s="321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2549</v>
      </c>
      <c r="B58" s="506"/>
      <c r="C58" s="1577" t="str">
        <f>YEAR(C7)&amp;"-"&amp;MONTH(C7)</f>
        <v>2018-4</v>
      </c>
      <c r="D58" s="1578">
        <f>EDATE(C58,-1)</f>
        <v>43160</v>
      </c>
      <c r="E58" s="1578">
        <f t="shared" ref="E58:N58" si="16">EDATE(D58,-1)</f>
        <v>43132</v>
      </c>
      <c r="F58" s="1578">
        <f t="shared" si="16"/>
        <v>43101</v>
      </c>
      <c r="G58" s="1578">
        <f t="shared" si="16"/>
        <v>43070</v>
      </c>
      <c r="H58" s="1578">
        <f t="shared" si="16"/>
        <v>43040</v>
      </c>
      <c r="I58" s="1578">
        <f t="shared" si="16"/>
        <v>43009</v>
      </c>
      <c r="J58" s="1578">
        <f t="shared" si="16"/>
        <v>42979</v>
      </c>
      <c r="K58" s="1578">
        <f t="shared" si="16"/>
        <v>42948</v>
      </c>
      <c r="L58" s="1578">
        <f t="shared" si="16"/>
        <v>42917</v>
      </c>
      <c r="M58" s="1578">
        <f t="shared" si="16"/>
        <v>42887</v>
      </c>
      <c r="N58" s="1578">
        <f t="shared" si="16"/>
        <v>42856</v>
      </c>
      <c r="O58" s="1578">
        <f>EDATE(N58,-1)</f>
        <v>42826</v>
      </c>
      <c r="P58" s="1573"/>
    </row>
    <row r="59" spans="1:29" s="117" customFormat="1" ht="15">
      <c r="A59" s="509"/>
      <c r="B59" s="510"/>
      <c r="C59" s="1576">
        <v>100</v>
      </c>
      <c r="D59" s="512"/>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2653</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2681</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2564</v>
      </c>
      <c r="B100" s="528" t="s">
        <v>2682</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2"/>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2615</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2"/>
      <c r="Q106" s="504"/>
    </row>
    <row r="107" spans="1:17" ht="15" thickTop="1">
      <c r="A107" s="599"/>
      <c r="B107" s="538" t="s">
        <v>2617</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2"/>
      <c r="Q108" s="504"/>
    </row>
    <row r="109" spans="1:17" ht="15" thickTop="1">
      <c r="A109" s="599"/>
      <c r="B109" s="538" t="s">
        <v>1998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2"/>
      <c r="Q111" s="504"/>
    </row>
    <row r="112" spans="1:17" s="471" customFormat="1" ht="15" thickTop="1">
      <c r="A112" s="593"/>
      <c r="B112" s="538" t="s">
        <v>2619</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3"/>
      <c r="Q113" s="559"/>
    </row>
    <row r="114" spans="1:17" ht="15" thickTop="1">
      <c r="A114" s="599"/>
      <c r="B114" s="538" t="s">
        <v>2683</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2"/>
      <c r="Q115" s="504"/>
    </row>
    <row r="116" spans="1:17" ht="15" thickTop="1">
      <c r="A116" s="599"/>
      <c r="B116" s="538" t="s">
        <v>2684</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2685</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2686</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3"/>
      <c r="Q121" s="559"/>
    </row>
    <row r="122" spans="1:17" ht="15" thickTop="1">
      <c r="A122" s="599"/>
      <c r="B122" s="538" t="s">
        <v>2621</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1" t="s">
        <v>2687</v>
      </c>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IF(C2="——",ROUND(C50*D3/10000,0),ROUND(C50*D3/10000,0)-D2)</f>
        <v>#DIV/0!</v>
      </c>
      <c r="C2" s="2588"/>
      <c r="D2" s="1368" t="e">
        <f ca="1">SUMIF(INDIRECT("'"&amp;F2&amp;"'"&amp;"!A:A"),"承租人权益价值",INDIRECT("'"&amp;F2&amp;"'"&amp;"!c:c"))</f>
        <v>#REF!</v>
      </c>
      <c r="E2" s="2589" t="s">
        <v>2332</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 ca="1">IF(C2="——",C50,ROUND(B2*10000/D3,0))</f>
        <v>#DIV/0!</v>
      </c>
      <c r="C3" s="400" t="s">
        <v>2645</v>
      </c>
      <c r="D3" s="399">
        <f>IF(D1="",'数据-汇总表'!E3,SUMIF('数据-汇总表'!$C19:$C33,D1,'数据-汇总表'!$E19:$E33))</f>
        <v>187098.36000000002</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260" t="s">
        <v>2652</v>
      </c>
      <c r="Q4" s="3261"/>
      <c r="R4" s="3255" t="s">
        <v>2648</v>
      </c>
      <c r="S4" s="3256"/>
      <c r="T4" s="3255" t="s">
        <v>2649</v>
      </c>
      <c r="U4" s="3256"/>
      <c r="V4" s="3264" t="s">
        <v>2650</v>
      </c>
      <c r="W4" s="3264"/>
      <c r="X4" s="2672"/>
      <c r="Y4" s="3255" t="s">
        <v>2652</v>
      </c>
      <c r="Z4" s="3256"/>
      <c r="AA4" s="3254" t="s">
        <v>2648</v>
      </c>
      <c r="AB4" s="3254" t="s">
        <v>2649</v>
      </c>
      <c r="AC4" s="3257" t="s">
        <v>2650</v>
      </c>
    </row>
    <row r="5" spans="1:29" ht="15">
      <c r="A5" s="404"/>
      <c r="B5" s="405"/>
      <c r="C5" s="3185" t="s">
        <v>2543</v>
      </c>
      <c r="D5" s="3186"/>
      <c r="E5" s="3183" t="s">
        <v>2544</v>
      </c>
      <c r="F5" s="3184"/>
      <c r="G5" s="3185" t="s">
        <v>2545</v>
      </c>
      <c r="H5" s="3186"/>
      <c r="I5" s="3185" t="s">
        <v>2546</v>
      </c>
      <c r="J5" s="3186"/>
      <c r="K5" s="610"/>
      <c r="L5" s="1133"/>
      <c r="M5" s="1134"/>
      <c r="N5" s="1134"/>
      <c r="O5" s="1134"/>
      <c r="P5" s="3262"/>
      <c r="Q5" s="3199"/>
      <c r="R5" s="3181"/>
      <c r="S5" s="3182"/>
      <c r="T5" s="3181"/>
      <c r="U5" s="3182"/>
      <c r="V5" s="3204"/>
      <c r="W5" s="3204"/>
      <c r="X5" s="1816"/>
      <c r="Y5" s="3181"/>
      <c r="Z5" s="3182"/>
      <c r="AA5" s="3175"/>
      <c r="AB5" s="3175"/>
      <c r="AC5" s="3258"/>
    </row>
    <row r="6" spans="1:29" ht="15.75" thickBot="1">
      <c r="A6" s="406"/>
      <c r="B6" s="407"/>
      <c r="C6" s="3187" t="s">
        <v>2547</v>
      </c>
      <c r="D6" s="3188"/>
      <c r="E6" s="3189" t="s">
        <v>2547</v>
      </c>
      <c r="F6" s="3190"/>
      <c r="G6" s="3187" t="s">
        <v>2547</v>
      </c>
      <c r="H6" s="3188"/>
      <c r="I6" s="3187" t="s">
        <v>2547</v>
      </c>
      <c r="J6" s="3188"/>
      <c r="K6" s="610" t="s">
        <v>2548</v>
      </c>
      <c r="L6" s="1133"/>
      <c r="M6" s="1134"/>
      <c r="N6" s="1134"/>
      <c r="O6" s="1134"/>
      <c r="P6" s="3263"/>
      <c r="Q6" s="3201"/>
      <c r="R6" s="3181"/>
      <c r="S6" s="3182"/>
      <c r="T6" s="3202"/>
      <c r="U6" s="3203"/>
      <c r="V6" s="3204"/>
      <c r="W6" s="3204"/>
      <c r="X6" s="1816"/>
      <c r="Y6" s="3202"/>
      <c r="Z6" s="3203"/>
      <c r="AA6" s="3176"/>
      <c r="AB6" s="3176"/>
      <c r="AC6" s="3259"/>
    </row>
    <row r="7" spans="1:29" s="117" customFormat="1" ht="15.75" thickBot="1">
      <c r="A7" s="408" t="s">
        <v>2549</v>
      </c>
      <c r="B7" s="409"/>
      <c r="C7" s="410">
        <f>'数据-取费表'!B2</f>
        <v>43202</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65" t="s">
        <v>2550</v>
      </c>
      <c r="Q7" s="3205"/>
      <c r="R7" s="770" t="s">
        <v>17</v>
      </c>
      <c r="S7" s="771">
        <f t="shared" ref="S7:S15" si="0">F7</f>
        <v>0</v>
      </c>
      <c r="T7" s="770" t="s">
        <v>17</v>
      </c>
      <c r="U7" s="771">
        <f t="shared" ref="U7:U15" si="1">H7</f>
        <v>0</v>
      </c>
      <c r="V7" s="770" t="s">
        <v>17</v>
      </c>
      <c r="W7" s="771">
        <f t="shared" ref="W7:W15" si="2">J7</f>
        <v>0</v>
      </c>
      <c r="X7" s="772"/>
      <c r="Y7" s="3177" t="s">
        <v>2550</v>
      </c>
      <c r="Z7" s="3178"/>
      <c r="AA7" s="773" t="e">
        <f>D7/F7</f>
        <v>#DIV/0!</v>
      </c>
      <c r="AB7" s="773" t="e">
        <f>D7/H7</f>
        <v>#DIV/0!</v>
      </c>
      <c r="AC7" s="2673"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65" t="s">
        <v>2553</v>
      </c>
      <c r="Q8" s="3178"/>
      <c r="R8" s="770" t="s">
        <v>17</v>
      </c>
      <c r="S8" s="771">
        <f t="shared" si="0"/>
        <v>0</v>
      </c>
      <c r="T8" s="770" t="s">
        <v>17</v>
      </c>
      <c r="U8" s="771">
        <f t="shared" si="1"/>
        <v>0</v>
      </c>
      <c r="V8" s="770" t="s">
        <v>17</v>
      </c>
      <c r="W8" s="771">
        <f t="shared" si="2"/>
        <v>0</v>
      </c>
      <c r="X8" s="772"/>
      <c r="Y8" s="3177" t="s">
        <v>2553</v>
      </c>
      <c r="Z8" s="3178"/>
      <c r="AA8" s="773" t="e">
        <f t="shared" ref="AA8:AA47" si="3">D8/F8</f>
        <v>#DIV/0!</v>
      </c>
      <c r="AB8" s="773" t="e">
        <f t="shared" ref="AB8:AB47" si="4">D8/H8</f>
        <v>#DIV/0!</v>
      </c>
      <c r="AC8" s="2673"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15"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2673">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15"/>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2673">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15"/>
      <c r="Q11" s="1798"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215"/>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215"/>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215"/>
      <c r="Q14" s="1798">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2673">
        <f t="shared" si="5"/>
        <v>1</v>
      </c>
    </row>
    <row r="15" spans="1:29" ht="71.25">
      <c r="A15" s="440" t="s">
        <v>2560</v>
      </c>
      <c r="B15" s="629" t="s">
        <v>2688</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19" t="s">
        <v>2561</v>
      </c>
      <c r="Q15" s="1813" t="str">
        <f t="shared" si="6"/>
        <v>办公集聚程度</v>
      </c>
      <c r="R15" s="774" t="s">
        <v>17</v>
      </c>
      <c r="S15" s="775">
        <f t="shared" si="0"/>
        <v>100</v>
      </c>
      <c r="T15" s="774" t="s">
        <v>17</v>
      </c>
      <c r="U15" s="775">
        <f t="shared" si="1"/>
        <v>100</v>
      </c>
      <c r="V15" s="774" t="s">
        <v>17</v>
      </c>
      <c r="W15" s="775">
        <f t="shared" si="2"/>
        <v>100</v>
      </c>
      <c r="X15" s="1816"/>
      <c r="Y15" s="3206" t="s">
        <v>2561</v>
      </c>
      <c r="Z15" s="1817" t="str">
        <f t="shared" si="7"/>
        <v>办公集聚程度</v>
      </c>
      <c r="AA15" s="1814">
        <f t="shared" si="3"/>
        <v>1</v>
      </c>
      <c r="AB15" s="1814">
        <f t="shared" si="4"/>
        <v>1</v>
      </c>
      <c r="AC15" s="2676">
        <f t="shared" si="5"/>
        <v>1</v>
      </c>
    </row>
    <row r="16" spans="1:29" ht="15">
      <c r="A16" s="428"/>
      <c r="B16" s="630"/>
      <c r="C16" s="2613"/>
      <c r="D16" s="448"/>
      <c r="E16" s="447"/>
      <c r="F16" s="448"/>
      <c r="G16" s="2613"/>
      <c r="H16" s="450"/>
      <c r="I16" s="447"/>
      <c r="J16" s="448"/>
      <c r="K16" s="615"/>
      <c r="L16" s="1143"/>
      <c r="M16" s="1134"/>
      <c r="N16" s="1134"/>
      <c r="O16" s="1134"/>
      <c r="P16" s="3220"/>
      <c r="Q16" s="1813"/>
      <c r="R16" s="774"/>
      <c r="S16" s="775"/>
      <c r="T16" s="774"/>
      <c r="U16" s="775"/>
      <c r="V16" s="774"/>
      <c r="W16" s="775"/>
      <c r="X16" s="1816"/>
      <c r="Y16" s="3207"/>
      <c r="Z16" s="1817"/>
      <c r="AA16" s="1814">
        <v>1</v>
      </c>
      <c r="AB16" s="1814">
        <v>1</v>
      </c>
      <c r="AC16" s="2676">
        <v>1</v>
      </c>
    </row>
    <row r="17" spans="1:29" ht="71.25">
      <c r="A17" s="428"/>
      <c r="B17" s="631" t="s">
        <v>2099</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20"/>
      <c r="Q17" s="1813" t="str">
        <f>B17</f>
        <v>交通便捷度</v>
      </c>
      <c r="R17" s="774" t="s">
        <v>17</v>
      </c>
      <c r="S17" s="775">
        <f>F17</f>
        <v>100</v>
      </c>
      <c r="T17" s="774" t="s">
        <v>17</v>
      </c>
      <c r="U17" s="775">
        <f>H17</f>
        <v>100</v>
      </c>
      <c r="V17" s="774" t="s">
        <v>17</v>
      </c>
      <c r="W17" s="775">
        <f>J17</f>
        <v>100</v>
      </c>
      <c r="X17" s="1816"/>
      <c r="Y17" s="3207"/>
      <c r="Z17" s="1817" t="str">
        <f>Q17</f>
        <v>交通便捷度</v>
      </c>
      <c r="AA17" s="1814">
        <f t="shared" si="3"/>
        <v>1</v>
      </c>
      <c r="AB17" s="1814">
        <f t="shared" si="4"/>
        <v>1</v>
      </c>
      <c r="AC17" s="2676">
        <f t="shared" si="5"/>
        <v>1</v>
      </c>
    </row>
    <row r="18" spans="1:29" ht="15">
      <c r="A18" s="428"/>
      <c r="B18" s="632"/>
      <c r="C18" s="2678"/>
      <c r="D18" s="450"/>
      <c r="E18" s="2611"/>
      <c r="F18" s="450"/>
      <c r="G18" s="2612"/>
      <c r="H18" s="448"/>
      <c r="I18" s="2612"/>
      <c r="J18" s="448"/>
      <c r="K18" s="615"/>
      <c r="L18" s="1143"/>
      <c r="M18" s="1134"/>
      <c r="N18" s="1134"/>
      <c r="O18" s="1134"/>
      <c r="P18" s="3220"/>
      <c r="Q18" s="1813"/>
      <c r="R18" s="774"/>
      <c r="S18" s="775"/>
      <c r="T18" s="774"/>
      <c r="U18" s="775"/>
      <c r="V18" s="774"/>
      <c r="W18" s="775"/>
      <c r="X18" s="1816"/>
      <c r="Y18" s="3207"/>
      <c r="Z18" s="1817"/>
      <c r="AA18" s="1814">
        <v>1</v>
      </c>
      <c r="AB18" s="1814">
        <v>1</v>
      </c>
      <c r="AC18" s="2676">
        <v>1</v>
      </c>
    </row>
    <row r="19" spans="1:29" ht="42.75">
      <c r="A19" s="428"/>
      <c r="B19" s="631" t="s">
        <v>2689</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20"/>
      <c r="Q19" s="1813" t="str">
        <f>B19</f>
        <v>公共配套设施</v>
      </c>
      <c r="R19" s="774" t="s">
        <v>17</v>
      </c>
      <c r="S19" s="775">
        <f>F19</f>
        <v>100</v>
      </c>
      <c r="T19" s="774" t="s">
        <v>17</v>
      </c>
      <c r="U19" s="775">
        <f>H19</f>
        <v>100</v>
      </c>
      <c r="V19" s="774" t="s">
        <v>17</v>
      </c>
      <c r="W19" s="775">
        <f>J19</f>
        <v>100</v>
      </c>
      <c r="X19" s="1816"/>
      <c r="Y19" s="3207"/>
      <c r="Z19" s="1817" t="str">
        <f>Q19</f>
        <v>公共配套设施</v>
      </c>
      <c r="AA19" s="1814">
        <f t="shared" si="3"/>
        <v>1</v>
      </c>
      <c r="AB19" s="1814">
        <f t="shared" si="4"/>
        <v>1</v>
      </c>
      <c r="AC19" s="2676">
        <f t="shared" si="5"/>
        <v>1</v>
      </c>
    </row>
    <row r="20" spans="1:29" ht="15">
      <c r="A20" s="428"/>
      <c r="B20" s="632"/>
      <c r="C20" s="2613"/>
      <c r="D20" s="448"/>
      <c r="E20" s="2606"/>
      <c r="F20" s="448"/>
      <c r="G20" s="2607"/>
      <c r="H20" s="448"/>
      <c r="I20" s="2607"/>
      <c r="J20" s="448"/>
      <c r="K20" s="615"/>
      <c r="L20" s="1143"/>
      <c r="M20" s="1134"/>
      <c r="N20" s="1134"/>
      <c r="O20" s="1134"/>
      <c r="P20" s="3220"/>
      <c r="Q20" s="1813"/>
      <c r="R20" s="774"/>
      <c r="S20" s="775"/>
      <c r="T20" s="774"/>
      <c r="U20" s="775"/>
      <c r="V20" s="774"/>
      <c r="W20" s="775"/>
      <c r="X20" s="1816"/>
      <c r="Y20" s="3207"/>
      <c r="Z20" s="1817"/>
      <c r="AA20" s="1814">
        <v>1</v>
      </c>
      <c r="AB20" s="1814">
        <v>1</v>
      </c>
      <c r="AC20" s="2676">
        <v>1</v>
      </c>
    </row>
    <row r="21" spans="1:29" ht="28.5">
      <c r="A21" s="428"/>
      <c r="B21" s="633" t="s">
        <v>2690</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20"/>
      <c r="Q21" s="1813" t="str">
        <f>B21</f>
        <v>基础设施水平</v>
      </c>
      <c r="R21" s="774" t="s">
        <v>17</v>
      </c>
      <c r="S21" s="775">
        <f>F21</f>
        <v>100</v>
      </c>
      <c r="T21" s="774" t="s">
        <v>17</v>
      </c>
      <c r="U21" s="775">
        <f>H21</f>
        <v>100</v>
      </c>
      <c r="V21" s="774" t="s">
        <v>17</v>
      </c>
      <c r="W21" s="775">
        <f>J21</f>
        <v>100</v>
      </c>
      <c r="X21" s="1816"/>
      <c r="Y21" s="3207"/>
      <c r="Z21" s="1817" t="str">
        <f>Q21</f>
        <v>基础设施水平</v>
      </c>
      <c r="AA21" s="1814">
        <f t="shared" ref="AA21" si="8">D21/F21</f>
        <v>1</v>
      </c>
      <c r="AB21" s="1814">
        <f t="shared" ref="AB21" si="9">D21/H21</f>
        <v>1</v>
      </c>
      <c r="AC21" s="2676">
        <f t="shared" ref="AC21" si="10">D21/J21</f>
        <v>1</v>
      </c>
    </row>
    <row r="22" spans="1:29" ht="15">
      <c r="A22" s="428"/>
      <c r="B22" s="633"/>
      <c r="C22" s="2678"/>
      <c r="D22" s="448"/>
      <c r="E22" s="447"/>
      <c r="F22" s="448"/>
      <c r="G22" s="2613"/>
      <c r="H22" s="448"/>
      <c r="I22" s="2613"/>
      <c r="J22" s="448"/>
      <c r="K22" s="1386"/>
      <c r="L22" s="1143"/>
      <c r="M22" s="1134"/>
      <c r="N22" s="1134"/>
      <c r="O22" s="1134"/>
      <c r="P22" s="3220"/>
      <c r="Q22" s="1813"/>
      <c r="R22" s="774"/>
      <c r="S22" s="775"/>
      <c r="T22" s="774"/>
      <c r="U22" s="775"/>
      <c r="V22" s="774"/>
      <c r="W22" s="775"/>
      <c r="X22" s="1816"/>
      <c r="Y22" s="3207"/>
      <c r="Z22" s="1817"/>
      <c r="AA22" s="1814">
        <v>1</v>
      </c>
      <c r="AB22" s="1814">
        <v>1</v>
      </c>
      <c r="AC22" s="2676">
        <v>1</v>
      </c>
    </row>
    <row r="23" spans="1:29" ht="42.75">
      <c r="A23" s="428"/>
      <c r="B23" s="631" t="s">
        <v>2691</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20"/>
      <c r="Q23" s="1813" t="str">
        <f>B23</f>
        <v>环境质量</v>
      </c>
      <c r="R23" s="774" t="s">
        <v>17</v>
      </c>
      <c r="S23" s="775">
        <f>F23</f>
        <v>100</v>
      </c>
      <c r="T23" s="774" t="s">
        <v>17</v>
      </c>
      <c r="U23" s="775">
        <f>H23</f>
        <v>100</v>
      </c>
      <c r="V23" s="774" t="s">
        <v>17</v>
      </c>
      <c r="W23" s="775">
        <f>J23</f>
        <v>100</v>
      </c>
      <c r="X23" s="1816"/>
      <c r="Y23" s="3207"/>
      <c r="Z23" s="1817" t="str">
        <f>Q23</f>
        <v>环境质量</v>
      </c>
      <c r="AA23" s="1814">
        <f t="shared" si="3"/>
        <v>1</v>
      </c>
      <c r="AB23" s="1814">
        <f t="shared" si="4"/>
        <v>1</v>
      </c>
      <c r="AC23" s="2676">
        <f t="shared" si="5"/>
        <v>1</v>
      </c>
    </row>
    <row r="24" spans="1:29" ht="15">
      <c r="A24" s="428"/>
      <c r="B24" s="633"/>
      <c r="C24" s="2613"/>
      <c r="D24" s="448"/>
      <c r="E24" s="2606"/>
      <c r="F24" s="448"/>
      <c r="G24" s="2607"/>
      <c r="H24" s="448"/>
      <c r="I24" s="2607"/>
      <c r="J24" s="448"/>
      <c r="K24" s="615"/>
      <c r="L24" s="1143"/>
      <c r="M24" s="1134"/>
      <c r="N24" s="1134"/>
      <c r="O24" s="1134"/>
      <c r="P24" s="3220"/>
      <c r="Q24" s="1813"/>
      <c r="R24" s="774"/>
      <c r="S24" s="775"/>
      <c r="T24" s="774"/>
      <c r="U24" s="775"/>
      <c r="V24" s="774"/>
      <c r="W24" s="775"/>
      <c r="X24" s="1816"/>
      <c r="Y24" s="3207"/>
      <c r="Z24" s="1817"/>
      <c r="AA24" s="1814">
        <v>1</v>
      </c>
      <c r="AB24" s="1814">
        <v>1</v>
      </c>
      <c r="AC24" s="2676">
        <v>1</v>
      </c>
    </row>
    <row r="25" spans="1:29" ht="27">
      <c r="A25" s="404"/>
      <c r="B25" s="631" t="s">
        <v>2692</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20"/>
      <c r="Q25" s="1813" t="str">
        <f>B25</f>
        <v>毗邻道路的类型与等级</v>
      </c>
      <c r="R25" s="774" t="s">
        <v>17</v>
      </c>
      <c r="S25" s="775">
        <f>F25</f>
        <v>100</v>
      </c>
      <c r="T25" s="774" t="s">
        <v>17</v>
      </c>
      <c r="U25" s="775">
        <f>H25</f>
        <v>100</v>
      </c>
      <c r="V25" s="774" t="s">
        <v>17</v>
      </c>
      <c r="W25" s="775">
        <f>J25</f>
        <v>100</v>
      </c>
      <c r="X25" s="1816"/>
      <c r="Y25" s="3207"/>
      <c r="Z25" s="1817" t="str">
        <f>Q25</f>
        <v>毗邻道路的类型与等级</v>
      </c>
      <c r="AA25" s="1814">
        <f t="shared" si="3"/>
        <v>1</v>
      </c>
      <c r="AB25" s="1814">
        <f t="shared" si="4"/>
        <v>1</v>
      </c>
      <c r="AC25" s="2676">
        <f t="shared" si="5"/>
        <v>1</v>
      </c>
    </row>
    <row r="26" spans="1:29" ht="15">
      <c r="A26" s="404"/>
      <c r="B26" s="632"/>
      <c r="C26" s="634"/>
      <c r="D26" s="435"/>
      <c r="E26" s="616"/>
      <c r="F26" s="435"/>
      <c r="G26" s="634"/>
      <c r="H26" s="435"/>
      <c r="I26" s="616"/>
      <c r="J26" s="435"/>
      <c r="K26" s="615"/>
      <c r="L26" s="1143"/>
      <c r="M26" s="1134"/>
      <c r="N26" s="1134"/>
      <c r="O26" s="1134"/>
      <c r="P26" s="3220"/>
      <c r="Q26" s="1813"/>
      <c r="R26" s="774"/>
      <c r="S26" s="775"/>
      <c r="T26" s="774"/>
      <c r="U26" s="775"/>
      <c r="V26" s="774"/>
      <c r="W26" s="775"/>
      <c r="X26" s="1816"/>
      <c r="Y26" s="3207"/>
      <c r="Z26" s="1817"/>
      <c r="AA26" s="1814">
        <v>1</v>
      </c>
      <c r="AB26" s="1814">
        <v>1</v>
      </c>
      <c r="AC26" s="2676">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20"/>
      <c r="Q27" s="1813" t="str">
        <f t="shared" ref="Q27:Q47" si="11">B27</f>
        <v>楼层</v>
      </c>
      <c r="R27" s="774" t="s">
        <v>17</v>
      </c>
      <c r="S27" s="775">
        <f>F27</f>
        <v>100</v>
      </c>
      <c r="T27" s="774" t="s">
        <v>17</v>
      </c>
      <c r="U27" s="775">
        <f>H27</f>
        <v>100</v>
      </c>
      <c r="V27" s="774" t="s">
        <v>17</v>
      </c>
      <c r="W27" s="775">
        <f>J27</f>
        <v>100</v>
      </c>
      <c r="X27" s="1816"/>
      <c r="Y27" s="3207"/>
      <c r="Z27" s="1817" t="str">
        <f>Q27</f>
        <v>楼层</v>
      </c>
      <c r="AA27" s="1814">
        <f t="shared" si="3"/>
        <v>1</v>
      </c>
      <c r="AB27" s="1814">
        <f t="shared" si="4"/>
        <v>1</v>
      </c>
      <c r="AC27" s="2676">
        <f t="shared" si="5"/>
        <v>1</v>
      </c>
    </row>
    <row r="28" spans="1:29" s="117" customFormat="1" ht="15">
      <c r="A28" s="431"/>
      <c r="B28" s="631" t="s">
        <v>2693</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20"/>
      <c r="Q28" s="1798" t="str">
        <f t="shared" si="11"/>
        <v>朝向</v>
      </c>
      <c r="R28" s="770" t="s">
        <v>17</v>
      </c>
      <c r="S28" s="771">
        <f>F28</f>
        <v>100</v>
      </c>
      <c r="T28" s="770" t="s">
        <v>17</v>
      </c>
      <c r="U28" s="771">
        <f>H28</f>
        <v>100</v>
      </c>
      <c r="V28" s="770" t="s">
        <v>17</v>
      </c>
      <c r="W28" s="771">
        <f>J28</f>
        <v>100</v>
      </c>
      <c r="X28" s="772"/>
      <c r="Y28" s="3207"/>
      <c r="Z28" s="55" t="str">
        <f>Q28</f>
        <v>朝向</v>
      </c>
      <c r="AA28" s="1814">
        <f>D28/F28</f>
        <v>1</v>
      </c>
      <c r="AB28" s="1814">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20"/>
      <c r="Q29" s="1813">
        <f t="shared" si="11"/>
        <v>111</v>
      </c>
      <c r="R29" s="774" t="s">
        <v>17</v>
      </c>
      <c r="S29" s="775">
        <f t="shared" ref="S29:S47" si="12">F29</f>
        <v>100</v>
      </c>
      <c r="T29" s="774" t="s">
        <v>17</v>
      </c>
      <c r="U29" s="775">
        <f t="shared" ref="U29:U47" si="13">H29</f>
        <v>100</v>
      </c>
      <c r="V29" s="774" t="s">
        <v>17</v>
      </c>
      <c r="W29" s="775">
        <f t="shared" ref="W29:W47" si="14">J29</f>
        <v>100</v>
      </c>
      <c r="X29" s="1816"/>
      <c r="Y29" s="3207"/>
      <c r="Z29" s="1817">
        <f t="shared" ref="Z29:Z47" si="15">Q29</f>
        <v>111</v>
      </c>
      <c r="AA29" s="1814">
        <f t="shared" si="3"/>
        <v>1</v>
      </c>
      <c r="AB29" s="1814">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20"/>
      <c r="Q30" s="1813">
        <f t="shared" si="11"/>
        <v>111</v>
      </c>
      <c r="R30" s="774" t="s">
        <v>17</v>
      </c>
      <c r="S30" s="775">
        <f t="shared" si="12"/>
        <v>100</v>
      </c>
      <c r="T30" s="774" t="s">
        <v>17</v>
      </c>
      <c r="U30" s="775">
        <f t="shared" si="13"/>
        <v>100</v>
      </c>
      <c r="V30" s="774" t="s">
        <v>17</v>
      </c>
      <c r="W30" s="775">
        <f t="shared" si="14"/>
        <v>100</v>
      </c>
      <c r="X30" s="1816"/>
      <c r="Y30" s="3207"/>
      <c r="Z30" s="1817">
        <f t="shared" si="15"/>
        <v>111</v>
      </c>
      <c r="AA30" s="1814">
        <f t="shared" si="3"/>
        <v>1</v>
      </c>
      <c r="AB30" s="1814">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20"/>
      <c r="Q31" s="1813">
        <f t="shared" si="11"/>
        <v>111</v>
      </c>
      <c r="R31" s="774" t="s">
        <v>17</v>
      </c>
      <c r="S31" s="775">
        <f t="shared" si="12"/>
        <v>100</v>
      </c>
      <c r="T31" s="774" t="s">
        <v>17</v>
      </c>
      <c r="U31" s="775">
        <f t="shared" si="13"/>
        <v>100</v>
      </c>
      <c r="V31" s="774" t="s">
        <v>17</v>
      </c>
      <c r="W31" s="775">
        <f t="shared" si="14"/>
        <v>100</v>
      </c>
      <c r="X31" s="1816"/>
      <c r="Y31" s="3207"/>
      <c r="Z31" s="1817">
        <f t="shared" si="15"/>
        <v>111</v>
      </c>
      <c r="AA31" s="1814">
        <f t="shared" si="3"/>
        <v>1</v>
      </c>
      <c r="AB31" s="1814">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20"/>
      <c r="Q32" s="1813">
        <f t="shared" si="11"/>
        <v>111</v>
      </c>
      <c r="R32" s="774" t="s">
        <v>17</v>
      </c>
      <c r="S32" s="775">
        <f t="shared" si="12"/>
        <v>100</v>
      </c>
      <c r="T32" s="774" t="s">
        <v>17</v>
      </c>
      <c r="U32" s="775">
        <f t="shared" si="13"/>
        <v>100</v>
      </c>
      <c r="V32" s="774" t="s">
        <v>17</v>
      </c>
      <c r="W32" s="775">
        <f t="shared" si="14"/>
        <v>100</v>
      </c>
      <c r="X32" s="1816"/>
      <c r="Y32" s="3207"/>
      <c r="Z32" s="1817">
        <f t="shared" si="15"/>
        <v>111</v>
      </c>
      <c r="AA32" s="1814">
        <f t="shared" si="3"/>
        <v>1</v>
      </c>
      <c r="AB32" s="1814">
        <f t="shared" si="4"/>
        <v>1</v>
      </c>
      <c r="AC32" s="2676">
        <f t="shared" si="5"/>
        <v>1</v>
      </c>
    </row>
    <row r="33" spans="1:29" ht="15">
      <c r="A33" s="440" t="s">
        <v>2564</v>
      </c>
      <c r="B33" s="71" t="s">
        <v>2694</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21" t="s">
        <v>2566</v>
      </c>
      <c r="Q33" s="1813" t="str">
        <f t="shared" si="11"/>
        <v>建筑类型</v>
      </c>
      <c r="R33" s="774" t="s">
        <v>17</v>
      </c>
      <c r="S33" s="775">
        <f t="shared" si="12"/>
        <v>100</v>
      </c>
      <c r="T33" s="774" t="s">
        <v>17</v>
      </c>
      <c r="U33" s="775">
        <f t="shared" si="13"/>
        <v>100</v>
      </c>
      <c r="V33" s="774" t="s">
        <v>17</v>
      </c>
      <c r="W33" s="775">
        <f t="shared" si="14"/>
        <v>100</v>
      </c>
      <c r="X33" s="1816"/>
      <c r="Y33" s="3209" t="s">
        <v>2566</v>
      </c>
      <c r="Z33" s="1817" t="str">
        <f t="shared" si="15"/>
        <v>建筑类型</v>
      </c>
      <c r="AA33" s="1814">
        <f t="shared" si="3"/>
        <v>1</v>
      </c>
      <c r="AB33" s="1814">
        <f t="shared" si="4"/>
        <v>1</v>
      </c>
      <c r="AC33" s="2676">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22"/>
      <c r="Q34" s="776" t="str">
        <f t="shared" si="11"/>
        <v>项目建筑规模</v>
      </c>
      <c r="R34" s="777" t="s">
        <v>17</v>
      </c>
      <c r="S34" s="778" t="e">
        <f t="shared" si="12"/>
        <v>#N/A</v>
      </c>
      <c r="T34" s="777" t="s">
        <v>17</v>
      </c>
      <c r="U34" s="778" t="e">
        <f t="shared" si="13"/>
        <v>#N/A</v>
      </c>
      <c r="V34" s="777" t="s">
        <v>17</v>
      </c>
      <c r="W34" s="778" t="e">
        <f t="shared" si="14"/>
        <v>#N/A</v>
      </c>
      <c r="X34" s="779"/>
      <c r="Y34" s="3209"/>
      <c r="Z34" s="780" t="str">
        <f t="shared" si="15"/>
        <v>项目建筑规模</v>
      </c>
      <c r="AA34" s="1814" t="e">
        <f t="shared" si="3"/>
        <v>#N/A</v>
      </c>
      <c r="AB34" s="1814" t="e">
        <f t="shared" si="4"/>
        <v>#N/A</v>
      </c>
      <c r="AC34" s="2676"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22"/>
      <c r="Q35" s="1813" t="str">
        <f t="shared" si="11"/>
        <v>建筑结构</v>
      </c>
      <c r="R35" s="774" t="s">
        <v>17</v>
      </c>
      <c r="S35" s="775">
        <f t="shared" si="12"/>
        <v>100</v>
      </c>
      <c r="T35" s="774" t="s">
        <v>17</v>
      </c>
      <c r="U35" s="775">
        <f t="shared" si="13"/>
        <v>100</v>
      </c>
      <c r="V35" s="774" t="s">
        <v>17</v>
      </c>
      <c r="W35" s="775">
        <f t="shared" si="14"/>
        <v>100</v>
      </c>
      <c r="X35" s="1816"/>
      <c r="Y35" s="3209"/>
      <c r="Z35" s="1817" t="str">
        <f t="shared" si="15"/>
        <v>建筑结构</v>
      </c>
      <c r="AA35" s="1814">
        <f t="shared" si="3"/>
        <v>1</v>
      </c>
      <c r="AB35" s="1814">
        <f t="shared" si="4"/>
        <v>1</v>
      </c>
      <c r="AC35" s="2676">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22"/>
      <c r="Q36" s="1813" t="str">
        <f t="shared" si="11"/>
        <v>公共部分装修</v>
      </c>
      <c r="R36" s="774" t="s">
        <v>17</v>
      </c>
      <c r="S36" s="775">
        <f t="shared" si="12"/>
        <v>100</v>
      </c>
      <c r="T36" s="774" t="s">
        <v>17</v>
      </c>
      <c r="U36" s="775">
        <f t="shared" si="13"/>
        <v>100</v>
      </c>
      <c r="V36" s="774" t="s">
        <v>17</v>
      </c>
      <c r="W36" s="775">
        <f t="shared" si="14"/>
        <v>100</v>
      </c>
      <c r="X36" s="1816"/>
      <c r="Y36" s="3209"/>
      <c r="Z36" s="1817" t="str">
        <f t="shared" si="15"/>
        <v>公共部分装修</v>
      </c>
      <c r="AA36" s="1814">
        <f t="shared" si="3"/>
        <v>1</v>
      </c>
      <c r="AB36" s="1814">
        <f t="shared" si="4"/>
        <v>1</v>
      </c>
      <c r="AC36" s="2676">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22"/>
      <c r="Q37" s="1813" t="str">
        <f t="shared" si="11"/>
        <v>成新度</v>
      </c>
      <c r="R37" s="774" t="s">
        <v>17</v>
      </c>
      <c r="S37" s="775" t="e">
        <f t="shared" si="12"/>
        <v>#N/A</v>
      </c>
      <c r="T37" s="774" t="s">
        <v>17</v>
      </c>
      <c r="U37" s="775" t="e">
        <f t="shared" si="13"/>
        <v>#N/A</v>
      </c>
      <c r="V37" s="774" t="s">
        <v>17</v>
      </c>
      <c r="W37" s="775" t="e">
        <f t="shared" si="14"/>
        <v>#N/A</v>
      </c>
      <c r="X37" s="1816"/>
      <c r="Y37" s="3209"/>
      <c r="Z37" s="1817" t="str">
        <f t="shared" si="15"/>
        <v>成新度</v>
      </c>
      <c r="AA37" s="1814" t="e">
        <f t="shared" si="3"/>
        <v>#N/A</v>
      </c>
      <c r="AB37" s="1814" t="e">
        <f t="shared" si="4"/>
        <v>#N/A</v>
      </c>
      <c r="AC37" s="2676"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22"/>
      <c r="Q38" s="1798" t="str">
        <f t="shared" si="11"/>
        <v>写字楼等级</v>
      </c>
      <c r="R38" s="770" t="s">
        <v>17</v>
      </c>
      <c r="S38" s="771">
        <f t="shared" si="12"/>
        <v>100</v>
      </c>
      <c r="T38" s="770" t="s">
        <v>17</v>
      </c>
      <c r="U38" s="771">
        <f t="shared" si="13"/>
        <v>100</v>
      </c>
      <c r="V38" s="770" t="s">
        <v>17</v>
      </c>
      <c r="W38" s="771">
        <f t="shared" si="14"/>
        <v>100</v>
      </c>
      <c r="X38" s="772"/>
      <c r="Y38" s="3209"/>
      <c r="Z38" s="55" t="str">
        <f t="shared" si="15"/>
        <v>写字楼等级</v>
      </c>
      <c r="AA38" s="773">
        <f t="shared" si="3"/>
        <v>1</v>
      </c>
      <c r="AB38" s="773">
        <f t="shared" si="4"/>
        <v>1</v>
      </c>
      <c r="AC38" s="2673">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22" t="s">
        <v>2566</v>
      </c>
      <c r="Q39" s="1813" t="str">
        <f t="shared" si="11"/>
        <v>物业管理</v>
      </c>
      <c r="R39" s="774" t="s">
        <v>17</v>
      </c>
      <c r="S39" s="775">
        <f t="shared" si="12"/>
        <v>100</v>
      </c>
      <c r="T39" s="774" t="s">
        <v>17</v>
      </c>
      <c r="U39" s="775">
        <f t="shared" si="13"/>
        <v>100</v>
      </c>
      <c r="V39" s="774" t="s">
        <v>17</v>
      </c>
      <c r="W39" s="775">
        <f t="shared" si="14"/>
        <v>100</v>
      </c>
      <c r="X39" s="1816"/>
      <c r="Y39" s="3209" t="s">
        <v>2566</v>
      </c>
      <c r="Z39" s="1817" t="str">
        <f t="shared" si="15"/>
        <v>物业管理</v>
      </c>
      <c r="AA39" s="1814">
        <f t="shared" si="3"/>
        <v>1</v>
      </c>
      <c r="AB39" s="1814">
        <f t="shared" si="4"/>
        <v>1</v>
      </c>
      <c r="AC39" s="2676">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22"/>
      <c r="Q40" s="1813" t="str">
        <f t="shared" si="11"/>
        <v>市政基础设施</v>
      </c>
      <c r="R40" s="774" t="s">
        <v>17</v>
      </c>
      <c r="S40" s="775">
        <f t="shared" si="12"/>
        <v>100</v>
      </c>
      <c r="T40" s="774" t="s">
        <v>17</v>
      </c>
      <c r="U40" s="775">
        <f t="shared" si="13"/>
        <v>100</v>
      </c>
      <c r="V40" s="774" t="s">
        <v>17</v>
      </c>
      <c r="W40" s="775">
        <f t="shared" si="14"/>
        <v>100</v>
      </c>
      <c r="X40" s="1816"/>
      <c r="Y40" s="3209"/>
      <c r="Z40" s="1817" t="str">
        <f t="shared" si="15"/>
        <v>市政基础设施</v>
      </c>
      <c r="AA40" s="1814">
        <f t="shared" si="3"/>
        <v>1</v>
      </c>
      <c r="AB40" s="1814">
        <f t="shared" si="4"/>
        <v>1</v>
      </c>
      <c r="AC40" s="2676">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22"/>
      <c r="Q41" s="1813" t="str">
        <f t="shared" si="11"/>
        <v>层高</v>
      </c>
      <c r="R41" s="774" t="s">
        <v>17</v>
      </c>
      <c r="S41" s="775">
        <f t="shared" si="12"/>
        <v>100</v>
      </c>
      <c r="T41" s="774" t="s">
        <v>17</v>
      </c>
      <c r="U41" s="775">
        <f t="shared" si="13"/>
        <v>100</v>
      </c>
      <c r="V41" s="774" t="s">
        <v>17</v>
      </c>
      <c r="W41" s="775">
        <f t="shared" si="14"/>
        <v>100</v>
      </c>
      <c r="X41" s="1816"/>
      <c r="Y41" s="3209"/>
      <c r="Z41" s="1817" t="str">
        <f t="shared" si="15"/>
        <v>层高</v>
      </c>
      <c r="AA41" s="1814">
        <f t="shared" si="3"/>
        <v>1</v>
      </c>
      <c r="AB41" s="1814">
        <f t="shared" si="4"/>
        <v>1</v>
      </c>
      <c r="AC41" s="2676">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22"/>
      <c r="Q42" s="776" t="str">
        <f t="shared" si="11"/>
        <v>单套建筑面积</v>
      </c>
      <c r="R42" s="777" t="s">
        <v>17</v>
      </c>
      <c r="S42" s="778">
        <f t="shared" si="12"/>
        <v>100</v>
      </c>
      <c r="T42" s="777" t="s">
        <v>17</v>
      </c>
      <c r="U42" s="778">
        <f t="shared" si="13"/>
        <v>100</v>
      </c>
      <c r="V42" s="777" t="s">
        <v>17</v>
      </c>
      <c r="W42" s="778">
        <f t="shared" si="14"/>
        <v>100</v>
      </c>
      <c r="X42" s="779"/>
      <c r="Y42" s="3209"/>
      <c r="Z42" s="780" t="str">
        <f t="shared" si="15"/>
        <v>单套建筑面积</v>
      </c>
      <c r="AA42" s="1814">
        <f t="shared" si="3"/>
        <v>1</v>
      </c>
      <c r="AB42" s="1814">
        <f t="shared" si="4"/>
        <v>1</v>
      </c>
      <c r="AC42" s="2676">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22"/>
      <c r="Q43" s="1813" t="str">
        <f t="shared" si="11"/>
        <v>内部装修</v>
      </c>
      <c r="R43" s="774" t="s">
        <v>17</v>
      </c>
      <c r="S43" s="775">
        <f t="shared" si="12"/>
        <v>100</v>
      </c>
      <c r="T43" s="774" t="s">
        <v>17</v>
      </c>
      <c r="U43" s="775">
        <f t="shared" si="13"/>
        <v>100</v>
      </c>
      <c r="V43" s="774" t="s">
        <v>17</v>
      </c>
      <c r="W43" s="775">
        <f t="shared" si="14"/>
        <v>100</v>
      </c>
      <c r="X43" s="1816"/>
      <c r="Y43" s="3209"/>
      <c r="Z43" s="1817" t="str">
        <f t="shared" si="15"/>
        <v>内部装修</v>
      </c>
      <c r="AA43" s="1814">
        <f t="shared" si="3"/>
        <v>1</v>
      </c>
      <c r="AB43" s="1814">
        <f t="shared" si="4"/>
        <v>1</v>
      </c>
      <c r="AC43" s="2676">
        <f t="shared" si="5"/>
        <v>1</v>
      </c>
    </row>
    <row r="44" spans="1:29" ht="15">
      <c r="A44" s="472"/>
      <c r="B44" s="422" t="s">
        <v>2577</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22"/>
      <c r="Q44" s="1813" t="str">
        <f t="shared" si="11"/>
        <v>内部装修维护情况</v>
      </c>
      <c r="R44" s="774" t="s">
        <v>17</v>
      </c>
      <c r="S44" s="775">
        <f t="shared" si="12"/>
        <v>100</v>
      </c>
      <c r="T44" s="774" t="s">
        <v>17</v>
      </c>
      <c r="U44" s="775">
        <f t="shared" si="13"/>
        <v>100</v>
      </c>
      <c r="V44" s="774" t="s">
        <v>17</v>
      </c>
      <c r="W44" s="775">
        <f t="shared" si="14"/>
        <v>100</v>
      </c>
      <c r="X44" s="1816"/>
      <c r="Y44" s="3209"/>
      <c r="Z44" s="1817" t="str">
        <f t="shared" si="15"/>
        <v>内部装修维护情况</v>
      </c>
      <c r="AA44" s="1814">
        <f t="shared" si="3"/>
        <v>1</v>
      </c>
      <c r="AB44" s="1814">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22"/>
      <c r="Q45" s="1798">
        <f t="shared" si="11"/>
        <v>111</v>
      </c>
      <c r="R45" s="770" t="s">
        <v>17</v>
      </c>
      <c r="S45" s="771">
        <f t="shared" si="12"/>
        <v>100</v>
      </c>
      <c r="T45" s="770" t="s">
        <v>17</v>
      </c>
      <c r="U45" s="771">
        <f t="shared" si="13"/>
        <v>100</v>
      </c>
      <c r="V45" s="770" t="s">
        <v>17</v>
      </c>
      <c r="W45" s="771">
        <f t="shared" si="14"/>
        <v>100</v>
      </c>
      <c r="X45" s="772"/>
      <c r="Y45" s="3209"/>
      <c r="Z45" s="55">
        <f t="shared" si="15"/>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22"/>
      <c r="Q46" s="1813">
        <f t="shared" si="11"/>
        <v>111</v>
      </c>
      <c r="R46" s="774" t="s">
        <v>17</v>
      </c>
      <c r="S46" s="775">
        <f t="shared" si="12"/>
        <v>100</v>
      </c>
      <c r="T46" s="774" t="s">
        <v>17</v>
      </c>
      <c r="U46" s="775">
        <f t="shared" si="13"/>
        <v>100</v>
      </c>
      <c r="V46" s="774" t="s">
        <v>17</v>
      </c>
      <c r="W46" s="775">
        <f t="shared" si="14"/>
        <v>100</v>
      </c>
      <c r="X46" s="1816"/>
      <c r="Y46" s="3209"/>
      <c r="Z46" s="1817">
        <f t="shared" si="15"/>
        <v>111</v>
      </c>
      <c r="AA46" s="1814">
        <f t="shared" si="3"/>
        <v>1</v>
      </c>
      <c r="AB46" s="1814">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23"/>
      <c r="Q47" s="1813">
        <f t="shared" si="11"/>
        <v>111</v>
      </c>
      <c r="R47" s="774" t="s">
        <v>17</v>
      </c>
      <c r="S47" s="775">
        <f t="shared" si="12"/>
        <v>100</v>
      </c>
      <c r="T47" s="774" t="s">
        <v>17</v>
      </c>
      <c r="U47" s="775">
        <f t="shared" si="13"/>
        <v>100</v>
      </c>
      <c r="V47" s="774" t="s">
        <v>17</v>
      </c>
      <c r="W47" s="775">
        <f t="shared" si="14"/>
        <v>100</v>
      </c>
      <c r="X47" s="1816"/>
      <c r="Y47" s="3224"/>
      <c r="Z47" s="1817">
        <f t="shared" si="15"/>
        <v>111</v>
      </c>
      <c r="AA47" s="1814">
        <f t="shared" si="3"/>
        <v>1</v>
      </c>
      <c r="AB47" s="1814">
        <f t="shared" si="4"/>
        <v>1</v>
      </c>
      <c r="AC47" s="2676">
        <f t="shared" si="5"/>
        <v>1</v>
      </c>
    </row>
    <row r="48" spans="1:29" ht="15">
      <c r="A48" s="479" t="s">
        <v>2578</v>
      </c>
      <c r="B48" s="480"/>
      <c r="C48" s="1410" t="s">
        <v>1</v>
      </c>
      <c r="D48" s="1411"/>
      <c r="E48" s="1412"/>
      <c r="F48" s="1413"/>
      <c r="G48" s="1414"/>
      <c r="H48" s="1415"/>
      <c r="I48" s="1412"/>
      <c r="J48" s="485"/>
      <c r="K48" s="783"/>
      <c r="L48" s="1146"/>
      <c r="M48" s="1134"/>
      <c r="N48" s="1134"/>
      <c r="O48" s="1134"/>
      <c r="P48" s="3215" t="str">
        <f>A48</f>
        <v>成交单价（元/平方米）</v>
      </c>
      <c r="Q48" s="3191"/>
      <c r="R48" s="3217">
        <f>E48</f>
        <v>0</v>
      </c>
      <c r="S48" s="3217"/>
      <c r="T48" s="3217">
        <f>G48</f>
        <v>0</v>
      </c>
      <c r="U48" s="3217"/>
      <c r="V48" s="3217">
        <f>I48</f>
        <v>0</v>
      </c>
      <c r="W48" s="3217"/>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15" t="str">
        <f>A49</f>
        <v>比较价值（元/平方米）</v>
      </c>
      <c r="Q49" s="3191"/>
      <c r="R49" s="3217" t="e">
        <f>IF(F1="售价",ROUND(PRODUCT(R48,AA7:AA47),0),ROUND(PRODUCT(R48,AA7:AA47),1))</f>
        <v>#DIV/0!</v>
      </c>
      <c r="S49" s="3217"/>
      <c r="T49" s="3217" t="e">
        <f>IF(F1="售价",ROUND(PRODUCT(T48,AB7:AB47),0),ROUND(PRODUCT(T48,AB7:AB47),1))</f>
        <v>#DIV/0!</v>
      </c>
      <c r="U49" s="3217"/>
      <c r="V49" s="3217" t="e">
        <f>IF(F1="售价",ROUND(PRODUCT(V48,AC7:AC47),0),ROUND(PRODUCT(V48,AC7:AC47),1))</f>
        <v>#DIV/0!</v>
      </c>
      <c r="W49" s="3217"/>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266" t="str">
        <f>A50</f>
        <v>估价对象XX用房的比较价值（楼面单价，元/平方米）</v>
      </c>
      <c r="Q50" s="3267"/>
      <c r="R50" s="3268" t="e">
        <f>IF(F1="售价",ROUND(AVERAGE(R49:V49),0),ROUND(AVERAGE(R49:V49),1))</f>
        <v>#DIV/0!</v>
      </c>
      <c r="S50" s="3268"/>
      <c r="T50" s="3268"/>
      <c r="U50" s="3268"/>
      <c r="V50" s="3268"/>
      <c r="W50" s="3268"/>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3"/>
      <c r="Q58" s="504"/>
    </row>
    <row r="59" spans="1:29" s="508" customFormat="1" ht="15">
      <c r="A59" s="505" t="s">
        <v>2549</v>
      </c>
      <c r="B59" s="506"/>
      <c r="C59" s="1577" t="str">
        <f>YEAR(C7)&amp;"-"&amp;MONTH(C7)</f>
        <v>2018-4</v>
      </c>
      <c r="D59" s="1578">
        <f>EDATE(C59,-1)</f>
        <v>43160</v>
      </c>
      <c r="E59" s="1578">
        <f>EDATE(D59,-1)</f>
        <v>43132</v>
      </c>
      <c r="F59" s="1578">
        <f t="shared" ref="F59:O59" si="16">EDATE(E59,-1)</f>
        <v>43101</v>
      </c>
      <c r="G59" s="1578">
        <f t="shared" si="16"/>
        <v>43070</v>
      </c>
      <c r="H59" s="1578">
        <f t="shared" si="16"/>
        <v>43040</v>
      </c>
      <c r="I59" s="1578">
        <f t="shared" si="16"/>
        <v>43009</v>
      </c>
      <c r="J59" s="1578">
        <f t="shared" si="16"/>
        <v>42979</v>
      </c>
      <c r="K59" s="1578">
        <f t="shared" si="16"/>
        <v>42948</v>
      </c>
      <c r="L59" s="1578">
        <f t="shared" si="16"/>
        <v>42917</v>
      </c>
      <c r="M59" s="1578">
        <f t="shared" si="16"/>
        <v>42887</v>
      </c>
      <c r="N59" s="1578">
        <f t="shared" si="16"/>
        <v>42856</v>
      </c>
      <c r="O59" s="1578">
        <f t="shared" si="16"/>
        <v>42826</v>
      </c>
      <c r="P59" s="1574"/>
    </row>
    <row r="60" spans="1:29" s="117" customFormat="1" ht="15">
      <c r="A60" s="509"/>
      <c r="B60" s="510"/>
      <c r="C60" s="1576">
        <v>100</v>
      </c>
      <c r="D60" s="512"/>
      <c r="E60" s="512"/>
      <c r="F60" s="512"/>
      <c r="G60" s="512"/>
      <c r="H60" s="512"/>
      <c r="I60" s="512"/>
      <c r="J60" s="512"/>
      <c r="K60" s="512"/>
      <c r="L60" s="512"/>
      <c r="M60" s="513"/>
      <c r="N60" s="512"/>
      <c r="O60" s="513"/>
      <c r="P60" s="2684"/>
    </row>
    <row r="61" spans="1:29" s="117" customFormat="1" ht="15.75" thickBot="1">
      <c r="A61" s="515" t="s">
        <v>2586</v>
      </c>
      <c r="B61" s="516"/>
      <c r="C61" s="517"/>
      <c r="D61" s="518"/>
      <c r="E61" s="518"/>
      <c r="F61" s="518"/>
      <c r="G61" s="518"/>
      <c r="H61" s="518"/>
      <c r="I61" s="518"/>
      <c r="J61" s="518"/>
      <c r="K61" s="518"/>
      <c r="L61" s="518"/>
      <c r="M61" s="519"/>
      <c r="N61" s="518"/>
      <c r="O61" s="519"/>
      <c r="P61" s="2684"/>
      <c r="Q61" s="504"/>
    </row>
    <row r="62" spans="1:29" s="117" customFormat="1" ht="15">
      <c r="A62" s="521" t="s">
        <v>2551</v>
      </c>
      <c r="B62" s="510"/>
      <c r="C62" s="522" t="s">
        <v>2653</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2589</v>
      </c>
      <c r="B64" s="528" t="s">
        <v>2555</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2700</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2564</v>
      </c>
      <c r="B101" s="528" t="s">
        <v>2613</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6"/>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2615</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6"/>
      <c r="Q107" s="504"/>
    </row>
    <row r="108" spans="1:17" ht="15" thickTop="1">
      <c r="A108" s="599"/>
      <c r="B108" s="538" t="s">
        <v>2617</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6"/>
      <c r="Q109" s="504"/>
    </row>
    <row r="110" spans="1:17" ht="15" thickTop="1">
      <c r="A110" s="599"/>
      <c r="B110" s="538" t="s">
        <v>1998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6"/>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7"/>
      <c r="Q114" s="559"/>
    </row>
    <row r="115" spans="1:17" ht="15" thickTop="1">
      <c r="A115" s="599"/>
      <c r="B115" s="538" t="s">
        <v>2618</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6"/>
      <c r="Q116" s="504"/>
    </row>
    <row r="117" spans="1:17" ht="15" thickTop="1">
      <c r="A117" s="599"/>
      <c r="B117" s="538" t="s">
        <v>2619</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2702</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6"/>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2621</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6"/>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1" t="s">
        <v>2703</v>
      </c>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IF(C2="——",ROUND(C43*D3/10000,0),ROUND(C43*D3/10000,0)-D2)</f>
        <v>#DIV/0!</v>
      </c>
      <c r="C2" s="2588"/>
      <c r="D2" s="1127" t="e">
        <f ca="1">SUMIF(INDIRECT("'"&amp;F2&amp;"'"&amp;"!A:A"),"承租人权益价值",INDIRECT("'"&amp;F2&amp;"'"&amp;"!c:c"))</f>
        <v>#REF!</v>
      </c>
      <c r="E2" s="2589" t="s">
        <v>2332</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2333</v>
      </c>
      <c r="B3" s="609" t="e">
        <f ca="1">IF(C2="——",C43,ROUND(B2*10000/D3,0))</f>
        <v>#DIV/0!</v>
      </c>
      <c r="C3" s="400" t="s">
        <v>2645</v>
      </c>
      <c r="D3" s="399">
        <f>IF(D1="",'数据-汇总表'!E3,SUMIF('数据-汇总表'!$C19:$C33,D1,'数据-汇总表'!$E19:$E33))</f>
        <v>187098.36000000002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175" t="s">
        <v>2649</v>
      </c>
      <c r="AC4" s="3174" t="s">
        <v>2650</v>
      </c>
    </row>
    <row r="5" spans="1:29" ht="15">
      <c r="A5" s="404"/>
      <c r="B5" s="405"/>
      <c r="C5" s="3185" t="s">
        <v>2543</v>
      </c>
      <c r="D5" s="3186"/>
      <c r="E5" s="3183" t="s">
        <v>2544</v>
      </c>
      <c r="F5" s="3184"/>
      <c r="G5" s="3185" t="s">
        <v>2545</v>
      </c>
      <c r="H5" s="3186"/>
      <c r="I5" s="3185" t="s">
        <v>2546</v>
      </c>
      <c r="J5" s="3186"/>
      <c r="K5" s="610"/>
      <c r="L5" s="1133"/>
      <c r="M5" s="1134"/>
      <c r="N5" s="1134"/>
      <c r="O5" s="1134"/>
      <c r="P5" s="3198"/>
      <c r="Q5" s="3199"/>
      <c r="R5" s="3181"/>
      <c r="S5" s="3182"/>
      <c r="T5" s="3181"/>
      <c r="U5" s="3182"/>
      <c r="V5" s="3204"/>
      <c r="W5" s="3204"/>
      <c r="X5" s="1816"/>
      <c r="Y5" s="3181"/>
      <c r="Z5" s="3182"/>
      <c r="AA5" s="3175"/>
      <c r="AB5" s="3175"/>
      <c r="AC5" s="3175"/>
    </row>
    <row r="6" spans="1:29" ht="15.75" thickBot="1">
      <c r="A6" s="406"/>
      <c r="B6" s="407"/>
      <c r="C6" s="3187" t="s">
        <v>2547</v>
      </c>
      <c r="D6" s="3188"/>
      <c r="E6" s="3189" t="s">
        <v>2547</v>
      </c>
      <c r="F6" s="3190"/>
      <c r="G6" s="3187" t="s">
        <v>2547</v>
      </c>
      <c r="H6" s="3188"/>
      <c r="I6" s="3187" t="s">
        <v>2547</v>
      </c>
      <c r="J6" s="3188"/>
      <c r="K6" s="610" t="s">
        <v>2548</v>
      </c>
      <c r="L6" s="1133"/>
      <c r="M6" s="1134"/>
      <c r="N6" s="1134"/>
      <c r="O6" s="1134"/>
      <c r="P6" s="3200"/>
      <c r="Q6" s="3201"/>
      <c r="R6" s="3181"/>
      <c r="S6" s="3182"/>
      <c r="T6" s="3202"/>
      <c r="U6" s="3203"/>
      <c r="V6" s="3204"/>
      <c r="W6" s="3204"/>
      <c r="X6" s="1816"/>
      <c r="Y6" s="3202"/>
      <c r="Z6" s="3203"/>
      <c r="AA6" s="3176"/>
      <c r="AB6" s="3176"/>
      <c r="AC6" s="3176"/>
    </row>
    <row r="7" spans="1:29" s="117" customFormat="1" ht="15.75" thickBot="1">
      <c r="A7" s="408" t="s">
        <v>2549</v>
      </c>
      <c r="B7" s="409"/>
      <c r="C7" s="410">
        <f>'数据-取费表'!B2</f>
        <v>43202</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77" t="s">
        <v>2550</v>
      </c>
      <c r="Q7" s="3205"/>
      <c r="R7" s="770" t="s">
        <v>17</v>
      </c>
      <c r="S7" s="771">
        <f t="shared" ref="S7:S15" si="0">F7</f>
        <v>0</v>
      </c>
      <c r="T7" s="770" t="s">
        <v>17</v>
      </c>
      <c r="U7" s="771">
        <f t="shared" ref="U7:U15" si="1">H7</f>
        <v>0</v>
      </c>
      <c r="V7" s="770" t="s">
        <v>17</v>
      </c>
      <c r="W7" s="771">
        <f t="shared" ref="W7:W15" si="2">J7</f>
        <v>0</v>
      </c>
      <c r="X7" s="772"/>
      <c r="Y7" s="3177" t="s">
        <v>2550</v>
      </c>
      <c r="Z7" s="3178"/>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77" t="s">
        <v>2553</v>
      </c>
      <c r="Q8" s="3178"/>
      <c r="R8" s="770" t="s">
        <v>17</v>
      </c>
      <c r="S8" s="771">
        <f t="shared" si="0"/>
        <v>0</v>
      </c>
      <c r="T8" s="770" t="s">
        <v>17</v>
      </c>
      <c r="U8" s="771">
        <f t="shared" si="1"/>
        <v>0</v>
      </c>
      <c r="V8" s="770" t="s">
        <v>17</v>
      </c>
      <c r="W8" s="771">
        <f t="shared" si="2"/>
        <v>0</v>
      </c>
      <c r="X8" s="772"/>
      <c r="Y8" s="3177" t="s">
        <v>2553</v>
      </c>
      <c r="Z8" s="3178"/>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91"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91"/>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91"/>
      <c r="Q11" s="1798"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91"/>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91"/>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91"/>
      <c r="Q14" s="1798">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57">
      <c r="A15" s="440" t="s">
        <v>2560</v>
      </c>
      <c r="B15" s="69" t="s">
        <v>2704</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06" t="s">
        <v>2561</v>
      </c>
      <c r="Q15" s="1813" t="str">
        <f t="shared" si="6"/>
        <v>产业集聚程度</v>
      </c>
      <c r="R15" s="774" t="s">
        <v>17</v>
      </c>
      <c r="S15" s="775">
        <f t="shared" si="0"/>
        <v>100</v>
      </c>
      <c r="T15" s="774" t="s">
        <v>17</v>
      </c>
      <c r="U15" s="775">
        <f t="shared" si="1"/>
        <v>100</v>
      </c>
      <c r="V15" s="774" t="s">
        <v>17</v>
      </c>
      <c r="W15" s="775">
        <f t="shared" si="2"/>
        <v>100</v>
      </c>
      <c r="X15" s="1816"/>
      <c r="Y15" s="3206"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07"/>
      <c r="Q16" s="1813"/>
      <c r="R16" s="774"/>
      <c r="S16" s="775"/>
      <c r="T16" s="774"/>
      <c r="U16" s="775"/>
      <c r="V16" s="774"/>
      <c r="W16" s="775"/>
      <c r="X16" s="1816"/>
      <c r="Y16" s="3207"/>
      <c r="Z16" s="1817"/>
      <c r="AA16" s="1814">
        <v>1</v>
      </c>
      <c r="AB16" s="1814">
        <v>1</v>
      </c>
      <c r="AC16" s="1814">
        <v>1</v>
      </c>
    </row>
    <row r="17" spans="1:29" ht="85.5">
      <c r="A17" s="428"/>
      <c r="B17" s="451" t="s">
        <v>2099</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07"/>
      <c r="Q17" s="1813" t="str">
        <f>B17</f>
        <v>交通便捷度</v>
      </c>
      <c r="R17" s="774" t="s">
        <v>17</v>
      </c>
      <c r="S17" s="775">
        <f>F17</f>
        <v>100</v>
      </c>
      <c r="T17" s="774" t="s">
        <v>17</v>
      </c>
      <c r="U17" s="775">
        <f>H17</f>
        <v>100</v>
      </c>
      <c r="V17" s="774" t="s">
        <v>17</v>
      </c>
      <c r="W17" s="775">
        <f>J17</f>
        <v>100</v>
      </c>
      <c r="X17" s="1816"/>
      <c r="Y17" s="3207"/>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207"/>
      <c r="Q18" s="1813"/>
      <c r="R18" s="774"/>
      <c r="S18" s="775"/>
      <c r="T18" s="774"/>
      <c r="U18" s="775"/>
      <c r="V18" s="774"/>
      <c r="W18" s="775"/>
      <c r="X18" s="1816"/>
      <c r="Y18" s="3207"/>
      <c r="Z18" s="1817"/>
      <c r="AA18" s="1814">
        <v>1</v>
      </c>
      <c r="AB18" s="1814">
        <v>1</v>
      </c>
      <c r="AC18" s="1814">
        <v>1</v>
      </c>
    </row>
    <row r="19" spans="1:29" ht="42.75">
      <c r="A19" s="428"/>
      <c r="B19" s="451" t="s">
        <v>2689</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07"/>
      <c r="Q19" s="1813" t="str">
        <f>B19</f>
        <v>公共配套设施</v>
      </c>
      <c r="R19" s="774" t="s">
        <v>17</v>
      </c>
      <c r="S19" s="775">
        <f>F19</f>
        <v>100</v>
      </c>
      <c r="T19" s="774" t="s">
        <v>17</v>
      </c>
      <c r="U19" s="775">
        <f>H19</f>
        <v>100</v>
      </c>
      <c r="V19" s="774" t="s">
        <v>17</v>
      </c>
      <c r="W19" s="775">
        <f>J19</f>
        <v>100</v>
      </c>
      <c r="X19" s="1816"/>
      <c r="Y19" s="3207"/>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207"/>
      <c r="Q20" s="1813"/>
      <c r="R20" s="774"/>
      <c r="S20" s="775"/>
      <c r="T20" s="774"/>
      <c r="U20" s="775"/>
      <c r="V20" s="774"/>
      <c r="W20" s="775"/>
      <c r="X20" s="1816"/>
      <c r="Y20" s="3207"/>
      <c r="Z20" s="1817"/>
      <c r="AA20" s="1814">
        <v>1</v>
      </c>
      <c r="AB20" s="1814">
        <v>1</v>
      </c>
      <c r="AC20" s="1814">
        <v>1</v>
      </c>
    </row>
    <row r="21" spans="1:29" ht="28.5">
      <c r="A21" s="428"/>
      <c r="B21" s="1387" t="s">
        <v>2690</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07"/>
      <c r="Q21" s="1813" t="str">
        <f>B21</f>
        <v>基础设施水平</v>
      </c>
      <c r="R21" s="774" t="s">
        <v>17</v>
      </c>
      <c r="S21" s="775">
        <f>F21</f>
        <v>100</v>
      </c>
      <c r="T21" s="774" t="s">
        <v>17</v>
      </c>
      <c r="U21" s="775">
        <f>H21</f>
        <v>100</v>
      </c>
      <c r="V21" s="774" t="s">
        <v>17</v>
      </c>
      <c r="W21" s="775">
        <f>J21</f>
        <v>100</v>
      </c>
      <c r="X21" s="1816"/>
      <c r="Y21" s="3207"/>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207"/>
      <c r="Q22" s="1813"/>
      <c r="R22" s="774"/>
      <c r="S22" s="775"/>
      <c r="T22" s="774"/>
      <c r="U22" s="775"/>
      <c r="V22" s="774"/>
      <c r="W22" s="775"/>
      <c r="X22" s="1816"/>
      <c r="Y22" s="3207"/>
      <c r="Z22" s="1817"/>
      <c r="AA22" s="1814">
        <v>1</v>
      </c>
      <c r="AB22" s="1814">
        <v>1</v>
      </c>
      <c r="AC22" s="1814">
        <v>1</v>
      </c>
    </row>
    <row r="23" spans="1:29" ht="71.25">
      <c r="A23" s="428"/>
      <c r="B23" s="451" t="s">
        <v>2691</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07"/>
      <c r="Q23" s="1813" t="str">
        <f>B23</f>
        <v>环境质量</v>
      </c>
      <c r="R23" s="774" t="s">
        <v>17</v>
      </c>
      <c r="S23" s="775">
        <f>F23</f>
        <v>100</v>
      </c>
      <c r="T23" s="774" t="s">
        <v>17</v>
      </c>
      <c r="U23" s="775">
        <f>H23</f>
        <v>100</v>
      </c>
      <c r="V23" s="774" t="s">
        <v>17</v>
      </c>
      <c r="W23" s="775">
        <f>J23</f>
        <v>100</v>
      </c>
      <c r="X23" s="1816"/>
      <c r="Y23" s="3207"/>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207"/>
      <c r="Q24" s="1813"/>
      <c r="R24" s="774"/>
      <c r="S24" s="775"/>
      <c r="T24" s="774"/>
      <c r="U24" s="775"/>
      <c r="V24" s="774"/>
      <c r="W24" s="775"/>
      <c r="X24" s="1816"/>
      <c r="Y24" s="3207"/>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07"/>
      <c r="Q25" s="1813">
        <f>B25</f>
        <v>111</v>
      </c>
      <c r="R25" s="774" t="s">
        <v>17</v>
      </c>
      <c r="S25" s="775">
        <f>F25</f>
        <v>100</v>
      </c>
      <c r="T25" s="774" t="s">
        <v>17</v>
      </c>
      <c r="U25" s="775">
        <f>H25</f>
        <v>100</v>
      </c>
      <c r="V25" s="774" t="s">
        <v>17</v>
      </c>
      <c r="W25" s="775">
        <f>J25</f>
        <v>100</v>
      </c>
      <c r="X25" s="1816"/>
      <c r="Y25" s="3207"/>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07"/>
      <c r="Q26" s="1813">
        <f t="shared" ref="Q26:Q40" si="11">B26</f>
        <v>111</v>
      </c>
      <c r="R26" s="774" t="s">
        <v>17</v>
      </c>
      <c r="S26" s="775">
        <f>F26</f>
        <v>100</v>
      </c>
      <c r="T26" s="774" t="s">
        <v>17</v>
      </c>
      <c r="U26" s="775">
        <f>H26</f>
        <v>100</v>
      </c>
      <c r="V26" s="774" t="s">
        <v>17</v>
      </c>
      <c r="W26" s="775">
        <f>J26</f>
        <v>100</v>
      </c>
      <c r="X26" s="1816"/>
      <c r="Y26" s="3207"/>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07"/>
      <c r="Q27" s="1798">
        <f t="shared" si="11"/>
        <v>111</v>
      </c>
      <c r="R27" s="770" t="s">
        <v>17</v>
      </c>
      <c r="S27" s="771">
        <f>F27</f>
        <v>100</v>
      </c>
      <c r="T27" s="770" t="s">
        <v>17</v>
      </c>
      <c r="U27" s="771">
        <f>H27</f>
        <v>100</v>
      </c>
      <c r="V27" s="770" t="s">
        <v>17</v>
      </c>
      <c r="W27" s="771">
        <f>J27</f>
        <v>100</v>
      </c>
      <c r="X27" s="772"/>
      <c r="Y27" s="3207"/>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07"/>
      <c r="Q28" s="1813">
        <f t="shared" si="11"/>
        <v>111</v>
      </c>
      <c r="R28" s="774" t="s">
        <v>17</v>
      </c>
      <c r="S28" s="775">
        <f t="shared" ref="S28:S40" si="12">F28</f>
        <v>100</v>
      </c>
      <c r="T28" s="774" t="s">
        <v>17</v>
      </c>
      <c r="U28" s="775">
        <f t="shared" ref="U28:U40" si="13">H28</f>
        <v>100</v>
      </c>
      <c r="V28" s="774" t="s">
        <v>17</v>
      </c>
      <c r="W28" s="775">
        <f t="shared" ref="W28:W40" si="14">J28</f>
        <v>100</v>
      </c>
      <c r="X28" s="1816"/>
      <c r="Y28" s="3207"/>
      <c r="Z28" s="1817">
        <f t="shared" ref="Z28:Z40" si="15">Q28</f>
        <v>111</v>
      </c>
      <c r="AA28" s="1814">
        <f t="shared" si="3"/>
        <v>1</v>
      </c>
      <c r="AB28" s="1814">
        <f t="shared" si="4"/>
        <v>1</v>
      </c>
      <c r="AC28" s="1814">
        <f t="shared" si="5"/>
        <v>1</v>
      </c>
    </row>
    <row r="29" spans="1:29" ht="15">
      <c r="A29" s="466" t="s">
        <v>2564</v>
      </c>
      <c r="B29" s="71" t="s">
        <v>2694</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208" t="s">
        <v>2566</v>
      </c>
      <c r="Q29" s="1813" t="str">
        <f t="shared" si="11"/>
        <v>建筑类型</v>
      </c>
      <c r="R29" s="774" t="s">
        <v>17</v>
      </c>
      <c r="S29" s="775">
        <f t="shared" si="12"/>
        <v>100</v>
      </c>
      <c r="T29" s="774" t="s">
        <v>17</v>
      </c>
      <c r="U29" s="775">
        <f t="shared" si="13"/>
        <v>100</v>
      </c>
      <c r="V29" s="774" t="s">
        <v>17</v>
      </c>
      <c r="W29" s="775">
        <f t="shared" si="14"/>
        <v>100</v>
      </c>
      <c r="X29" s="1816"/>
      <c r="Y29" s="3209"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09"/>
      <c r="Q30" s="776" t="str">
        <f t="shared" si="11"/>
        <v>项目建筑规模</v>
      </c>
      <c r="R30" s="777" t="s">
        <v>17</v>
      </c>
      <c r="S30" s="778" t="e">
        <f t="shared" si="12"/>
        <v>#N/A</v>
      </c>
      <c r="T30" s="777" t="s">
        <v>17</v>
      </c>
      <c r="U30" s="778" t="e">
        <f t="shared" si="13"/>
        <v>#N/A</v>
      </c>
      <c r="V30" s="777" t="s">
        <v>17</v>
      </c>
      <c r="W30" s="778" t="e">
        <f t="shared" si="14"/>
        <v>#N/A</v>
      </c>
      <c r="X30" s="779"/>
      <c r="Y30" s="3209"/>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09"/>
      <c r="Q31" s="1813" t="str">
        <f t="shared" si="11"/>
        <v>建筑结构</v>
      </c>
      <c r="R31" s="774" t="s">
        <v>17</v>
      </c>
      <c r="S31" s="775">
        <f t="shared" si="12"/>
        <v>100</v>
      </c>
      <c r="T31" s="774" t="s">
        <v>17</v>
      </c>
      <c r="U31" s="775">
        <f t="shared" si="13"/>
        <v>100</v>
      </c>
      <c r="V31" s="774" t="s">
        <v>17</v>
      </c>
      <c r="W31" s="775">
        <f t="shared" si="14"/>
        <v>100</v>
      </c>
      <c r="X31" s="1816"/>
      <c r="Y31" s="3209"/>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09"/>
      <c r="Q32" s="1813" t="str">
        <f t="shared" si="11"/>
        <v>公共部分装修</v>
      </c>
      <c r="R32" s="774" t="s">
        <v>17</v>
      </c>
      <c r="S32" s="775">
        <f t="shared" si="12"/>
        <v>100</v>
      </c>
      <c r="T32" s="774" t="s">
        <v>17</v>
      </c>
      <c r="U32" s="775">
        <f t="shared" si="13"/>
        <v>100</v>
      </c>
      <c r="V32" s="774" t="s">
        <v>17</v>
      </c>
      <c r="W32" s="775">
        <f t="shared" si="14"/>
        <v>100</v>
      </c>
      <c r="X32" s="1816"/>
      <c r="Y32" s="3209"/>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09"/>
      <c r="Q33" s="1813" t="str">
        <f t="shared" si="11"/>
        <v>成新度</v>
      </c>
      <c r="R33" s="774" t="s">
        <v>17</v>
      </c>
      <c r="S33" s="775" t="e">
        <f t="shared" si="12"/>
        <v>#N/A</v>
      </c>
      <c r="T33" s="774" t="s">
        <v>17</v>
      </c>
      <c r="U33" s="775" t="e">
        <f t="shared" si="13"/>
        <v>#N/A</v>
      </c>
      <c r="V33" s="774" t="s">
        <v>17</v>
      </c>
      <c r="W33" s="775" t="e">
        <f t="shared" si="14"/>
        <v>#N/A</v>
      </c>
      <c r="X33" s="1816"/>
      <c r="Y33" s="3209"/>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09"/>
      <c r="Q34" s="1798" t="str">
        <f t="shared" si="11"/>
        <v>物业管理</v>
      </c>
      <c r="R34" s="770" t="s">
        <v>17</v>
      </c>
      <c r="S34" s="771">
        <f t="shared" si="12"/>
        <v>100</v>
      </c>
      <c r="T34" s="770" t="s">
        <v>17</v>
      </c>
      <c r="U34" s="771">
        <f t="shared" si="13"/>
        <v>100</v>
      </c>
      <c r="V34" s="770" t="s">
        <v>17</v>
      </c>
      <c r="W34" s="771">
        <f t="shared" si="14"/>
        <v>100</v>
      </c>
      <c r="X34" s="772"/>
      <c r="Y34" s="3209"/>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09" t="s">
        <v>2566</v>
      </c>
      <c r="Q35" s="1813" t="str">
        <f t="shared" si="11"/>
        <v>市政基础设施</v>
      </c>
      <c r="R35" s="774" t="s">
        <v>17</v>
      </c>
      <c r="S35" s="775">
        <f t="shared" si="12"/>
        <v>100</v>
      </c>
      <c r="T35" s="774" t="s">
        <v>17</v>
      </c>
      <c r="U35" s="775">
        <f t="shared" si="13"/>
        <v>100</v>
      </c>
      <c r="V35" s="774" t="s">
        <v>17</v>
      </c>
      <c r="W35" s="775">
        <f t="shared" si="14"/>
        <v>100</v>
      </c>
      <c r="X35" s="1816"/>
      <c r="Y35" s="3209"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09"/>
      <c r="Q36" s="1813" t="str">
        <f t="shared" si="11"/>
        <v>内部装修</v>
      </c>
      <c r="R36" s="774" t="s">
        <v>17</v>
      </c>
      <c r="S36" s="775">
        <f t="shared" si="12"/>
        <v>100</v>
      </c>
      <c r="T36" s="774" t="s">
        <v>17</v>
      </c>
      <c r="U36" s="775">
        <f t="shared" si="13"/>
        <v>100</v>
      </c>
      <c r="V36" s="774" t="s">
        <v>17</v>
      </c>
      <c r="W36" s="775">
        <f t="shared" si="14"/>
        <v>100</v>
      </c>
      <c r="X36" s="1816"/>
      <c r="Y36" s="3209"/>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09"/>
      <c r="Q37" s="1813" t="str">
        <f t="shared" si="11"/>
        <v>内部装修状况</v>
      </c>
      <c r="R37" s="774" t="s">
        <v>17</v>
      </c>
      <c r="S37" s="775">
        <f t="shared" si="12"/>
        <v>100</v>
      </c>
      <c r="T37" s="774" t="s">
        <v>17</v>
      </c>
      <c r="U37" s="775">
        <f t="shared" si="13"/>
        <v>100</v>
      </c>
      <c r="V37" s="774" t="s">
        <v>17</v>
      </c>
      <c r="W37" s="775">
        <f t="shared" si="14"/>
        <v>100</v>
      </c>
      <c r="X37" s="1816"/>
      <c r="Y37" s="3209"/>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09"/>
      <c r="Q38" s="776">
        <f t="shared" si="11"/>
        <v>111</v>
      </c>
      <c r="R38" s="777" t="s">
        <v>17</v>
      </c>
      <c r="S38" s="778">
        <f t="shared" si="12"/>
        <v>100</v>
      </c>
      <c r="T38" s="777" t="s">
        <v>17</v>
      </c>
      <c r="U38" s="778">
        <f t="shared" si="13"/>
        <v>100</v>
      </c>
      <c r="V38" s="777" t="s">
        <v>17</v>
      </c>
      <c r="W38" s="778">
        <f t="shared" si="14"/>
        <v>100</v>
      </c>
      <c r="X38" s="779"/>
      <c r="Y38" s="3209"/>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09"/>
      <c r="Q39" s="1813">
        <f t="shared" si="11"/>
        <v>111</v>
      </c>
      <c r="R39" s="774" t="s">
        <v>17</v>
      </c>
      <c r="S39" s="775">
        <f t="shared" si="12"/>
        <v>100</v>
      </c>
      <c r="T39" s="774" t="s">
        <v>17</v>
      </c>
      <c r="U39" s="775">
        <f t="shared" si="13"/>
        <v>100</v>
      </c>
      <c r="V39" s="774" t="s">
        <v>17</v>
      </c>
      <c r="W39" s="775">
        <f t="shared" si="14"/>
        <v>100</v>
      </c>
      <c r="X39" s="1816"/>
      <c r="Y39" s="3209"/>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24"/>
      <c r="Q40" s="1813">
        <f t="shared" si="11"/>
        <v>111</v>
      </c>
      <c r="R40" s="774" t="s">
        <v>17</v>
      </c>
      <c r="S40" s="775">
        <f t="shared" si="12"/>
        <v>100</v>
      </c>
      <c r="T40" s="774" t="s">
        <v>17</v>
      </c>
      <c r="U40" s="775">
        <f t="shared" si="13"/>
        <v>100</v>
      </c>
      <c r="V40" s="774" t="s">
        <v>17</v>
      </c>
      <c r="W40" s="775">
        <f t="shared" si="14"/>
        <v>100</v>
      </c>
      <c r="X40" s="1816"/>
      <c r="Y40" s="3224"/>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191" t="str">
        <f>A41</f>
        <v>成交单价（元/平方米）</v>
      </c>
      <c r="Q41" s="3191"/>
      <c r="R41" s="3217">
        <f>E41</f>
        <v>0</v>
      </c>
      <c r="S41" s="3217"/>
      <c r="T41" s="3217">
        <f>G41</f>
        <v>0</v>
      </c>
      <c r="U41" s="3217"/>
      <c r="V41" s="3217">
        <f>I41</f>
        <v>0</v>
      </c>
      <c r="W41" s="3217"/>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191" t="str">
        <f>A42</f>
        <v>比较价值（元/平方米）</v>
      </c>
      <c r="Q42" s="3191"/>
      <c r="R42" s="3217" t="e">
        <f>IF(F1="售价",ROUND(PRODUCT(R41,AA7:AA40),0),ROUND(PRODUCT(R41,AA7:AA40),1))</f>
        <v>#DIV/0!</v>
      </c>
      <c r="S42" s="3217"/>
      <c r="T42" s="3217" t="e">
        <f>IF(F1="售价",ROUND(PRODUCT(T41,AB7:AB40),0),ROUND(PRODUCT(T41,AB7:AB40),1))</f>
        <v>#DIV/0!</v>
      </c>
      <c r="U42" s="3217"/>
      <c r="V42" s="3217" t="e">
        <f>IF(F1="售价",ROUND(PRODUCT(V41,AC7:AC40),0),ROUND(PRODUCT(V41,AC7:AC40),1))</f>
        <v>#DIV/0!</v>
      </c>
      <c r="W42" s="3217"/>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211" t="str">
        <f>A43</f>
        <v>估价对象XX用房的比较价值（楼面单价，元/平方米）</v>
      </c>
      <c r="Q43" s="3212"/>
      <c r="R43" s="3218" t="e">
        <f>IF(F1="售价",ROUND(AVERAGE(R42:V42),0),ROUND(AVERAGE(R42:V42),1))</f>
        <v>#DIV/0!</v>
      </c>
      <c r="S43" s="3218"/>
      <c r="T43" s="3218"/>
      <c r="U43" s="3218"/>
      <c r="V43" s="3218"/>
      <c r="W43" s="3218"/>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2018-4</v>
      </c>
      <c r="D52" s="1578">
        <f>EDATE(C52,-1)</f>
        <v>43160</v>
      </c>
      <c r="E52" s="1578">
        <f t="shared" ref="E52:O52" si="16">EDATE(D52,-1)</f>
        <v>43132</v>
      </c>
      <c r="F52" s="1578">
        <f t="shared" si="16"/>
        <v>43101</v>
      </c>
      <c r="G52" s="1578">
        <f t="shared" si="16"/>
        <v>43070</v>
      </c>
      <c r="H52" s="1578">
        <f t="shared" si="16"/>
        <v>43040</v>
      </c>
      <c r="I52" s="1578">
        <f t="shared" si="16"/>
        <v>43009</v>
      </c>
      <c r="J52" s="1578">
        <f t="shared" si="16"/>
        <v>42979</v>
      </c>
      <c r="K52" s="1578">
        <f t="shared" si="16"/>
        <v>42948</v>
      </c>
      <c r="L52" s="1578">
        <f t="shared" si="16"/>
        <v>42917</v>
      </c>
      <c r="M52" s="1578">
        <f t="shared" si="16"/>
        <v>42887</v>
      </c>
      <c r="N52" s="1578">
        <f t="shared" si="16"/>
        <v>42856</v>
      </c>
      <c r="O52" s="1578">
        <f t="shared" si="16"/>
        <v>42826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26" zoomScale="93" zoomScaleNormal="93" workbookViewId="0">
      <selection activeCell="A36" activeCellId="2" sqref="A26:XFD36 A26:XFD36 A26:XFD3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t="s">
        <v>3085</v>
      </c>
      <c r="C1" s="1623" t="s">
        <v>2531</v>
      </c>
      <c r="D1" s="1624" t="s">
        <v>48</v>
      </c>
      <c r="E1" s="1625"/>
      <c r="F1" s="2586" t="s">
        <v>3287</v>
      </c>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2331</v>
      </c>
      <c r="B2" s="1421" t="e">
        <f>IF(C2="——",IF(B37="元/平方米",ROUND(C39*D3/10000,0),ROUND(F3*C39/10000,0)),IF(B37="元/平方米",ROUND(C39*D3/10000,0),ROUND(F3*C39/10000,0))-D2)</f>
        <v>#DIV/0!</v>
      </c>
      <c r="C2" s="2588" t="s">
        <v>70</v>
      </c>
      <c r="D2" s="1127" t="e">
        <f ca="1">SUMIF(INDIRECT("'"&amp;F2&amp;"'"&amp;"!A:A"),"承租人权益价值",INDIRECT("'"&amp;F2&amp;"'"&amp;"!c:c"))</f>
        <v>#REF!</v>
      </c>
      <c r="E2" s="2589" t="s">
        <v>2332</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2333</v>
      </c>
      <c r="B3" s="609" t="e">
        <f>IF(AND(C2="——",B37="元/平方米"),C39,ROUND(B2*10000/D3,0))</f>
        <v>#DIV/0!</v>
      </c>
      <c r="C3" s="400" t="s">
        <v>2645</v>
      </c>
      <c r="D3" s="399">
        <f>SUMIF('数据-汇总表'!$C19:$C33,D1,'数据-汇总表'!$E19:$E33)</f>
        <v>58557.179999999993</v>
      </c>
      <c r="E3" s="400" t="s">
        <v>2709</v>
      </c>
      <c r="F3" s="399">
        <f>SUMIF('数据-取费表'!A5:A15,D1,'数据-取费表'!AH5:AH15)</f>
        <v>1890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175" t="s">
        <v>2649</v>
      </c>
      <c r="AC4" s="3174" t="s">
        <v>2650</v>
      </c>
    </row>
    <row r="5" spans="1:29" ht="15">
      <c r="A5" s="404"/>
      <c r="B5" s="405"/>
      <c r="C5" s="3185" t="s">
        <v>2543</v>
      </c>
      <c r="D5" s="3186"/>
      <c r="E5" s="3183" t="s">
        <v>2544</v>
      </c>
      <c r="F5" s="3184"/>
      <c r="G5" s="3185" t="s">
        <v>2545</v>
      </c>
      <c r="H5" s="3186"/>
      <c r="I5" s="3185" t="s">
        <v>2546</v>
      </c>
      <c r="J5" s="3186"/>
      <c r="K5" s="610"/>
      <c r="L5" s="1133"/>
      <c r="M5" s="1134"/>
      <c r="N5" s="1134"/>
      <c r="O5" s="1134"/>
      <c r="P5" s="3198"/>
      <c r="Q5" s="3199"/>
      <c r="R5" s="3181"/>
      <c r="S5" s="3182"/>
      <c r="T5" s="3181"/>
      <c r="U5" s="3182"/>
      <c r="V5" s="3204"/>
      <c r="W5" s="3204"/>
      <c r="X5" s="1816"/>
      <c r="Y5" s="3181"/>
      <c r="Z5" s="3182"/>
      <c r="AA5" s="3175"/>
      <c r="AB5" s="3175"/>
      <c r="AC5" s="3175"/>
    </row>
    <row r="6" spans="1:29" ht="15.75" thickBot="1">
      <c r="A6" s="406"/>
      <c r="B6" s="407"/>
      <c r="C6" s="3187" t="s">
        <v>2547</v>
      </c>
      <c r="D6" s="3188"/>
      <c r="E6" s="3189" t="s">
        <v>2547</v>
      </c>
      <c r="F6" s="3190"/>
      <c r="G6" s="3187" t="s">
        <v>2547</v>
      </c>
      <c r="H6" s="3188"/>
      <c r="I6" s="3187" t="s">
        <v>2547</v>
      </c>
      <c r="J6" s="3188"/>
      <c r="K6" s="610" t="s">
        <v>2548</v>
      </c>
      <c r="L6" s="1133"/>
      <c r="M6" s="1134"/>
      <c r="N6" s="1134"/>
      <c r="O6" s="1134"/>
      <c r="P6" s="3200"/>
      <c r="Q6" s="3201"/>
      <c r="R6" s="3181"/>
      <c r="S6" s="3182"/>
      <c r="T6" s="3202"/>
      <c r="U6" s="3203"/>
      <c r="V6" s="3204"/>
      <c r="W6" s="3204"/>
      <c r="X6" s="1816"/>
      <c r="Y6" s="3202"/>
      <c r="Z6" s="3203"/>
      <c r="AA6" s="3176"/>
      <c r="AB6" s="3176"/>
      <c r="AC6" s="3176"/>
    </row>
    <row r="7" spans="1:29" s="117" customFormat="1" ht="15.75" thickBot="1">
      <c r="A7" s="408" t="s">
        <v>2549</v>
      </c>
      <c r="B7" s="409"/>
      <c r="C7" s="410">
        <f>'数据-取费表'!B2</f>
        <v>43202</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77" t="s">
        <v>2550</v>
      </c>
      <c r="Q7" s="3205"/>
      <c r="R7" s="770" t="s">
        <v>17</v>
      </c>
      <c r="S7" s="771">
        <f t="shared" ref="S7:S14" si="0">F7</f>
        <v>0</v>
      </c>
      <c r="T7" s="770" t="s">
        <v>17</v>
      </c>
      <c r="U7" s="771">
        <f t="shared" ref="U7:U14" si="1">H7</f>
        <v>0</v>
      </c>
      <c r="V7" s="770" t="s">
        <v>17</v>
      </c>
      <c r="W7" s="771">
        <f t="shared" ref="W7:W14" si="2">J7</f>
        <v>0</v>
      </c>
      <c r="X7" s="772"/>
      <c r="Y7" s="3177" t="s">
        <v>2550</v>
      </c>
      <c r="Z7" s="3178"/>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77" t="s">
        <v>2553</v>
      </c>
      <c r="Q8" s="3178"/>
      <c r="R8" s="770" t="s">
        <v>17</v>
      </c>
      <c r="S8" s="771">
        <f t="shared" si="0"/>
        <v>0</v>
      </c>
      <c r="T8" s="770" t="s">
        <v>17</v>
      </c>
      <c r="U8" s="771">
        <f t="shared" si="1"/>
        <v>0</v>
      </c>
      <c r="V8" s="770" t="s">
        <v>17</v>
      </c>
      <c r="W8" s="771">
        <f t="shared" si="2"/>
        <v>0</v>
      </c>
      <c r="X8" s="772"/>
      <c r="Y8" s="3177" t="s">
        <v>2553</v>
      </c>
      <c r="Z8" s="3178"/>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91" t="s">
        <v>2556</v>
      </c>
      <c r="Q9" s="1798" t="str">
        <f t="shared" ref="Q9:Q14" si="6">B9</f>
        <v>用途</v>
      </c>
      <c r="R9" s="770" t="s">
        <v>17</v>
      </c>
      <c r="S9" s="771">
        <f t="shared" si="0"/>
        <v>100</v>
      </c>
      <c r="T9" s="770" t="s">
        <v>17</v>
      </c>
      <c r="U9" s="771">
        <f t="shared" si="1"/>
        <v>100</v>
      </c>
      <c r="V9" s="770" t="s">
        <v>17</v>
      </c>
      <c r="W9" s="771">
        <f t="shared" si="2"/>
        <v>100</v>
      </c>
      <c r="X9" s="772"/>
      <c r="Y9" s="3051" t="s">
        <v>2557</v>
      </c>
      <c r="Z9" s="55" t="str">
        <f t="shared" ref="Z9:Z14" si="7">Q9</f>
        <v>用途</v>
      </c>
      <c r="AA9" s="773">
        <f t="shared" si="3"/>
        <v>1</v>
      </c>
      <c r="AB9" s="773">
        <f t="shared" si="4"/>
        <v>1</v>
      </c>
      <c r="AC9" s="773">
        <f t="shared" si="5"/>
        <v>1</v>
      </c>
    </row>
    <row r="10" spans="1:29" s="427" customFormat="1" ht="27.75" thickBot="1">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91"/>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hidden="1">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91"/>
      <c r="Q11" s="1798">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hidden="1">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91"/>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hidden="1"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91"/>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85.5">
      <c r="A14" s="401" t="s">
        <v>2560</v>
      </c>
      <c r="B14" s="629" t="s">
        <v>2710</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06" t="s">
        <v>2561</v>
      </c>
      <c r="Q14" s="1813" t="str">
        <f t="shared" si="6"/>
        <v>交通便捷度</v>
      </c>
      <c r="R14" s="774" t="s">
        <v>17</v>
      </c>
      <c r="S14" s="775">
        <f t="shared" si="0"/>
        <v>100</v>
      </c>
      <c r="T14" s="774" t="s">
        <v>17</v>
      </c>
      <c r="U14" s="775">
        <f t="shared" si="1"/>
        <v>100</v>
      </c>
      <c r="V14" s="774" t="s">
        <v>17</v>
      </c>
      <c r="W14" s="775">
        <f t="shared" si="2"/>
        <v>100</v>
      </c>
      <c r="X14" s="1816"/>
      <c r="Y14" s="3206"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07"/>
      <c r="Q15" s="1813"/>
      <c r="R15" s="774"/>
      <c r="S15" s="775"/>
      <c r="T15" s="774"/>
      <c r="U15" s="775"/>
      <c r="V15" s="774"/>
      <c r="W15" s="775"/>
      <c r="X15" s="1816"/>
      <c r="Y15" s="3207"/>
      <c r="Z15" s="1817"/>
      <c r="AA15" s="1814">
        <v>1</v>
      </c>
      <c r="AB15" s="1814">
        <v>1</v>
      </c>
      <c r="AC15" s="1814">
        <v>1</v>
      </c>
    </row>
    <row r="16" spans="1:29" ht="42.75">
      <c r="A16" s="404"/>
      <c r="B16" s="631" t="s">
        <v>2689</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07"/>
      <c r="Q16" s="1813" t="str">
        <f>B16</f>
        <v>公共配套设施</v>
      </c>
      <c r="R16" s="774" t="s">
        <v>17</v>
      </c>
      <c r="S16" s="775">
        <f>F16</f>
        <v>100</v>
      </c>
      <c r="T16" s="774" t="s">
        <v>17</v>
      </c>
      <c r="U16" s="775">
        <f>H16</f>
        <v>100</v>
      </c>
      <c r="V16" s="774" t="s">
        <v>17</v>
      </c>
      <c r="W16" s="775">
        <f>J16</f>
        <v>100</v>
      </c>
      <c r="X16" s="1816"/>
      <c r="Y16" s="3207"/>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207"/>
      <c r="Q17" s="1813"/>
      <c r="R17" s="774"/>
      <c r="S17" s="775"/>
      <c r="T17" s="774"/>
      <c r="U17" s="775"/>
      <c r="V17" s="774"/>
      <c r="W17" s="775"/>
      <c r="X17" s="1816"/>
      <c r="Y17" s="3207"/>
      <c r="Z17" s="1817"/>
      <c r="AA17" s="1814">
        <v>1</v>
      </c>
      <c r="AB17" s="1814">
        <v>1</v>
      </c>
      <c r="AC17" s="1814">
        <v>1</v>
      </c>
    </row>
    <row r="18" spans="1:29" ht="28.5">
      <c r="A18" s="404"/>
      <c r="B18" s="633" t="s">
        <v>2690</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07"/>
      <c r="Q18" s="1813" t="str">
        <f>B18</f>
        <v>基础设施水平</v>
      </c>
      <c r="R18" s="774" t="s">
        <v>17</v>
      </c>
      <c r="S18" s="775">
        <f>F18</f>
        <v>100</v>
      </c>
      <c r="T18" s="774" t="s">
        <v>17</v>
      </c>
      <c r="U18" s="775">
        <f>H18</f>
        <v>100</v>
      </c>
      <c r="V18" s="774" t="s">
        <v>17</v>
      </c>
      <c r="W18" s="775">
        <f>J18</f>
        <v>100</v>
      </c>
      <c r="X18" s="1816"/>
      <c r="Y18" s="3207"/>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207"/>
      <c r="Q19" s="1813"/>
      <c r="R19" s="774"/>
      <c r="S19" s="775"/>
      <c r="T19" s="774"/>
      <c r="U19" s="775"/>
      <c r="V19" s="774"/>
      <c r="W19" s="775"/>
      <c r="X19" s="1816"/>
      <c r="Y19" s="3207"/>
      <c r="Z19" s="1817"/>
      <c r="AA19" s="1814">
        <v>1</v>
      </c>
      <c r="AB19" s="1814">
        <v>1</v>
      </c>
      <c r="AC19" s="1814">
        <v>1</v>
      </c>
    </row>
    <row r="20" spans="1:29" ht="57">
      <c r="A20" s="404"/>
      <c r="B20" s="631" t="s">
        <v>2711</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07"/>
      <c r="Q20" s="1813" t="str">
        <f>B20</f>
        <v>自然及人文环境</v>
      </c>
      <c r="R20" s="774" t="s">
        <v>17</v>
      </c>
      <c r="S20" s="775">
        <f>F20</f>
        <v>100</v>
      </c>
      <c r="T20" s="774" t="s">
        <v>17</v>
      </c>
      <c r="U20" s="775">
        <f>H20</f>
        <v>100</v>
      </c>
      <c r="V20" s="774" t="s">
        <v>17</v>
      </c>
      <c r="W20" s="775">
        <f>J20</f>
        <v>100</v>
      </c>
      <c r="X20" s="1816"/>
      <c r="Y20" s="3207"/>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07"/>
      <c r="Q21" s="1813"/>
      <c r="R21" s="774"/>
      <c r="S21" s="775"/>
      <c r="T21" s="774"/>
      <c r="U21" s="775"/>
      <c r="V21" s="774"/>
      <c r="W21" s="775"/>
      <c r="X21" s="1816"/>
      <c r="Y21" s="3207"/>
      <c r="Z21" s="1817"/>
      <c r="AA21" s="1814">
        <v>1</v>
      </c>
      <c r="AB21" s="1814">
        <v>1</v>
      </c>
      <c r="AC21" s="1814">
        <v>1</v>
      </c>
    </row>
    <row r="22" spans="1:29" ht="15.75" thickBot="1">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07"/>
      <c r="Q22" s="1813" t="str">
        <f>B22</f>
        <v>楼层</v>
      </c>
      <c r="R22" s="774" t="s">
        <v>17</v>
      </c>
      <c r="S22" s="775">
        <f>F22</f>
        <v>100</v>
      </c>
      <c r="T22" s="774" t="s">
        <v>17</v>
      </c>
      <c r="U22" s="775">
        <f>H22</f>
        <v>100</v>
      </c>
      <c r="V22" s="774" t="s">
        <v>17</v>
      </c>
      <c r="W22" s="775">
        <f>J22</f>
        <v>100</v>
      </c>
      <c r="X22" s="1816"/>
      <c r="Y22" s="3207"/>
      <c r="Z22" s="1817" t="str">
        <f>Q22</f>
        <v>楼层</v>
      </c>
      <c r="AA22" s="1814">
        <f t="shared" si="3"/>
        <v>1</v>
      </c>
      <c r="AB22" s="1814">
        <f t="shared" si="4"/>
        <v>1</v>
      </c>
      <c r="AC22" s="1814">
        <f t="shared" si="5"/>
        <v>1</v>
      </c>
    </row>
    <row r="23" spans="1:29" ht="15" hidden="1">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07"/>
      <c r="Q23" s="1813">
        <f>B23</f>
        <v>111</v>
      </c>
      <c r="R23" s="774" t="s">
        <v>17</v>
      </c>
      <c r="S23" s="775">
        <f>F23</f>
        <v>100</v>
      </c>
      <c r="T23" s="774" t="s">
        <v>17</v>
      </c>
      <c r="U23" s="775">
        <f>H23</f>
        <v>100</v>
      </c>
      <c r="V23" s="774" t="s">
        <v>17</v>
      </c>
      <c r="W23" s="775">
        <f>J23</f>
        <v>100</v>
      </c>
      <c r="X23" s="1816"/>
      <c r="Y23" s="3207"/>
      <c r="Z23" s="1817">
        <f>Q23</f>
        <v>111</v>
      </c>
      <c r="AA23" s="1814">
        <f t="shared" si="3"/>
        <v>1</v>
      </c>
      <c r="AB23" s="1814">
        <f t="shared" si="4"/>
        <v>1</v>
      </c>
      <c r="AC23" s="1814">
        <f t="shared" si="5"/>
        <v>1</v>
      </c>
    </row>
    <row r="24" spans="1:29" ht="15" hidden="1">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07"/>
      <c r="Q24" s="1813">
        <f t="shared" ref="Q24:Q36" si="11">B24</f>
        <v>111</v>
      </c>
      <c r="R24" s="774" t="s">
        <v>17</v>
      </c>
      <c r="S24" s="775">
        <f>F24</f>
        <v>100</v>
      </c>
      <c r="T24" s="774" t="s">
        <v>17</v>
      </c>
      <c r="U24" s="775">
        <f>H24</f>
        <v>100</v>
      </c>
      <c r="V24" s="774" t="s">
        <v>17</v>
      </c>
      <c r="W24" s="775">
        <f>J24</f>
        <v>100</v>
      </c>
      <c r="X24" s="1816"/>
      <c r="Y24" s="3207"/>
      <c r="Z24" s="1817">
        <f>Q24</f>
        <v>111</v>
      </c>
      <c r="AA24" s="1814">
        <f t="shared" si="3"/>
        <v>1</v>
      </c>
      <c r="AB24" s="1814">
        <f t="shared" si="4"/>
        <v>1</v>
      </c>
      <c r="AC24" s="1814">
        <f t="shared" si="5"/>
        <v>1</v>
      </c>
    </row>
    <row r="25" spans="1:29" s="117" customFormat="1" ht="15.75" hidden="1"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07"/>
      <c r="Q25" s="1798">
        <f t="shared" si="11"/>
        <v>111</v>
      </c>
      <c r="R25" s="770" t="s">
        <v>17</v>
      </c>
      <c r="S25" s="771">
        <f>F25</f>
        <v>100</v>
      </c>
      <c r="T25" s="770" t="s">
        <v>17</v>
      </c>
      <c r="U25" s="771">
        <f>H25</f>
        <v>100</v>
      </c>
      <c r="V25" s="770" t="s">
        <v>17</v>
      </c>
      <c r="W25" s="771">
        <f>J25</f>
        <v>100</v>
      </c>
      <c r="X25" s="772"/>
      <c r="Y25" s="3207"/>
      <c r="Z25" s="55">
        <f>Q25</f>
        <v>111</v>
      </c>
      <c r="AA25" s="1814">
        <f>D25/F25</f>
        <v>1</v>
      </c>
      <c r="AB25" s="1814">
        <f>D25/H25</f>
        <v>1</v>
      </c>
      <c r="AC25" s="1814">
        <f>D25/J25</f>
        <v>1</v>
      </c>
    </row>
    <row r="26" spans="1:29" ht="15">
      <c r="A26" s="652" t="s">
        <v>2564</v>
      </c>
      <c r="B26" s="70" t="s">
        <v>2713</v>
      </c>
      <c r="C26" s="2696" t="str">
        <f>B1</f>
        <v>车库</v>
      </c>
      <c r="D26" s="448">
        <v>100</v>
      </c>
      <c r="E26" s="447"/>
      <c r="F26" s="449">
        <f>SUMIF(79:79,E26,80:80)-SUMIF(79:79,C26,80:80)+100</f>
        <v>0</v>
      </c>
      <c r="G26" s="447"/>
      <c r="H26" s="448">
        <f>SUMIF(79:79,G26,80:80)-SUMIF(79:79,C26,80:80)+100</f>
        <v>0</v>
      </c>
      <c r="I26" s="447"/>
      <c r="J26" s="448">
        <f>SUMIF(79:79,I26,80:80)-SUMIF(79:79,C26,80:80)+100</f>
        <v>0</v>
      </c>
      <c r="K26" s="612"/>
      <c r="L26" s="1143"/>
      <c r="M26" s="1134"/>
      <c r="N26" s="1134"/>
      <c r="O26" s="1134"/>
      <c r="P26" s="3208" t="s">
        <v>2566</v>
      </c>
      <c r="Q26" s="1813" t="str">
        <f t="shared" si="11"/>
        <v>配套类型</v>
      </c>
      <c r="R26" s="774" t="s">
        <v>17</v>
      </c>
      <c r="S26" s="775">
        <f t="shared" ref="S26:S36" si="12">F26</f>
        <v>0</v>
      </c>
      <c r="T26" s="774" t="s">
        <v>17</v>
      </c>
      <c r="U26" s="775">
        <f t="shared" ref="U26:U36" si="13">H26</f>
        <v>0</v>
      </c>
      <c r="V26" s="774" t="s">
        <v>17</v>
      </c>
      <c r="W26" s="775">
        <f t="shared" ref="W26:W36" si="14">J26</f>
        <v>0</v>
      </c>
      <c r="X26" s="1816"/>
      <c r="Y26" s="3209" t="s">
        <v>2566</v>
      </c>
      <c r="Z26" s="1817" t="str">
        <f t="shared" ref="Z26:Z36" si="15">Q26</f>
        <v>配套类型</v>
      </c>
      <c r="AA26" s="1814" t="e">
        <f t="shared" si="3"/>
        <v>#DIV/0!</v>
      </c>
      <c r="AB26" s="1814" t="e">
        <f t="shared" si="4"/>
        <v>#DIV/0!</v>
      </c>
      <c r="AC26" s="1814" t="e">
        <f t="shared" si="5"/>
        <v>#DIV/0!</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09"/>
      <c r="Q27" s="776" t="str">
        <f t="shared" si="11"/>
        <v>项目停车位配比</v>
      </c>
      <c r="R27" s="777" t="s">
        <v>17</v>
      </c>
      <c r="S27" s="778">
        <f t="shared" si="12"/>
        <v>100</v>
      </c>
      <c r="T27" s="777" t="s">
        <v>17</v>
      </c>
      <c r="U27" s="778">
        <f t="shared" si="13"/>
        <v>100</v>
      </c>
      <c r="V27" s="777" t="s">
        <v>17</v>
      </c>
      <c r="W27" s="778">
        <f t="shared" si="14"/>
        <v>100</v>
      </c>
      <c r="X27" s="779"/>
      <c r="Y27" s="3209"/>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09"/>
      <c r="Q28" s="1813" t="str">
        <f t="shared" si="11"/>
        <v>公共部分装修</v>
      </c>
      <c r="R28" s="774" t="s">
        <v>17</v>
      </c>
      <c r="S28" s="775">
        <f t="shared" si="12"/>
        <v>100</v>
      </c>
      <c r="T28" s="774" t="s">
        <v>17</v>
      </c>
      <c r="U28" s="775">
        <f t="shared" si="13"/>
        <v>100</v>
      </c>
      <c r="V28" s="774" t="s">
        <v>17</v>
      </c>
      <c r="W28" s="775">
        <f t="shared" si="14"/>
        <v>100</v>
      </c>
      <c r="X28" s="1816"/>
      <c r="Y28" s="3209"/>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09"/>
      <c r="Q29" s="1813" t="str">
        <f t="shared" si="11"/>
        <v>成新率</v>
      </c>
      <c r="R29" s="774" t="s">
        <v>17</v>
      </c>
      <c r="S29" s="775" t="e">
        <f t="shared" si="12"/>
        <v>#N/A</v>
      </c>
      <c r="T29" s="774" t="s">
        <v>17</v>
      </c>
      <c r="U29" s="775" t="e">
        <f t="shared" si="13"/>
        <v>#N/A</v>
      </c>
      <c r="V29" s="774" t="s">
        <v>17</v>
      </c>
      <c r="W29" s="775" t="e">
        <f t="shared" si="14"/>
        <v>#N/A</v>
      </c>
      <c r="X29" s="1816"/>
      <c r="Y29" s="3209"/>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09"/>
      <c r="Q30" s="1813" t="str">
        <f t="shared" si="11"/>
        <v>物业等级</v>
      </c>
      <c r="R30" s="774" t="s">
        <v>17</v>
      </c>
      <c r="S30" s="775">
        <f t="shared" si="12"/>
        <v>100</v>
      </c>
      <c r="T30" s="774" t="s">
        <v>17</v>
      </c>
      <c r="U30" s="775">
        <f t="shared" si="13"/>
        <v>100</v>
      </c>
      <c r="V30" s="774" t="s">
        <v>17</v>
      </c>
      <c r="W30" s="775">
        <f t="shared" si="14"/>
        <v>100</v>
      </c>
      <c r="X30" s="1816"/>
      <c r="Y30" s="3209"/>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09"/>
      <c r="Q31" s="1798" t="str">
        <f t="shared" si="11"/>
        <v>停车位面积</v>
      </c>
      <c r="R31" s="770" t="s">
        <v>17</v>
      </c>
      <c r="S31" s="771" t="e">
        <f t="shared" si="12"/>
        <v>#N/A</v>
      </c>
      <c r="T31" s="770" t="s">
        <v>17</v>
      </c>
      <c r="U31" s="771" t="e">
        <f t="shared" si="13"/>
        <v>#N/A</v>
      </c>
      <c r="V31" s="770" t="s">
        <v>17</v>
      </c>
      <c r="W31" s="771" t="e">
        <f t="shared" si="14"/>
        <v>#N/A</v>
      </c>
      <c r="X31" s="772"/>
      <c r="Y31" s="3209"/>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09" t="s">
        <v>2566</v>
      </c>
      <c r="Q32" s="1813" t="str">
        <f t="shared" si="11"/>
        <v>车位类型</v>
      </c>
      <c r="R32" s="774" t="s">
        <v>17</v>
      </c>
      <c r="S32" s="775">
        <f t="shared" si="12"/>
        <v>100</v>
      </c>
      <c r="T32" s="774" t="s">
        <v>17</v>
      </c>
      <c r="U32" s="775">
        <f t="shared" si="13"/>
        <v>100</v>
      </c>
      <c r="V32" s="774" t="s">
        <v>17</v>
      </c>
      <c r="W32" s="775">
        <f t="shared" si="14"/>
        <v>100</v>
      </c>
      <c r="X32" s="1816"/>
      <c r="Y32" s="3209" t="s">
        <v>2566</v>
      </c>
      <c r="Z32" s="1817" t="str">
        <f t="shared" si="15"/>
        <v>车位类型</v>
      </c>
      <c r="AA32" s="1814">
        <f t="shared" si="3"/>
        <v>1</v>
      </c>
      <c r="AB32" s="1814">
        <f t="shared" si="4"/>
        <v>1</v>
      </c>
      <c r="AC32" s="1814">
        <f t="shared" si="5"/>
        <v>1</v>
      </c>
    </row>
    <row r="33" spans="1:29" ht="15.75" thickBot="1">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09"/>
      <c r="Q33" s="1813" t="str">
        <f t="shared" si="11"/>
        <v>是否直接入户</v>
      </c>
      <c r="R33" s="774" t="s">
        <v>17</v>
      </c>
      <c r="S33" s="775">
        <f t="shared" si="12"/>
        <v>100</v>
      </c>
      <c r="T33" s="774" t="s">
        <v>17</v>
      </c>
      <c r="U33" s="775">
        <f t="shared" si="13"/>
        <v>100</v>
      </c>
      <c r="V33" s="774" t="s">
        <v>17</v>
      </c>
      <c r="W33" s="775">
        <f t="shared" si="14"/>
        <v>100</v>
      </c>
      <c r="X33" s="1816"/>
      <c r="Y33" s="3209"/>
      <c r="Z33" s="1817" t="str">
        <f t="shared" si="15"/>
        <v>是否直接入户</v>
      </c>
      <c r="AA33" s="1814">
        <f t="shared" si="3"/>
        <v>1</v>
      </c>
      <c r="AB33" s="1814">
        <f t="shared" si="4"/>
        <v>1</v>
      </c>
      <c r="AC33" s="1814">
        <f t="shared" si="5"/>
        <v>1</v>
      </c>
    </row>
    <row r="34" spans="1:29" ht="15" hidden="1">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s="471" customFormat="1" ht="15" hidden="1">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09"/>
      <c r="Q35" s="776">
        <f t="shared" si="11"/>
        <v>111</v>
      </c>
      <c r="R35" s="777" t="s">
        <v>17</v>
      </c>
      <c r="S35" s="778">
        <f t="shared" si="12"/>
        <v>100</v>
      </c>
      <c r="T35" s="777" t="s">
        <v>17</v>
      </c>
      <c r="U35" s="778">
        <f t="shared" si="13"/>
        <v>100</v>
      </c>
      <c r="V35" s="777" t="s">
        <v>17</v>
      </c>
      <c r="W35" s="778">
        <f t="shared" si="14"/>
        <v>100</v>
      </c>
      <c r="X35" s="779"/>
      <c r="Y35" s="3209"/>
      <c r="Z35" s="780">
        <f t="shared" si="15"/>
        <v>111</v>
      </c>
      <c r="AA35" s="1814">
        <f t="shared" si="3"/>
        <v>1</v>
      </c>
      <c r="AB35" s="1814">
        <f t="shared" si="4"/>
        <v>1</v>
      </c>
      <c r="AC35" s="1814">
        <f t="shared" si="5"/>
        <v>1</v>
      </c>
    </row>
    <row r="36" spans="1:29" ht="15.75" hidden="1"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09"/>
      <c r="Q36" s="1813">
        <f t="shared" si="11"/>
        <v>111</v>
      </c>
      <c r="R36" s="774" t="s">
        <v>17</v>
      </c>
      <c r="S36" s="775">
        <f t="shared" si="12"/>
        <v>100</v>
      </c>
      <c r="T36" s="774" t="s">
        <v>17</v>
      </c>
      <c r="U36" s="775">
        <f t="shared" si="13"/>
        <v>100</v>
      </c>
      <c r="V36" s="774" t="s">
        <v>17</v>
      </c>
      <c r="W36" s="775">
        <f t="shared" si="14"/>
        <v>100</v>
      </c>
      <c r="X36" s="1816"/>
      <c r="Y36" s="3209"/>
      <c r="Z36" s="1817">
        <f t="shared" si="15"/>
        <v>111</v>
      </c>
      <c r="AA36" s="1814">
        <f t="shared" si="3"/>
        <v>1</v>
      </c>
      <c r="AB36" s="1814">
        <f t="shared" si="4"/>
        <v>1</v>
      </c>
      <c r="AC36" s="1814">
        <f t="shared" si="5"/>
        <v>1</v>
      </c>
    </row>
    <row r="37" spans="1:29" ht="15">
      <c r="A37" s="479" t="s">
        <v>2721</v>
      </c>
      <c r="B37" s="2697" t="s">
        <v>2722</v>
      </c>
      <c r="C37" s="1410" t="s">
        <v>1</v>
      </c>
      <c r="D37" s="1411"/>
      <c r="E37" s="1412"/>
      <c r="F37" s="1413"/>
      <c r="G37" s="1414"/>
      <c r="H37" s="1415"/>
      <c r="I37" s="1412"/>
      <c r="J37" s="1415"/>
      <c r="K37" s="619"/>
      <c r="L37" s="1146"/>
      <c r="M37" s="1147"/>
      <c r="N37" s="1134"/>
      <c r="O37" s="1147"/>
      <c r="P37" s="3191" t="str">
        <f>A37</f>
        <v>成交单价</v>
      </c>
      <c r="Q37" s="3191"/>
      <c r="R37" s="3217">
        <f>E37</f>
        <v>0</v>
      </c>
      <c r="S37" s="3217"/>
      <c r="T37" s="3217">
        <f>G37</f>
        <v>0</v>
      </c>
      <c r="U37" s="3217"/>
      <c r="V37" s="3217">
        <f>I37</f>
        <v>0</v>
      </c>
      <c r="W37" s="3217"/>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91" t="str">
        <f>A38</f>
        <v>比较价值（元/平方米）</v>
      </c>
      <c r="Q38" s="3191"/>
      <c r="R38" s="3217" t="e">
        <f>IF(F1="售价",ROUND(PRODUCT(R37,AA7:AA36),0),ROUND(PRODUCT(R37,AA7:AA36),1))</f>
        <v>#DIV/0!</v>
      </c>
      <c r="S38" s="3217"/>
      <c r="T38" s="3217" t="e">
        <f>IF(F1="售价",ROUND(PRODUCT(T37,AB7:AB36),0),ROUND(PRODUCT(T37,AB7:AB36),1))</f>
        <v>#DIV/0!</v>
      </c>
      <c r="U38" s="3217"/>
      <c r="V38" s="3217" t="e">
        <f>IF(F1="售价",ROUND(PRODUCT(V37,AC7:AC36),0),ROUND(PRODUCT(V37,AC7:AC36),1))</f>
        <v>#DIV/0!</v>
      </c>
      <c r="W38" s="3217"/>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211" t="str">
        <f>A39</f>
        <v>估价对象XX用房的比较价值（楼面单价，元/平方米）</v>
      </c>
      <c r="Q39" s="3212"/>
      <c r="R39" s="3218" t="e">
        <f>IF(F1="售价",ROUND(AVERAGE(R38:V38),0),ROUND(AVERAGE(R38:V38),1))</f>
        <v>#DIV/0!</v>
      </c>
      <c r="S39" s="3218"/>
      <c r="T39" s="3218"/>
      <c r="U39" s="3218"/>
      <c r="V39" s="3218"/>
      <c r="W39" s="3218"/>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2018-4</v>
      </c>
      <c r="D48" s="1578">
        <f>EDATE(C48,-1)</f>
        <v>43160</v>
      </c>
      <c r="E48" s="1578">
        <f t="shared" ref="E48:O48" si="16">EDATE(D48,-1)</f>
        <v>43132</v>
      </c>
      <c r="F48" s="1578">
        <f t="shared" si="16"/>
        <v>43101</v>
      </c>
      <c r="G48" s="1578">
        <f t="shared" si="16"/>
        <v>43070</v>
      </c>
      <c r="H48" s="1578">
        <f t="shared" si="16"/>
        <v>43040</v>
      </c>
      <c r="I48" s="1578">
        <f t="shared" si="16"/>
        <v>43009</v>
      </c>
      <c r="J48" s="1578">
        <f t="shared" si="16"/>
        <v>42979</v>
      </c>
      <c r="K48" s="1578">
        <f t="shared" si="16"/>
        <v>42948</v>
      </c>
      <c r="L48" s="1578">
        <f t="shared" si="16"/>
        <v>42917</v>
      </c>
      <c r="M48" s="1578">
        <f t="shared" si="16"/>
        <v>42887</v>
      </c>
      <c r="N48" s="1578">
        <f t="shared" si="16"/>
        <v>42856</v>
      </c>
      <c r="O48" s="1578">
        <f t="shared" si="16"/>
        <v>42826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t="str">
        <f>C26</f>
        <v>车库</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2331</v>
      </c>
      <c r="B2" s="1421" t="e">
        <f ca="1">IF(C2="——",ROUND(C37*D3/10000,0),ROUND(C37*D3/10000,0)-D2)</f>
        <v>#DIV/0!</v>
      </c>
      <c r="C2" s="2588"/>
      <c r="D2" s="1127" t="e">
        <f ca="1">SUMIF(INDIRECT("'"&amp;F2&amp;"'"&amp;"!A:A"),"承租人权益价值",INDIRECT("'"&amp;F2&amp;"'"&amp;"!c:c"))</f>
        <v>#REF!</v>
      </c>
      <c r="E2" s="2589" t="s">
        <v>2332</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175" t="s">
        <v>2649</v>
      </c>
      <c r="AC4" s="3174" t="s">
        <v>2650</v>
      </c>
    </row>
    <row r="5" spans="1:29" ht="15">
      <c r="A5" s="404"/>
      <c r="B5" s="405"/>
      <c r="C5" s="3185" t="s">
        <v>2543</v>
      </c>
      <c r="D5" s="3186"/>
      <c r="E5" s="3183" t="s">
        <v>2544</v>
      </c>
      <c r="F5" s="3184"/>
      <c r="G5" s="3185" t="s">
        <v>2545</v>
      </c>
      <c r="H5" s="3186"/>
      <c r="I5" s="3185" t="s">
        <v>2546</v>
      </c>
      <c r="J5" s="3186"/>
      <c r="K5" s="610"/>
      <c r="L5" s="1133"/>
      <c r="M5" s="1134"/>
      <c r="N5" s="1134"/>
      <c r="O5" s="1134"/>
      <c r="P5" s="3198"/>
      <c r="Q5" s="3199"/>
      <c r="R5" s="3181"/>
      <c r="S5" s="3182"/>
      <c r="T5" s="3181"/>
      <c r="U5" s="3182"/>
      <c r="V5" s="3204"/>
      <c r="W5" s="3204"/>
      <c r="X5" s="1816"/>
      <c r="Y5" s="3181"/>
      <c r="Z5" s="3182"/>
      <c r="AA5" s="3175"/>
      <c r="AB5" s="3175"/>
      <c r="AC5" s="3175"/>
    </row>
    <row r="6" spans="1:29" ht="15.75" thickBot="1">
      <c r="A6" s="406"/>
      <c r="B6" s="407"/>
      <c r="C6" s="3187" t="s">
        <v>2547</v>
      </c>
      <c r="D6" s="3188"/>
      <c r="E6" s="3189" t="s">
        <v>2547</v>
      </c>
      <c r="F6" s="3190"/>
      <c r="G6" s="3187" t="s">
        <v>2547</v>
      </c>
      <c r="H6" s="3188"/>
      <c r="I6" s="3187" t="s">
        <v>2547</v>
      </c>
      <c r="J6" s="3188"/>
      <c r="K6" s="610" t="s">
        <v>2548</v>
      </c>
      <c r="L6" s="1133"/>
      <c r="M6" s="1134"/>
      <c r="N6" s="1134"/>
      <c r="O6" s="1134"/>
      <c r="P6" s="3200"/>
      <c r="Q6" s="3201"/>
      <c r="R6" s="3181"/>
      <c r="S6" s="3182"/>
      <c r="T6" s="3202"/>
      <c r="U6" s="3203"/>
      <c r="V6" s="3204"/>
      <c r="W6" s="3204"/>
      <c r="X6" s="1816"/>
      <c r="Y6" s="3202"/>
      <c r="Z6" s="3203"/>
      <c r="AA6" s="3176"/>
      <c r="AB6" s="3176"/>
      <c r="AC6" s="3176"/>
    </row>
    <row r="7" spans="1:29" s="117" customFormat="1" ht="15.75" thickBot="1">
      <c r="A7" s="408" t="s">
        <v>2549</v>
      </c>
      <c r="B7" s="409"/>
      <c r="C7" s="410">
        <f>'数据-取费表'!B2</f>
        <v>43202</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177" t="s">
        <v>2550</v>
      </c>
      <c r="Q7" s="3205"/>
      <c r="R7" s="770" t="s">
        <v>17</v>
      </c>
      <c r="S7" s="771">
        <f t="shared" ref="S7:S14" si="0">F7</f>
        <v>0</v>
      </c>
      <c r="T7" s="770" t="s">
        <v>17</v>
      </c>
      <c r="U7" s="771">
        <f t="shared" ref="U7:U14" si="1">H7</f>
        <v>0</v>
      </c>
      <c r="V7" s="770" t="s">
        <v>17</v>
      </c>
      <c r="W7" s="771">
        <f t="shared" ref="W7:W14" si="2">J7</f>
        <v>0</v>
      </c>
      <c r="X7" s="772"/>
      <c r="Y7" s="3177" t="s">
        <v>2550</v>
      </c>
      <c r="Z7" s="3178"/>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77" t="s">
        <v>2553</v>
      </c>
      <c r="Q8" s="3178"/>
      <c r="R8" s="770" t="s">
        <v>17</v>
      </c>
      <c r="S8" s="771">
        <f t="shared" si="0"/>
        <v>0</v>
      </c>
      <c r="T8" s="770" t="s">
        <v>17</v>
      </c>
      <c r="U8" s="771">
        <f t="shared" si="1"/>
        <v>0</v>
      </c>
      <c r="V8" s="770" t="s">
        <v>17</v>
      </c>
      <c r="W8" s="771">
        <f t="shared" si="2"/>
        <v>0</v>
      </c>
      <c r="X8" s="772"/>
      <c r="Y8" s="3177" t="s">
        <v>2553</v>
      </c>
      <c r="Z8" s="3178"/>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91" t="s">
        <v>2556</v>
      </c>
      <c r="Q9" s="1798" t="str">
        <f t="shared" ref="Q9:Q14" si="6">B9</f>
        <v>用途</v>
      </c>
      <c r="R9" s="770" t="s">
        <v>17</v>
      </c>
      <c r="S9" s="771">
        <f t="shared" si="0"/>
        <v>100</v>
      </c>
      <c r="T9" s="770" t="s">
        <v>17</v>
      </c>
      <c r="U9" s="771">
        <f t="shared" si="1"/>
        <v>100</v>
      </c>
      <c r="V9" s="770" t="s">
        <v>17</v>
      </c>
      <c r="W9" s="771">
        <f t="shared" si="2"/>
        <v>100</v>
      </c>
      <c r="X9" s="772"/>
      <c r="Y9" s="3051"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91"/>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91"/>
      <c r="Q11" s="1798">
        <f t="shared" si="6"/>
        <v>111</v>
      </c>
      <c r="R11" s="770" t="s">
        <v>17</v>
      </c>
      <c r="S11" s="771">
        <f t="shared" si="0"/>
        <v>100</v>
      </c>
      <c r="T11" s="770" t="s">
        <v>17</v>
      </c>
      <c r="U11" s="771">
        <f t="shared" si="1"/>
        <v>100</v>
      </c>
      <c r="V11" s="770" t="s">
        <v>17</v>
      </c>
      <c r="W11" s="771">
        <f t="shared" si="2"/>
        <v>100</v>
      </c>
      <c r="X11" s="772"/>
      <c r="Y11" s="3051"/>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91"/>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91"/>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85.5">
      <c r="A14" s="440" t="s">
        <v>2560</v>
      </c>
      <c r="B14" s="69" t="s">
        <v>2710</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06" t="s">
        <v>2561</v>
      </c>
      <c r="Q14" s="1813" t="str">
        <f t="shared" si="6"/>
        <v>交通便捷度</v>
      </c>
      <c r="R14" s="774" t="s">
        <v>17</v>
      </c>
      <c r="S14" s="775">
        <f t="shared" si="0"/>
        <v>100</v>
      </c>
      <c r="T14" s="774" t="s">
        <v>17</v>
      </c>
      <c r="U14" s="775">
        <f t="shared" si="1"/>
        <v>100</v>
      </c>
      <c r="V14" s="774" t="s">
        <v>17</v>
      </c>
      <c r="W14" s="775">
        <f t="shared" si="2"/>
        <v>100</v>
      </c>
      <c r="X14" s="1816"/>
      <c r="Y14" s="3206"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07"/>
      <c r="Q15" s="1813"/>
      <c r="R15" s="774"/>
      <c r="S15" s="775"/>
      <c r="T15" s="774"/>
      <c r="U15" s="775"/>
      <c r="V15" s="774"/>
      <c r="W15" s="775"/>
      <c r="X15" s="1816"/>
      <c r="Y15" s="3207"/>
      <c r="Z15" s="1817"/>
      <c r="AA15" s="1814">
        <v>1</v>
      </c>
      <c r="AB15" s="1814">
        <v>1</v>
      </c>
      <c r="AC15" s="1814">
        <v>1</v>
      </c>
    </row>
    <row r="16" spans="1:29" ht="42.75">
      <c r="A16" s="428"/>
      <c r="B16" s="451" t="s">
        <v>2689</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07"/>
      <c r="Q16" s="1813" t="str">
        <f>B16</f>
        <v>公共配套设施</v>
      </c>
      <c r="R16" s="774" t="s">
        <v>17</v>
      </c>
      <c r="S16" s="775">
        <f>F16</f>
        <v>100</v>
      </c>
      <c r="T16" s="774" t="s">
        <v>17</v>
      </c>
      <c r="U16" s="775">
        <f>H16</f>
        <v>100</v>
      </c>
      <c r="V16" s="774" t="s">
        <v>17</v>
      </c>
      <c r="W16" s="775">
        <f>J16</f>
        <v>100</v>
      </c>
      <c r="X16" s="1816"/>
      <c r="Y16" s="3207"/>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207"/>
      <c r="Q17" s="1813"/>
      <c r="R17" s="774"/>
      <c r="S17" s="775"/>
      <c r="T17" s="774"/>
      <c r="U17" s="775"/>
      <c r="V17" s="774"/>
      <c r="W17" s="775"/>
      <c r="X17" s="1816"/>
      <c r="Y17" s="3207"/>
      <c r="Z17" s="1817"/>
      <c r="AA17" s="1814">
        <v>1</v>
      </c>
      <c r="AB17" s="1814">
        <v>1</v>
      </c>
      <c r="AC17" s="1814">
        <v>1</v>
      </c>
    </row>
    <row r="18" spans="1:29" ht="28.5">
      <c r="A18" s="428"/>
      <c r="B18" s="1387" t="s">
        <v>2690</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07"/>
      <c r="Q18" s="1813" t="str">
        <f>B18</f>
        <v>基础设施水平</v>
      </c>
      <c r="R18" s="774" t="s">
        <v>17</v>
      </c>
      <c r="S18" s="775">
        <f>F18</f>
        <v>100</v>
      </c>
      <c r="T18" s="774" t="s">
        <v>17</v>
      </c>
      <c r="U18" s="775">
        <f>H18</f>
        <v>100</v>
      </c>
      <c r="V18" s="774" t="s">
        <v>17</v>
      </c>
      <c r="W18" s="775">
        <f>J18</f>
        <v>100</v>
      </c>
      <c r="X18" s="1816"/>
      <c r="Y18" s="3207"/>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207"/>
      <c r="Q19" s="1813"/>
      <c r="R19" s="774"/>
      <c r="S19" s="775"/>
      <c r="T19" s="774"/>
      <c r="U19" s="775"/>
      <c r="V19" s="774"/>
      <c r="W19" s="775"/>
      <c r="X19" s="1816"/>
      <c r="Y19" s="3207"/>
      <c r="Z19" s="1817"/>
      <c r="AA19" s="1814">
        <v>1</v>
      </c>
      <c r="AB19" s="1814">
        <v>1</v>
      </c>
      <c r="AC19" s="1814">
        <v>1</v>
      </c>
    </row>
    <row r="20" spans="1:29" ht="57">
      <c r="A20" s="428"/>
      <c r="B20" s="451" t="s">
        <v>2711</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07"/>
      <c r="Q20" s="1813" t="str">
        <f>B20</f>
        <v>自然及人文环境</v>
      </c>
      <c r="R20" s="774" t="s">
        <v>17</v>
      </c>
      <c r="S20" s="775">
        <f>F20</f>
        <v>100</v>
      </c>
      <c r="T20" s="774" t="s">
        <v>17</v>
      </c>
      <c r="U20" s="775">
        <f>H20</f>
        <v>100</v>
      </c>
      <c r="V20" s="774" t="s">
        <v>17</v>
      </c>
      <c r="W20" s="775">
        <f>J20</f>
        <v>100</v>
      </c>
      <c r="X20" s="1816"/>
      <c r="Y20" s="3207"/>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07"/>
      <c r="Q21" s="1813"/>
      <c r="R21" s="774"/>
      <c r="S21" s="775"/>
      <c r="T21" s="774"/>
      <c r="U21" s="775"/>
      <c r="V21" s="774"/>
      <c r="W21" s="775"/>
      <c r="X21" s="1816"/>
      <c r="Y21" s="3207"/>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07"/>
      <c r="Q22" s="1813" t="str">
        <f>B22</f>
        <v>楼层</v>
      </c>
      <c r="R22" s="774" t="s">
        <v>17</v>
      </c>
      <c r="S22" s="775">
        <f>F22</f>
        <v>100</v>
      </c>
      <c r="T22" s="774" t="s">
        <v>17</v>
      </c>
      <c r="U22" s="775">
        <f>H22</f>
        <v>100</v>
      </c>
      <c r="V22" s="774" t="s">
        <v>17</v>
      </c>
      <c r="W22" s="775">
        <f>J22</f>
        <v>100</v>
      </c>
      <c r="X22" s="1816"/>
      <c r="Y22" s="3207"/>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07"/>
      <c r="Q23" s="1813">
        <f>B23</f>
        <v>111</v>
      </c>
      <c r="R23" s="774" t="s">
        <v>17</v>
      </c>
      <c r="S23" s="775">
        <f>F23</f>
        <v>100</v>
      </c>
      <c r="T23" s="774" t="s">
        <v>17</v>
      </c>
      <c r="U23" s="775">
        <f>H23</f>
        <v>100</v>
      </c>
      <c r="V23" s="774" t="s">
        <v>17</v>
      </c>
      <c r="W23" s="775">
        <f>J23</f>
        <v>100</v>
      </c>
      <c r="X23" s="1816"/>
      <c r="Y23" s="3207"/>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07"/>
      <c r="Q24" s="1813">
        <f t="shared" ref="Q24:Q34" si="11">B24</f>
        <v>111</v>
      </c>
      <c r="R24" s="774" t="s">
        <v>17</v>
      </c>
      <c r="S24" s="775">
        <f>F24</f>
        <v>100</v>
      </c>
      <c r="T24" s="774" t="s">
        <v>17</v>
      </c>
      <c r="U24" s="775">
        <f>H24</f>
        <v>100</v>
      </c>
      <c r="V24" s="774" t="s">
        <v>17</v>
      </c>
      <c r="W24" s="775">
        <f>J24</f>
        <v>100</v>
      </c>
      <c r="X24" s="1816"/>
      <c r="Y24" s="3207"/>
      <c r="Z24" s="1817">
        <f>Q24</f>
        <v>111</v>
      </c>
      <c r="AA24" s="1814">
        <f t="shared" si="3"/>
        <v>1</v>
      </c>
      <c r="AB24" s="1814">
        <f t="shared" si="4"/>
        <v>1</v>
      </c>
      <c r="AC24" s="1814">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207"/>
      <c r="Q25" s="1798">
        <f t="shared" si="11"/>
        <v>111</v>
      </c>
      <c r="R25" s="770" t="s">
        <v>17</v>
      </c>
      <c r="S25" s="771">
        <f>F25</f>
        <v>100</v>
      </c>
      <c r="T25" s="770" t="s">
        <v>17</v>
      </c>
      <c r="U25" s="771">
        <f>H25</f>
        <v>100</v>
      </c>
      <c r="V25" s="770" t="s">
        <v>17</v>
      </c>
      <c r="W25" s="771">
        <f>J25</f>
        <v>100</v>
      </c>
      <c r="X25" s="772"/>
      <c r="Y25" s="3207"/>
      <c r="Z25" s="55">
        <f>Q25</f>
        <v>111</v>
      </c>
      <c r="AA25" s="1814">
        <f>D25/F25</f>
        <v>1</v>
      </c>
      <c r="AB25" s="1814">
        <f>D25/H25</f>
        <v>1</v>
      </c>
      <c r="AC25" s="1814">
        <f>D25/J25</f>
        <v>1</v>
      </c>
    </row>
    <row r="26" spans="1:29" ht="15">
      <c r="A26" s="466" t="s">
        <v>2564</v>
      </c>
      <c r="B26" s="71" t="s">
        <v>2715</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208"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09"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09"/>
      <c r="Q27" s="776" t="str">
        <f t="shared" si="11"/>
        <v>成新率</v>
      </c>
      <c r="R27" s="777" t="s">
        <v>17</v>
      </c>
      <c r="S27" s="778" t="e">
        <f t="shared" si="12"/>
        <v>#N/A</v>
      </c>
      <c r="T27" s="777" t="s">
        <v>17</v>
      </c>
      <c r="U27" s="778" t="e">
        <f t="shared" si="13"/>
        <v>#N/A</v>
      </c>
      <c r="V27" s="777" t="s">
        <v>17</v>
      </c>
      <c r="W27" s="778" t="e">
        <f t="shared" si="14"/>
        <v>#N/A</v>
      </c>
      <c r="X27" s="779"/>
      <c r="Y27" s="3209"/>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09"/>
      <c r="Q28" s="1813" t="str">
        <f t="shared" si="11"/>
        <v>物业等级</v>
      </c>
      <c r="R28" s="774" t="s">
        <v>17</v>
      </c>
      <c r="S28" s="775">
        <f t="shared" si="12"/>
        <v>100</v>
      </c>
      <c r="T28" s="774" t="s">
        <v>17</v>
      </c>
      <c r="U28" s="775">
        <f t="shared" si="13"/>
        <v>100</v>
      </c>
      <c r="V28" s="774" t="s">
        <v>17</v>
      </c>
      <c r="W28" s="775">
        <f t="shared" si="14"/>
        <v>100</v>
      </c>
      <c r="X28" s="1816"/>
      <c r="Y28" s="3209"/>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09"/>
      <c r="Q29" s="1813" t="str">
        <f t="shared" si="11"/>
        <v>有无电梯</v>
      </c>
      <c r="R29" s="774" t="s">
        <v>17</v>
      </c>
      <c r="S29" s="775">
        <f t="shared" si="12"/>
        <v>100</v>
      </c>
      <c r="T29" s="774" t="s">
        <v>17</v>
      </c>
      <c r="U29" s="775">
        <f t="shared" si="13"/>
        <v>100</v>
      </c>
      <c r="V29" s="774" t="s">
        <v>17</v>
      </c>
      <c r="W29" s="775">
        <f t="shared" si="14"/>
        <v>100</v>
      </c>
      <c r="X29" s="1816"/>
      <c r="Y29" s="3209"/>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09"/>
      <c r="Q30" s="1813" t="str">
        <f t="shared" si="11"/>
        <v>建筑面积</v>
      </c>
      <c r="R30" s="774" t="s">
        <v>17</v>
      </c>
      <c r="S30" s="775" t="e">
        <f t="shared" si="12"/>
        <v>#N/A</v>
      </c>
      <c r="T30" s="774" t="s">
        <v>17</v>
      </c>
      <c r="U30" s="775" t="e">
        <f t="shared" si="13"/>
        <v>#N/A</v>
      </c>
      <c r="V30" s="774" t="s">
        <v>17</v>
      </c>
      <c r="W30" s="775" t="e">
        <f t="shared" si="14"/>
        <v>#N/A</v>
      </c>
      <c r="X30" s="1816"/>
      <c r="Y30" s="3209"/>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09"/>
      <c r="Q31" s="1798" t="str">
        <f t="shared" si="11"/>
        <v>是否封闭</v>
      </c>
      <c r="R31" s="770" t="s">
        <v>17</v>
      </c>
      <c r="S31" s="771">
        <f t="shared" si="12"/>
        <v>100</v>
      </c>
      <c r="T31" s="770" t="s">
        <v>17</v>
      </c>
      <c r="U31" s="771">
        <f t="shared" si="13"/>
        <v>100</v>
      </c>
      <c r="V31" s="770" t="s">
        <v>17</v>
      </c>
      <c r="W31" s="771">
        <f t="shared" si="14"/>
        <v>100</v>
      </c>
      <c r="X31" s="772"/>
      <c r="Y31" s="3209"/>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09" t="s">
        <v>2566</v>
      </c>
      <c r="Q32" s="1813">
        <f t="shared" si="11"/>
        <v>111</v>
      </c>
      <c r="R32" s="774" t="s">
        <v>17</v>
      </c>
      <c r="S32" s="775">
        <f t="shared" si="12"/>
        <v>100</v>
      </c>
      <c r="T32" s="774" t="s">
        <v>17</v>
      </c>
      <c r="U32" s="775">
        <f t="shared" si="13"/>
        <v>100</v>
      </c>
      <c r="V32" s="774" t="s">
        <v>17</v>
      </c>
      <c r="W32" s="775">
        <f t="shared" si="14"/>
        <v>100</v>
      </c>
      <c r="X32" s="1816"/>
      <c r="Y32" s="3209" t="s">
        <v>2566</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09"/>
      <c r="Q33" s="1813">
        <f t="shared" si="11"/>
        <v>111</v>
      </c>
      <c r="R33" s="774" t="s">
        <v>17</v>
      </c>
      <c r="S33" s="775">
        <f t="shared" si="12"/>
        <v>100</v>
      </c>
      <c r="T33" s="774" t="s">
        <v>17</v>
      </c>
      <c r="U33" s="775">
        <f t="shared" si="13"/>
        <v>100</v>
      </c>
      <c r="V33" s="774" t="s">
        <v>17</v>
      </c>
      <c r="W33" s="775">
        <f t="shared" si="14"/>
        <v>100</v>
      </c>
      <c r="X33" s="1816"/>
      <c r="Y33" s="3209"/>
      <c r="Z33" s="1817">
        <f t="shared" si="15"/>
        <v>111</v>
      </c>
      <c r="AA33" s="1814">
        <f t="shared" si="3"/>
        <v>1</v>
      </c>
      <c r="AB33" s="1814">
        <f t="shared" si="4"/>
        <v>1</v>
      </c>
      <c r="AC33" s="1814">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191" t="str">
        <f>A35</f>
        <v>成交单价（元/平方米）</v>
      </c>
      <c r="Q35" s="3191"/>
      <c r="R35" s="3217">
        <f>E35</f>
        <v>0</v>
      </c>
      <c r="S35" s="3217"/>
      <c r="T35" s="3217">
        <f>G35</f>
        <v>0</v>
      </c>
      <c r="U35" s="3217"/>
      <c r="V35" s="3217">
        <f>I35</f>
        <v>0</v>
      </c>
      <c r="W35" s="3217"/>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191" t="str">
        <f>A36</f>
        <v>比较价值（元/平方米）</v>
      </c>
      <c r="Q36" s="3191"/>
      <c r="R36" s="3217" t="e">
        <f>IF(F1="售价",ROUND(PRODUCT(R35,AA7:AA34),0),ROUND(PRODUCT(R35,AA7:AA34),1))</f>
        <v>#DIV/0!</v>
      </c>
      <c r="S36" s="3217"/>
      <c r="T36" s="3217" t="e">
        <f>IF(F1="售价",ROUND(PRODUCT(T35,AB7:AB34),0),ROUND(PRODUCT(T35,AB7:AB34),1))</f>
        <v>#DIV/0!</v>
      </c>
      <c r="U36" s="3217"/>
      <c r="V36" s="3217" t="e">
        <f>IF(F1="售价",ROUND(PRODUCT(V35,AC7:AC34),0),ROUND(PRODUCT(V35,AC7:AC34),1))</f>
        <v>#DIV/0!</v>
      </c>
      <c r="W36" s="3217"/>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211" t="str">
        <f>A37</f>
        <v>估价对象XX用房的比较价值（楼面单价，元/平方米）</v>
      </c>
      <c r="Q37" s="3212"/>
      <c r="R37" s="3218" t="e">
        <f>IF(F1="售价",ROUND(AVERAGE(R36:V36),0),ROUND(AVERAGE(R36:V36),1))</f>
        <v>#DIV/0!</v>
      </c>
      <c r="S37" s="3218"/>
      <c r="T37" s="3218"/>
      <c r="U37" s="3218"/>
      <c r="V37" s="3218"/>
      <c r="W37" s="3218"/>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2018-4</v>
      </c>
      <c r="D46" s="1578">
        <f>EDATE(C46,-1)</f>
        <v>43160</v>
      </c>
      <c r="E46" s="1578">
        <f t="shared" ref="E46:O46" si="16">EDATE(D46,-1)</f>
        <v>43132</v>
      </c>
      <c r="F46" s="1578">
        <f t="shared" si="16"/>
        <v>43101</v>
      </c>
      <c r="G46" s="1578">
        <f t="shared" si="16"/>
        <v>43070</v>
      </c>
      <c r="H46" s="1578">
        <f t="shared" si="16"/>
        <v>43040</v>
      </c>
      <c r="I46" s="1578">
        <f t="shared" si="16"/>
        <v>43009</v>
      </c>
      <c r="J46" s="1578">
        <f t="shared" si="16"/>
        <v>42979</v>
      </c>
      <c r="K46" s="1578">
        <f t="shared" si="16"/>
        <v>42948</v>
      </c>
      <c r="L46" s="1578">
        <f t="shared" si="16"/>
        <v>42917</v>
      </c>
      <c r="M46" s="1578">
        <f t="shared" si="16"/>
        <v>42887</v>
      </c>
      <c r="N46" s="1578">
        <f t="shared" si="16"/>
        <v>42856</v>
      </c>
      <c r="O46" s="1578">
        <f t="shared" si="16"/>
        <v>42826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2331</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2333</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192" t="s">
        <v>2647</v>
      </c>
      <c r="D4" s="3193"/>
      <c r="E4" s="3194" t="s">
        <v>2648</v>
      </c>
      <c r="F4" s="3195"/>
      <c r="G4" s="3192" t="s">
        <v>2649</v>
      </c>
      <c r="H4" s="3193"/>
      <c r="I4" s="3192" t="s">
        <v>2650</v>
      </c>
      <c r="J4" s="3193"/>
      <c r="K4" s="610" t="s">
        <v>2651</v>
      </c>
      <c r="L4" s="1133"/>
      <c r="M4" s="1134"/>
      <c r="N4" s="1134"/>
      <c r="O4" s="1134"/>
      <c r="P4" s="3196" t="s">
        <v>2652</v>
      </c>
      <c r="Q4" s="3197"/>
      <c r="R4" s="3179" t="s">
        <v>2648</v>
      </c>
      <c r="S4" s="3180"/>
      <c r="T4" s="3179" t="s">
        <v>2649</v>
      </c>
      <c r="U4" s="3180"/>
      <c r="V4" s="3204" t="s">
        <v>2650</v>
      </c>
      <c r="W4" s="3204"/>
      <c r="X4" s="1816"/>
      <c r="Y4" s="3179" t="s">
        <v>2652</v>
      </c>
      <c r="Z4" s="3180"/>
      <c r="AA4" s="3174" t="s">
        <v>2648</v>
      </c>
      <c r="AB4" s="3175" t="s">
        <v>2649</v>
      </c>
      <c r="AC4" s="3174" t="s">
        <v>2650</v>
      </c>
    </row>
    <row r="5" spans="1:29" ht="15">
      <c r="A5" s="404"/>
      <c r="B5" s="405"/>
      <c r="C5" s="3185" t="s">
        <v>2543</v>
      </c>
      <c r="D5" s="3186"/>
      <c r="E5" s="3183" t="s">
        <v>2544</v>
      </c>
      <c r="F5" s="3184"/>
      <c r="G5" s="3185" t="s">
        <v>2545</v>
      </c>
      <c r="H5" s="3186"/>
      <c r="I5" s="3185" t="s">
        <v>2546</v>
      </c>
      <c r="J5" s="3186"/>
      <c r="K5" s="610"/>
      <c r="L5" s="1133"/>
      <c r="M5" s="1134"/>
      <c r="N5" s="1134"/>
      <c r="O5" s="1134"/>
      <c r="P5" s="3198"/>
      <c r="Q5" s="3199"/>
      <c r="R5" s="3181"/>
      <c r="S5" s="3182"/>
      <c r="T5" s="3181"/>
      <c r="U5" s="3182"/>
      <c r="V5" s="3204"/>
      <c r="W5" s="3204"/>
      <c r="X5" s="1816"/>
      <c r="Y5" s="3181"/>
      <c r="Z5" s="3182"/>
      <c r="AA5" s="3175"/>
      <c r="AB5" s="3175"/>
      <c r="AC5" s="3175"/>
    </row>
    <row r="6" spans="1:29" ht="15.75" thickBot="1">
      <c r="A6" s="406"/>
      <c r="B6" s="407"/>
      <c r="C6" s="3269" t="s">
        <v>2798</v>
      </c>
      <c r="D6" s="3270"/>
      <c r="E6" s="3271" t="s">
        <v>2798</v>
      </c>
      <c r="F6" s="3272"/>
      <c r="G6" s="3269" t="s">
        <v>2798</v>
      </c>
      <c r="H6" s="3270"/>
      <c r="I6" s="3269" t="s">
        <v>2798</v>
      </c>
      <c r="J6" s="3270"/>
      <c r="K6" s="610" t="s">
        <v>2548</v>
      </c>
      <c r="L6" s="1133"/>
      <c r="M6" s="1134"/>
      <c r="N6" s="1134"/>
      <c r="O6" s="1134"/>
      <c r="P6" s="3200"/>
      <c r="Q6" s="3201"/>
      <c r="R6" s="3181"/>
      <c r="S6" s="3182"/>
      <c r="T6" s="3202"/>
      <c r="U6" s="3203"/>
      <c r="V6" s="3204"/>
      <c r="W6" s="3204"/>
      <c r="X6" s="1816"/>
      <c r="Y6" s="3202"/>
      <c r="Z6" s="3203"/>
      <c r="AA6" s="3176"/>
      <c r="AB6" s="3176"/>
      <c r="AC6" s="3176"/>
    </row>
    <row r="7" spans="1:29" s="117" customFormat="1" ht="15.75" thickBot="1">
      <c r="A7" s="408" t="s">
        <v>2549</v>
      </c>
      <c r="B7" s="409"/>
      <c r="C7" s="410">
        <f>'数据-取费表'!B2</f>
        <v>43202</v>
      </c>
      <c r="D7" s="411">
        <v>100</v>
      </c>
      <c r="E7" s="412"/>
      <c r="F7" s="413">
        <f>SUMIF(65:65,YEAR(E7)&amp;"-"&amp;INT((MONTH(E7)+2)/3),66:66)</f>
        <v>0</v>
      </c>
      <c r="G7" s="2698"/>
      <c r="H7" s="411">
        <f>SUMIF(65:65,YEAR(G7)&amp;"-"&amp;INT((MONTH(G7)+2)/3),66:66)</f>
        <v>0</v>
      </c>
      <c r="I7" s="2698"/>
      <c r="J7" s="411">
        <f>SUMIF(65:65,YEAR(I7)&amp;"-"&amp;INT((MONTH(I7)+2)/3),66:66)</f>
        <v>0</v>
      </c>
      <c r="K7" s="611"/>
      <c r="L7" s="1135"/>
      <c r="M7" s="1136"/>
      <c r="N7" s="1136"/>
      <c r="O7" s="1136"/>
      <c r="P7" s="3177" t="s">
        <v>2550</v>
      </c>
      <c r="Q7" s="3205"/>
      <c r="R7" s="770" t="s">
        <v>17</v>
      </c>
      <c r="S7" s="771">
        <f t="shared" ref="S7:S15" si="0">F7</f>
        <v>0</v>
      </c>
      <c r="T7" s="770" t="s">
        <v>17</v>
      </c>
      <c r="U7" s="771">
        <f t="shared" ref="U7:U15" si="1">H7</f>
        <v>0</v>
      </c>
      <c r="V7" s="770" t="s">
        <v>17</v>
      </c>
      <c r="W7" s="771">
        <f t="shared" ref="W7:W15" si="2">J7</f>
        <v>0</v>
      </c>
      <c r="X7" s="772"/>
      <c r="Y7" s="3177" t="s">
        <v>2550</v>
      </c>
      <c r="Z7" s="3178"/>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77" t="s">
        <v>2553</v>
      </c>
      <c r="Q8" s="3178"/>
      <c r="R8" s="770" t="s">
        <v>17</v>
      </c>
      <c r="S8" s="771">
        <f t="shared" si="0"/>
        <v>0</v>
      </c>
      <c r="T8" s="770" t="s">
        <v>17</v>
      </c>
      <c r="U8" s="771">
        <f t="shared" si="1"/>
        <v>0</v>
      </c>
      <c r="V8" s="770" t="s">
        <v>17</v>
      </c>
      <c r="W8" s="771">
        <f t="shared" si="2"/>
        <v>0</v>
      </c>
      <c r="X8" s="772"/>
      <c r="Y8" s="3177" t="s">
        <v>2553</v>
      </c>
      <c r="Z8" s="3178"/>
      <c r="AA8" s="773" t="e">
        <f t="shared" ref="AA8:AA40" si="3">D8/F8</f>
        <v>#DIV/0!</v>
      </c>
      <c r="AB8" s="773" t="e">
        <f t="shared" ref="AB8:AB40" si="4">D8/H8</f>
        <v>#DIV/0!</v>
      </c>
      <c r="AC8" s="773" t="e">
        <f t="shared" ref="AC8:AC40" si="5">D8/J8</f>
        <v>#DIV/0!</v>
      </c>
    </row>
    <row r="9" spans="1:29" s="117" customFormat="1">
      <c r="A9" s="415" t="s">
        <v>2554</v>
      </c>
      <c r="B9" s="71" t="s">
        <v>2555</v>
      </c>
      <c r="C9" s="2701"/>
      <c r="D9" s="135">
        <v>100</v>
      </c>
      <c r="E9" s="2701"/>
      <c r="F9" s="135">
        <f>SUMIF(70:70,E9,71:71)-SUMIF(70:70,C9,71:71)+100</f>
        <v>100</v>
      </c>
      <c r="G9" s="2701"/>
      <c r="H9" s="135">
        <f>SUMIF(70:70,G9,71:71)-SUMIF(70:70,C9,71:71)+100</f>
        <v>100</v>
      </c>
      <c r="I9" s="2701"/>
      <c r="J9" s="135">
        <f>SUMIF(70:70,I9,71:71)-SUMIF(70:70,C9,71:71)+100</f>
        <v>100</v>
      </c>
      <c r="K9" s="611"/>
      <c r="L9" s="1135"/>
      <c r="M9" s="1136"/>
      <c r="N9" s="1136"/>
      <c r="O9" s="1137"/>
      <c r="P9" s="3191" t="s">
        <v>2556</v>
      </c>
      <c r="Q9" s="1798" t="str">
        <f t="shared" ref="Q9:Q15" si="6">B9</f>
        <v>用途</v>
      </c>
      <c r="R9" s="770" t="s">
        <v>17</v>
      </c>
      <c r="S9" s="771">
        <f t="shared" si="0"/>
        <v>100</v>
      </c>
      <c r="T9" s="770" t="s">
        <v>17</v>
      </c>
      <c r="U9" s="771">
        <f t="shared" si="1"/>
        <v>100</v>
      </c>
      <c r="V9" s="770" t="s">
        <v>17</v>
      </c>
      <c r="W9" s="771">
        <f t="shared" si="2"/>
        <v>100</v>
      </c>
      <c r="X9" s="772"/>
      <c r="Y9" s="3051"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100</v>
      </c>
      <c r="G10" s="432"/>
      <c r="H10" s="136">
        <f>ROUND(100/'数据-取费表'!G16,0)</f>
        <v>100</v>
      </c>
      <c r="I10" s="432"/>
      <c r="J10" s="136">
        <f>ROUND(100/'数据-取费表'!G16,0)</f>
        <v>100</v>
      </c>
      <c r="K10" s="672"/>
      <c r="L10" s="1138"/>
      <c r="M10" s="1139"/>
      <c r="N10" s="1139"/>
      <c r="O10" s="1140"/>
      <c r="P10" s="3191"/>
      <c r="Q10" s="1798" t="str">
        <f t="shared" si="6"/>
        <v>土地使用年限（年）</v>
      </c>
      <c r="R10" s="770" t="s">
        <v>17</v>
      </c>
      <c r="S10" s="771">
        <f t="shared" si="0"/>
        <v>100</v>
      </c>
      <c r="T10" s="770" t="s">
        <v>17</v>
      </c>
      <c r="U10" s="771">
        <f t="shared" si="1"/>
        <v>100</v>
      </c>
      <c r="V10" s="770" t="s">
        <v>17</v>
      </c>
      <c r="W10" s="771">
        <f t="shared" si="2"/>
        <v>100</v>
      </c>
      <c r="X10" s="772"/>
      <c r="Y10" s="3051"/>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91"/>
      <c r="Q11" s="1798" t="str">
        <f t="shared" si="6"/>
        <v>容积率</v>
      </c>
      <c r="R11" s="770" t="s">
        <v>17</v>
      </c>
      <c r="S11" s="771" t="e">
        <f t="shared" si="0"/>
        <v>#N/A</v>
      </c>
      <c r="T11" s="770" t="s">
        <v>17</v>
      </c>
      <c r="U11" s="771" t="e">
        <f t="shared" si="1"/>
        <v>#N/A</v>
      </c>
      <c r="V11" s="770" t="s">
        <v>17</v>
      </c>
      <c r="W11" s="771" t="e">
        <f t="shared" si="2"/>
        <v>#N/A</v>
      </c>
      <c r="X11" s="772"/>
      <c r="Y11" s="3051"/>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91"/>
      <c r="Q12" s="1798">
        <f t="shared" si="6"/>
        <v>111</v>
      </c>
      <c r="R12" s="770" t="s">
        <v>17</v>
      </c>
      <c r="S12" s="771">
        <f t="shared" si="0"/>
        <v>100</v>
      </c>
      <c r="T12" s="770" t="s">
        <v>17</v>
      </c>
      <c r="U12" s="771">
        <f t="shared" si="1"/>
        <v>100</v>
      </c>
      <c r="V12" s="770" t="s">
        <v>17</v>
      </c>
      <c r="W12" s="771">
        <f t="shared" si="2"/>
        <v>100</v>
      </c>
      <c r="X12" s="772"/>
      <c r="Y12" s="3051"/>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91"/>
      <c r="Q13" s="1798">
        <f t="shared" si="6"/>
        <v>111</v>
      </c>
      <c r="R13" s="770" t="s">
        <v>17</v>
      </c>
      <c r="S13" s="771">
        <f t="shared" si="0"/>
        <v>100</v>
      </c>
      <c r="T13" s="770" t="s">
        <v>17</v>
      </c>
      <c r="U13" s="771">
        <f t="shared" si="1"/>
        <v>100</v>
      </c>
      <c r="V13" s="770" t="s">
        <v>17</v>
      </c>
      <c r="W13" s="771">
        <f t="shared" si="2"/>
        <v>100</v>
      </c>
      <c r="X13" s="772"/>
      <c r="Y13" s="3051"/>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91"/>
      <c r="Q14" s="1798">
        <f t="shared" si="6"/>
        <v>111</v>
      </c>
      <c r="R14" s="770" t="s">
        <v>17</v>
      </c>
      <c r="S14" s="771">
        <f t="shared" si="0"/>
        <v>100</v>
      </c>
      <c r="T14" s="770" t="s">
        <v>17</v>
      </c>
      <c r="U14" s="771">
        <f t="shared" si="1"/>
        <v>100</v>
      </c>
      <c r="V14" s="770" t="s">
        <v>17</v>
      </c>
      <c r="W14" s="771">
        <f t="shared" si="2"/>
        <v>100</v>
      </c>
      <c r="X14" s="772"/>
      <c r="Y14" s="3051"/>
      <c r="Z14" s="55">
        <f t="shared" si="7"/>
        <v>111</v>
      </c>
      <c r="AA14" s="773">
        <f t="shared" si="3"/>
        <v>1</v>
      </c>
      <c r="AB14" s="773">
        <f t="shared" si="4"/>
        <v>1</v>
      </c>
      <c r="AC14" s="773">
        <f t="shared" si="5"/>
        <v>1</v>
      </c>
    </row>
    <row r="15" spans="1:29" ht="57">
      <c r="A15" s="440" t="s">
        <v>2560</v>
      </c>
      <c r="B15" s="629" t="s">
        <v>2799</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06" t="s">
        <v>2561</v>
      </c>
      <c r="Q15" s="1813" t="str">
        <f t="shared" si="6"/>
        <v>产业集聚程度</v>
      </c>
      <c r="R15" s="774" t="s">
        <v>17</v>
      </c>
      <c r="S15" s="775">
        <f t="shared" si="0"/>
        <v>100</v>
      </c>
      <c r="T15" s="774" t="s">
        <v>17</v>
      </c>
      <c r="U15" s="775">
        <f t="shared" si="1"/>
        <v>100</v>
      </c>
      <c r="V15" s="774" t="s">
        <v>17</v>
      </c>
      <c r="W15" s="775">
        <f t="shared" si="2"/>
        <v>100</v>
      </c>
      <c r="X15" s="1816"/>
      <c r="Y15" s="3206" t="s">
        <v>2561</v>
      </c>
      <c r="Z15" s="1817" t="str">
        <f t="shared" si="7"/>
        <v>产业集聚程度</v>
      </c>
      <c r="AA15" s="1814">
        <f t="shared" si="3"/>
        <v>1</v>
      </c>
      <c r="AB15" s="1814">
        <f t="shared" si="4"/>
        <v>1</v>
      </c>
      <c r="AC15" s="1814">
        <f t="shared" si="5"/>
        <v>1</v>
      </c>
    </row>
    <row r="16" spans="1:29" ht="15">
      <c r="A16" s="428"/>
      <c r="B16" s="630"/>
      <c r="C16" s="447"/>
      <c r="D16" s="448"/>
      <c r="E16" s="2613"/>
      <c r="F16" s="448"/>
      <c r="G16" s="2613"/>
      <c r="H16" s="450"/>
      <c r="I16" s="2613"/>
      <c r="J16" s="448"/>
      <c r="K16" s="672"/>
      <c r="L16" s="1143"/>
      <c r="M16" s="1134"/>
      <c r="N16" s="1134"/>
      <c r="O16" s="1142"/>
      <c r="P16" s="3207"/>
      <c r="Q16" s="1813"/>
      <c r="R16" s="774"/>
      <c r="S16" s="775"/>
      <c r="T16" s="774"/>
      <c r="U16" s="775"/>
      <c r="V16" s="774"/>
      <c r="W16" s="775"/>
      <c r="X16" s="1816"/>
      <c r="Y16" s="3207"/>
      <c r="Z16" s="1817"/>
      <c r="AA16" s="1814">
        <v>1</v>
      </c>
      <c r="AB16" s="1814">
        <v>1</v>
      </c>
      <c r="AC16" s="1814">
        <v>1</v>
      </c>
    </row>
    <row r="17" spans="1:29" ht="85.5">
      <c r="A17" s="428"/>
      <c r="B17" s="631" t="s">
        <v>2710</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07"/>
      <c r="Q17" s="1813" t="str">
        <f>B17</f>
        <v>交通便捷度</v>
      </c>
      <c r="R17" s="774" t="s">
        <v>17</v>
      </c>
      <c r="S17" s="775">
        <f>F17</f>
        <v>100</v>
      </c>
      <c r="T17" s="774" t="s">
        <v>17</v>
      </c>
      <c r="U17" s="775">
        <f>H17</f>
        <v>100</v>
      </c>
      <c r="V17" s="774" t="s">
        <v>17</v>
      </c>
      <c r="W17" s="775">
        <f>J17</f>
        <v>100</v>
      </c>
      <c r="X17" s="1816"/>
      <c r="Y17" s="3207"/>
      <c r="Z17" s="1817" t="str">
        <f>Q17</f>
        <v>交通便捷度</v>
      </c>
      <c r="AA17" s="1814">
        <f t="shared" si="3"/>
        <v>1</v>
      </c>
      <c r="AB17" s="1814">
        <f t="shared" si="4"/>
        <v>1</v>
      </c>
      <c r="AC17" s="1814">
        <f t="shared" si="5"/>
        <v>1</v>
      </c>
    </row>
    <row r="18" spans="1:29" ht="15">
      <c r="A18" s="428"/>
      <c r="B18" s="632"/>
      <c r="C18" s="447"/>
      <c r="D18" s="448"/>
      <c r="E18" s="2607"/>
      <c r="F18" s="448"/>
      <c r="G18" s="2607"/>
      <c r="H18" s="448"/>
      <c r="I18" s="2606"/>
      <c r="J18" s="448"/>
      <c r="K18" s="672"/>
      <c r="L18" s="1143"/>
      <c r="M18" s="1134"/>
      <c r="N18" s="1134"/>
      <c r="O18" s="1142"/>
      <c r="P18" s="3207"/>
      <c r="Q18" s="1813"/>
      <c r="R18" s="774"/>
      <c r="S18" s="775"/>
      <c r="T18" s="774"/>
      <c r="U18" s="775"/>
      <c r="V18" s="774"/>
      <c r="W18" s="775"/>
      <c r="X18" s="1816"/>
      <c r="Y18" s="3207"/>
      <c r="Z18" s="1817"/>
      <c r="AA18" s="1814">
        <v>1</v>
      </c>
      <c r="AB18" s="1814">
        <v>1</v>
      </c>
      <c r="AC18" s="1814">
        <v>1</v>
      </c>
    </row>
    <row r="19" spans="1:29" ht="15">
      <c r="A19" s="428"/>
      <c r="B19" s="631" t="s">
        <v>2749</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07"/>
      <c r="Q19" s="1813" t="str">
        <f t="shared" ref="Q19:Q33" si="8">B19</f>
        <v>区域土地利用方向</v>
      </c>
      <c r="R19" s="774" t="s">
        <v>17</v>
      </c>
      <c r="S19" s="775">
        <f>F19</f>
        <v>100</v>
      </c>
      <c r="T19" s="774" t="s">
        <v>17</v>
      </c>
      <c r="U19" s="775">
        <f>H19</f>
        <v>100</v>
      </c>
      <c r="V19" s="774" t="s">
        <v>17</v>
      </c>
      <c r="W19" s="775">
        <f>J19</f>
        <v>100</v>
      </c>
      <c r="X19" s="1816"/>
      <c r="Y19" s="3207"/>
      <c r="Z19" s="1817" t="str">
        <f>Q19</f>
        <v>区域土地利用方向</v>
      </c>
      <c r="AA19" s="1814">
        <f t="shared" si="3"/>
        <v>1</v>
      </c>
      <c r="AB19" s="1814">
        <f t="shared" si="4"/>
        <v>1</v>
      </c>
      <c r="AC19" s="1814">
        <f t="shared" si="5"/>
        <v>1</v>
      </c>
    </row>
    <row r="20" spans="1:29" ht="15">
      <c r="A20" s="404"/>
      <c r="B20" s="632"/>
      <c r="C20" s="447"/>
      <c r="D20" s="448"/>
      <c r="E20" s="2607"/>
      <c r="F20" s="448"/>
      <c r="G20" s="2607"/>
      <c r="H20" s="448"/>
      <c r="I20" s="2607"/>
      <c r="J20" s="448"/>
      <c r="K20" s="812"/>
      <c r="L20" s="1143"/>
      <c r="M20" s="1134"/>
      <c r="N20" s="1134"/>
      <c r="O20" s="1142"/>
      <c r="P20" s="3207"/>
      <c r="Q20" s="1813"/>
      <c r="R20" s="774"/>
      <c r="S20" s="775"/>
      <c r="T20" s="774"/>
      <c r="U20" s="775"/>
      <c r="V20" s="774"/>
      <c r="W20" s="775"/>
      <c r="X20" s="1816"/>
      <c r="Y20" s="3207"/>
      <c r="Z20" s="1817"/>
      <c r="AA20" s="1814"/>
      <c r="AB20" s="1814"/>
      <c r="AC20" s="1814"/>
    </row>
    <row r="21" spans="1:29" ht="71.25">
      <c r="A21" s="404"/>
      <c r="B21" s="631" t="s">
        <v>2800</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07"/>
      <c r="Q21" s="1813" t="str">
        <f t="shared" si="8"/>
        <v>环境状况</v>
      </c>
      <c r="R21" s="774" t="s">
        <v>17</v>
      </c>
      <c r="S21" s="775">
        <f>F21</f>
        <v>100</v>
      </c>
      <c r="T21" s="774" t="s">
        <v>17</v>
      </c>
      <c r="U21" s="775">
        <f>H21</f>
        <v>100</v>
      </c>
      <c r="V21" s="774" t="s">
        <v>17</v>
      </c>
      <c r="W21" s="775">
        <f>J21</f>
        <v>100</v>
      </c>
      <c r="X21" s="1816"/>
      <c r="Y21" s="3207"/>
      <c r="Z21" s="1817" t="str">
        <f>Q21</f>
        <v>环境状况</v>
      </c>
      <c r="AA21" s="1814">
        <f t="shared" si="3"/>
        <v>1</v>
      </c>
      <c r="AB21" s="1814">
        <f t="shared" si="4"/>
        <v>1</v>
      </c>
      <c r="AC21" s="1814">
        <f t="shared" si="5"/>
        <v>1</v>
      </c>
    </row>
    <row r="22" spans="1:29" ht="15">
      <c r="A22" s="404"/>
      <c r="B22" s="632"/>
      <c r="C22" s="447"/>
      <c r="D22" s="448"/>
      <c r="E22" s="2613"/>
      <c r="F22" s="448"/>
      <c r="G22" s="2613"/>
      <c r="H22" s="448"/>
      <c r="I22" s="447"/>
      <c r="J22" s="448"/>
      <c r="K22" s="672"/>
      <c r="L22" s="1143"/>
      <c r="M22" s="1134"/>
      <c r="N22" s="1134"/>
      <c r="O22" s="1142"/>
      <c r="P22" s="3207"/>
      <c r="Q22" s="1813"/>
      <c r="R22" s="774"/>
      <c r="S22" s="775"/>
      <c r="T22" s="774"/>
      <c r="U22" s="775"/>
      <c r="V22" s="774"/>
      <c r="W22" s="775"/>
      <c r="X22" s="1816"/>
      <c r="Y22" s="3207"/>
      <c r="Z22" s="1817"/>
      <c r="AA22" s="1814">
        <v>1</v>
      </c>
      <c r="AB22" s="1814">
        <v>1</v>
      </c>
      <c r="AC22" s="1814">
        <v>1</v>
      </c>
    </row>
    <row r="23" spans="1:29" s="117" customFormat="1" ht="42.75">
      <c r="A23" s="649"/>
      <c r="B23" s="633" t="s">
        <v>2655</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07"/>
      <c r="Q23" s="1798" t="str">
        <f t="shared" si="8"/>
        <v>公共配套设施</v>
      </c>
      <c r="R23" s="770" t="s">
        <v>17</v>
      </c>
      <c r="S23" s="771">
        <f>F23</f>
        <v>100</v>
      </c>
      <c r="T23" s="770" t="s">
        <v>17</v>
      </c>
      <c r="U23" s="771">
        <f>H23</f>
        <v>100</v>
      </c>
      <c r="V23" s="770" t="s">
        <v>17</v>
      </c>
      <c r="W23" s="771">
        <f>J23</f>
        <v>100</v>
      </c>
      <c r="X23" s="772"/>
      <c r="Y23" s="3207"/>
      <c r="Z23" s="55" t="str">
        <f>Q23</f>
        <v>公共配套设施</v>
      </c>
      <c r="AA23" s="1814">
        <f>D23/F23</f>
        <v>1</v>
      </c>
      <c r="AB23" s="1814">
        <f>D23/H23</f>
        <v>1</v>
      </c>
      <c r="AC23" s="1814">
        <f>D23/J23</f>
        <v>1</v>
      </c>
    </row>
    <row r="24" spans="1:29" s="117" customFormat="1" ht="15">
      <c r="A24" s="649"/>
      <c r="B24" s="632"/>
      <c r="C24" s="2702"/>
      <c r="D24" s="448"/>
      <c r="E24" s="2613"/>
      <c r="F24" s="448"/>
      <c r="G24" s="2613"/>
      <c r="H24" s="448"/>
      <c r="I24" s="447"/>
      <c r="J24" s="448"/>
      <c r="K24" s="672"/>
      <c r="L24" s="1135"/>
      <c r="M24" s="1136"/>
      <c r="N24" s="1136"/>
      <c r="O24" s="1137"/>
      <c r="P24" s="3207"/>
      <c r="Q24" s="1798"/>
      <c r="R24" s="770"/>
      <c r="S24" s="771"/>
      <c r="T24" s="770"/>
      <c r="U24" s="771"/>
      <c r="V24" s="770"/>
      <c r="W24" s="771"/>
      <c r="X24" s="772"/>
      <c r="Y24" s="3207"/>
      <c r="Z24" s="55"/>
      <c r="AA24" s="773">
        <v>1</v>
      </c>
      <c r="AB24" s="773">
        <v>1</v>
      </c>
      <c r="AC24" s="773">
        <v>1</v>
      </c>
    </row>
    <row r="25" spans="1:29" s="117" customFormat="1" ht="28.5">
      <c r="A25" s="649"/>
      <c r="B25" s="633" t="s">
        <v>2656</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07"/>
      <c r="Q25" s="1798" t="str">
        <f t="shared" ref="Q25" si="9">B25</f>
        <v>基础设施水平</v>
      </c>
      <c r="R25" s="770" t="s">
        <v>17</v>
      </c>
      <c r="S25" s="771">
        <f>F25</f>
        <v>100</v>
      </c>
      <c r="T25" s="770" t="s">
        <v>17</v>
      </c>
      <c r="U25" s="771">
        <f>H25</f>
        <v>100</v>
      </c>
      <c r="V25" s="770" t="s">
        <v>17</v>
      </c>
      <c r="W25" s="771">
        <f>J25</f>
        <v>100</v>
      </c>
      <c r="X25" s="772"/>
      <c r="Y25" s="3207"/>
      <c r="Z25" s="55" t="str">
        <f>Q25</f>
        <v>基础设施水平</v>
      </c>
      <c r="AA25" s="1814">
        <f>D25/F25</f>
        <v>1</v>
      </c>
      <c r="AB25" s="1814">
        <f>D25/H25</f>
        <v>1</v>
      </c>
      <c r="AC25" s="1814">
        <f>D25/J25</f>
        <v>1</v>
      </c>
    </row>
    <row r="26" spans="1:29" s="117" customFormat="1" ht="15">
      <c r="A26" s="649"/>
      <c r="B26" s="632"/>
      <c r="C26" s="2702"/>
      <c r="D26" s="448"/>
      <c r="E26" s="2703"/>
      <c r="F26" s="448"/>
      <c r="G26" s="2703"/>
      <c r="H26" s="448"/>
      <c r="I26" s="2703"/>
      <c r="J26" s="448"/>
      <c r="K26" s="672"/>
      <c r="L26" s="1135"/>
      <c r="M26" s="1136"/>
      <c r="N26" s="1136"/>
      <c r="O26" s="1137"/>
      <c r="P26" s="3207"/>
      <c r="Q26" s="1798"/>
      <c r="R26" s="770"/>
      <c r="S26" s="771"/>
      <c r="T26" s="770"/>
      <c r="U26" s="771"/>
      <c r="V26" s="770"/>
      <c r="W26" s="771"/>
      <c r="X26" s="772"/>
      <c r="Y26" s="3207"/>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07"/>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07"/>
      <c r="Z27" s="1817" t="str">
        <f t="shared" ref="Z27:Z40" si="13">Q27</f>
        <v>临街状况</v>
      </c>
      <c r="AA27" s="1814">
        <f t="shared" si="3"/>
        <v>1</v>
      </c>
      <c r="AB27" s="1814">
        <f t="shared" si="4"/>
        <v>1</v>
      </c>
      <c r="AC27" s="1814">
        <f t="shared" si="5"/>
        <v>1</v>
      </c>
    </row>
    <row r="28" spans="1:29" ht="27">
      <c r="A28" s="428"/>
      <c r="B28" s="633" t="s">
        <v>2692</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07"/>
      <c r="Q28" s="1813" t="str">
        <f t="shared" si="8"/>
        <v>毗邻道路的类型与等级</v>
      </c>
      <c r="R28" s="774" t="s">
        <v>17</v>
      </c>
      <c r="S28" s="775">
        <f t="shared" si="10"/>
        <v>100</v>
      </c>
      <c r="T28" s="774" t="s">
        <v>17</v>
      </c>
      <c r="U28" s="775">
        <f t="shared" si="11"/>
        <v>100</v>
      </c>
      <c r="V28" s="774" t="s">
        <v>17</v>
      </c>
      <c r="W28" s="775">
        <f t="shared" si="12"/>
        <v>100</v>
      </c>
      <c r="X28" s="1816"/>
      <c r="Y28" s="3207"/>
      <c r="Z28" s="1817" t="str">
        <f t="shared" si="13"/>
        <v>毗邻道路的类型与等级</v>
      </c>
      <c r="AA28" s="1814">
        <f t="shared" si="3"/>
        <v>1</v>
      </c>
      <c r="AB28" s="1814">
        <f t="shared" si="4"/>
        <v>1</v>
      </c>
      <c r="AC28" s="1814">
        <f t="shared" si="5"/>
        <v>1</v>
      </c>
    </row>
    <row r="29" spans="1:29" ht="15">
      <c r="A29" s="428"/>
      <c r="B29" s="632"/>
      <c r="C29" s="447"/>
      <c r="D29" s="448"/>
      <c r="E29" s="2613"/>
      <c r="F29" s="448"/>
      <c r="G29" s="2613"/>
      <c r="H29" s="448"/>
      <c r="I29" s="2613"/>
      <c r="J29" s="448"/>
      <c r="K29" s="613"/>
      <c r="L29" s="1143"/>
      <c r="M29" s="1134"/>
      <c r="N29" s="1134"/>
      <c r="O29" s="1142"/>
      <c r="P29" s="3207"/>
      <c r="Q29" s="1813"/>
      <c r="R29" s="774"/>
      <c r="S29" s="775"/>
      <c r="T29" s="774"/>
      <c r="U29" s="775"/>
      <c r="V29" s="774"/>
      <c r="W29" s="775"/>
      <c r="X29" s="1816"/>
      <c r="Y29" s="3207"/>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07"/>
      <c r="Q30" s="1813" t="str">
        <f t="shared" si="8"/>
        <v>土地级别</v>
      </c>
      <c r="R30" s="774" t="s">
        <v>17</v>
      </c>
      <c r="S30" s="775">
        <f t="shared" si="10"/>
        <v>100</v>
      </c>
      <c r="T30" s="774" t="s">
        <v>17</v>
      </c>
      <c r="U30" s="775">
        <f t="shared" si="11"/>
        <v>100</v>
      </c>
      <c r="V30" s="774" t="s">
        <v>17</v>
      </c>
      <c r="W30" s="775">
        <f t="shared" si="12"/>
        <v>100</v>
      </c>
      <c r="X30" s="1816"/>
      <c r="Y30" s="3207"/>
      <c r="Z30" s="1817" t="str">
        <f t="shared" si="13"/>
        <v>土地级别</v>
      </c>
      <c r="AA30" s="1814">
        <f t="shared" si="3"/>
        <v>1</v>
      </c>
      <c r="AB30" s="1814">
        <f t="shared" si="4"/>
        <v>1</v>
      </c>
      <c r="AC30" s="1814">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07"/>
      <c r="Q31" s="1813">
        <f t="shared" si="8"/>
        <v>111</v>
      </c>
      <c r="R31" s="774" t="s">
        <v>17</v>
      </c>
      <c r="S31" s="775">
        <f t="shared" si="10"/>
        <v>100</v>
      </c>
      <c r="T31" s="774" t="s">
        <v>17</v>
      </c>
      <c r="U31" s="775">
        <f t="shared" si="11"/>
        <v>100</v>
      </c>
      <c r="V31" s="774" t="s">
        <v>17</v>
      </c>
      <c r="W31" s="775">
        <f t="shared" si="12"/>
        <v>100</v>
      </c>
      <c r="X31" s="1816"/>
      <c r="Y31" s="3207"/>
      <c r="Z31" s="1817">
        <f t="shared" si="13"/>
        <v>111</v>
      </c>
      <c r="AA31" s="1814">
        <f t="shared" si="3"/>
        <v>1</v>
      </c>
      <c r="AB31" s="1814">
        <f t="shared" si="4"/>
        <v>1</v>
      </c>
      <c r="AC31" s="1814">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08" t="s">
        <v>2566</v>
      </c>
      <c r="Q32" s="1813">
        <f t="shared" si="8"/>
        <v>111</v>
      </c>
      <c r="R32" s="774" t="s">
        <v>17</v>
      </c>
      <c r="S32" s="775">
        <f t="shared" si="10"/>
        <v>100</v>
      </c>
      <c r="T32" s="774" t="s">
        <v>17</v>
      </c>
      <c r="U32" s="775">
        <f t="shared" si="11"/>
        <v>100</v>
      </c>
      <c r="V32" s="774" t="s">
        <v>17</v>
      </c>
      <c r="W32" s="775">
        <f t="shared" si="12"/>
        <v>100</v>
      </c>
      <c r="X32" s="1816"/>
      <c r="Y32" s="3209" t="s">
        <v>2566</v>
      </c>
      <c r="Z32" s="1817">
        <f t="shared" si="13"/>
        <v>111</v>
      </c>
      <c r="AA32" s="1814">
        <f t="shared" si="3"/>
        <v>1</v>
      </c>
      <c r="AB32" s="1814">
        <f t="shared" si="4"/>
        <v>1</v>
      </c>
      <c r="AC32" s="1814">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09"/>
      <c r="Q33" s="1813">
        <f t="shared" si="8"/>
        <v>111</v>
      </c>
      <c r="R33" s="777" t="s">
        <v>17</v>
      </c>
      <c r="S33" s="778">
        <f t="shared" si="10"/>
        <v>100</v>
      </c>
      <c r="T33" s="777" t="s">
        <v>17</v>
      </c>
      <c r="U33" s="778">
        <f t="shared" si="11"/>
        <v>100</v>
      </c>
      <c r="V33" s="777" t="s">
        <v>17</v>
      </c>
      <c r="W33" s="778">
        <f t="shared" si="12"/>
        <v>100</v>
      </c>
      <c r="X33" s="779"/>
      <c r="Y33" s="3209"/>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09"/>
      <c r="Q34" s="1813" t="str">
        <f>B34</f>
        <v>宗地面积</v>
      </c>
      <c r="R34" s="774" t="s">
        <v>17</v>
      </c>
      <c r="S34" s="775" t="e">
        <f t="shared" si="10"/>
        <v>#N/A</v>
      </c>
      <c r="T34" s="774" t="s">
        <v>17</v>
      </c>
      <c r="U34" s="775" t="e">
        <f t="shared" si="11"/>
        <v>#N/A</v>
      </c>
      <c r="V34" s="774" t="s">
        <v>17</v>
      </c>
      <c r="W34" s="775" t="e">
        <f t="shared" si="12"/>
        <v>#N/A</v>
      </c>
      <c r="X34" s="1816"/>
      <c r="Y34" s="3209"/>
      <c r="Z34" s="1817" t="str">
        <f t="shared" si="13"/>
        <v>宗地面积</v>
      </c>
      <c r="AA34" s="1814" t="e">
        <f t="shared" si="3"/>
        <v>#N/A</v>
      </c>
      <c r="AB34" s="1814" t="e">
        <f t="shared" si="4"/>
        <v>#N/A</v>
      </c>
      <c r="AC34" s="1814" t="e">
        <f t="shared" si="5"/>
        <v>#N/A</v>
      </c>
    </row>
    <row r="35" spans="1:29" ht="15">
      <c r="A35" s="472"/>
      <c r="B35" s="422" t="s">
        <v>2753</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209"/>
      <c r="Q35" s="1813" t="str">
        <f t="shared" ref="Q35:Q40" si="14">B35</f>
        <v>宗地形状</v>
      </c>
      <c r="R35" s="774" t="s">
        <v>17</v>
      </c>
      <c r="S35" s="775">
        <f t="shared" si="10"/>
        <v>100</v>
      </c>
      <c r="T35" s="774" t="s">
        <v>17</v>
      </c>
      <c r="U35" s="775">
        <f t="shared" si="11"/>
        <v>100</v>
      </c>
      <c r="V35" s="774" t="s">
        <v>17</v>
      </c>
      <c r="W35" s="775">
        <f t="shared" si="12"/>
        <v>100</v>
      </c>
      <c r="X35" s="1816"/>
      <c r="Y35" s="3209"/>
      <c r="Z35" s="1817" t="str">
        <f t="shared" si="13"/>
        <v>宗地形状</v>
      </c>
      <c r="AA35" s="1814">
        <f t="shared" si="3"/>
        <v>1</v>
      </c>
      <c r="AB35" s="1814">
        <f t="shared" si="4"/>
        <v>1</v>
      </c>
      <c r="AC35" s="1814">
        <f t="shared" si="5"/>
        <v>1</v>
      </c>
    </row>
    <row r="36" spans="1:29" s="117" customFormat="1" ht="15">
      <c r="A36" s="473"/>
      <c r="B36" s="422" t="s">
        <v>2755</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5"/>
      <c r="M36" s="1136"/>
      <c r="N36" s="1136"/>
      <c r="O36" s="1137"/>
      <c r="P36" s="3209"/>
      <c r="Q36" s="1813" t="str">
        <f t="shared" si="14"/>
        <v>宗地开发程度</v>
      </c>
      <c r="R36" s="770" t="s">
        <v>17</v>
      </c>
      <c r="S36" s="771">
        <f t="shared" si="10"/>
        <v>100</v>
      </c>
      <c r="T36" s="770" t="s">
        <v>17</v>
      </c>
      <c r="U36" s="771">
        <f t="shared" si="11"/>
        <v>100</v>
      </c>
      <c r="V36" s="770" t="s">
        <v>17</v>
      </c>
      <c r="W36" s="771">
        <f t="shared" si="12"/>
        <v>100</v>
      </c>
      <c r="X36" s="772"/>
      <c r="Y36" s="3209"/>
      <c r="Z36" s="55" t="str">
        <f t="shared" si="13"/>
        <v>宗地开发程度</v>
      </c>
      <c r="AA36" s="773">
        <f t="shared" si="3"/>
        <v>1</v>
      </c>
      <c r="AB36" s="773">
        <f t="shared" si="4"/>
        <v>1</v>
      </c>
      <c r="AC36" s="773">
        <f t="shared" si="5"/>
        <v>1</v>
      </c>
    </row>
    <row r="37" spans="1:29" ht="15">
      <c r="A37" s="472"/>
      <c r="B37" s="422" t="s">
        <v>2756</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209" t="s">
        <v>2566</v>
      </c>
      <c r="Q37" s="1813" t="str">
        <f t="shared" si="14"/>
        <v>工程地质条件</v>
      </c>
      <c r="R37" s="774" t="s">
        <v>17</v>
      </c>
      <c r="S37" s="775">
        <f t="shared" si="10"/>
        <v>100</v>
      </c>
      <c r="T37" s="774" t="s">
        <v>17</v>
      </c>
      <c r="U37" s="775">
        <f t="shared" si="11"/>
        <v>100</v>
      </c>
      <c r="V37" s="774" t="s">
        <v>17</v>
      </c>
      <c r="W37" s="775">
        <f t="shared" si="12"/>
        <v>100</v>
      </c>
      <c r="X37" s="1816"/>
      <c r="Y37" s="3209"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09"/>
      <c r="Q38" s="1813">
        <f t="shared" si="14"/>
        <v>111</v>
      </c>
      <c r="R38" s="774" t="s">
        <v>17</v>
      </c>
      <c r="S38" s="775">
        <f t="shared" si="10"/>
        <v>100</v>
      </c>
      <c r="T38" s="774" t="s">
        <v>17</v>
      </c>
      <c r="U38" s="775">
        <f t="shared" si="11"/>
        <v>100</v>
      </c>
      <c r="V38" s="774" t="s">
        <v>17</v>
      </c>
      <c r="W38" s="775">
        <f t="shared" si="12"/>
        <v>100</v>
      </c>
      <c r="X38" s="1816"/>
      <c r="Y38" s="3209"/>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09"/>
      <c r="Q39" s="1813">
        <f t="shared" si="14"/>
        <v>111</v>
      </c>
      <c r="R39" s="774" t="s">
        <v>17</v>
      </c>
      <c r="S39" s="775">
        <f t="shared" si="10"/>
        <v>100</v>
      </c>
      <c r="T39" s="774" t="s">
        <v>17</v>
      </c>
      <c r="U39" s="775">
        <f t="shared" si="11"/>
        <v>100</v>
      </c>
      <c r="V39" s="774" t="s">
        <v>17</v>
      </c>
      <c r="W39" s="775">
        <f t="shared" si="12"/>
        <v>100</v>
      </c>
      <c r="X39" s="1816"/>
      <c r="Y39" s="3209"/>
      <c r="Z39" s="1817">
        <f t="shared" si="13"/>
        <v>111</v>
      </c>
      <c r="AA39" s="1814">
        <f t="shared" si="3"/>
        <v>1</v>
      </c>
      <c r="AB39" s="1814">
        <f t="shared" si="4"/>
        <v>1</v>
      </c>
      <c r="AC39" s="1814">
        <f t="shared" si="5"/>
        <v>1</v>
      </c>
    </row>
    <row r="40" spans="1:29" s="471" customFormat="1" ht="15.75"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09"/>
      <c r="Q40" s="1813">
        <f t="shared" si="14"/>
        <v>111</v>
      </c>
      <c r="R40" s="777" t="s">
        <v>17</v>
      </c>
      <c r="S40" s="778">
        <f t="shared" si="10"/>
        <v>100</v>
      </c>
      <c r="T40" s="777" t="s">
        <v>17</v>
      </c>
      <c r="U40" s="778">
        <f t="shared" si="11"/>
        <v>100</v>
      </c>
      <c r="V40" s="777" t="s">
        <v>17</v>
      </c>
      <c r="W40" s="778">
        <f t="shared" si="12"/>
        <v>100</v>
      </c>
      <c r="X40" s="779"/>
      <c r="Y40" s="3209"/>
      <c r="Z40" s="780">
        <f t="shared" si="13"/>
        <v>111</v>
      </c>
      <c r="AA40" s="1814">
        <f t="shared" si="3"/>
        <v>1</v>
      </c>
      <c r="AB40" s="1814">
        <f t="shared" si="4"/>
        <v>1</v>
      </c>
      <c r="AC40" s="1814">
        <f t="shared" si="5"/>
        <v>1</v>
      </c>
    </row>
    <row r="41" spans="1:29" ht="15">
      <c r="A41" s="479" t="s">
        <v>2721</v>
      </c>
      <c r="B41" s="2706" t="s">
        <v>2801</v>
      </c>
      <c r="C41" s="682" t="s">
        <v>1</v>
      </c>
      <c r="D41" s="481"/>
      <c r="E41" s="482"/>
      <c r="F41" s="483"/>
      <c r="G41" s="484"/>
      <c r="H41" s="485"/>
      <c r="I41" s="482"/>
      <c r="J41" s="485"/>
      <c r="K41" s="783"/>
      <c r="L41" s="1146"/>
      <c r="M41" s="1134"/>
      <c r="N41" s="1134"/>
      <c r="O41" s="1147"/>
      <c r="P41" s="3191" t="str">
        <f>A41</f>
        <v>成交单价</v>
      </c>
      <c r="Q41" s="3191"/>
      <c r="R41" s="3204">
        <f>E41</f>
        <v>0</v>
      </c>
      <c r="S41" s="3204"/>
      <c r="T41" s="3204">
        <f>G41</f>
        <v>0</v>
      </c>
      <c r="U41" s="3204"/>
      <c r="V41" s="3204">
        <f>I41</f>
        <v>0</v>
      </c>
      <c r="W41" s="3204"/>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191" t="str">
        <f>A42</f>
        <v>比较价值（元/平方米）</v>
      </c>
      <c r="Q42" s="3191"/>
      <c r="R42" s="3210" t="e">
        <f>ROUND(PRODUCT(R41,AA7:AA40),0)</f>
        <v>#DIV/0!</v>
      </c>
      <c r="S42" s="3210"/>
      <c r="T42" s="3210" t="e">
        <f>ROUND(PRODUCT(T41,AB7:AB40),0)</f>
        <v>#DIV/0!</v>
      </c>
      <c r="U42" s="3210"/>
      <c r="V42" s="3210" t="e">
        <f>ROUND(PRODUCT(V41,AC7:AC40),0)</f>
        <v>#DIV/0!</v>
      </c>
      <c r="W42" s="3210"/>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211" t="str">
        <f>A43</f>
        <v>估价对象XX用房的比较价值（楼面单价，元/平方米）</v>
      </c>
      <c r="Q43" s="3212"/>
      <c r="R43" s="3213" t="e">
        <f>ROUND(AVERAGE(R42:V42),0)</f>
        <v>#DIV/0!</v>
      </c>
      <c r="S43" s="3213"/>
      <c r="T43" s="3213"/>
      <c r="U43" s="3213"/>
      <c r="V43" s="3213"/>
      <c r="W43" s="321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07" t="s">
        <v>2761</v>
      </c>
      <c r="D50" s="2708" t="s">
        <v>2762</v>
      </c>
      <c r="E50" s="686" t="s">
        <v>2763</v>
      </c>
      <c r="F50" s="687" t="s">
        <v>2764</v>
      </c>
      <c r="G50" s="3192" t="s">
        <v>2765</v>
      </c>
      <c r="H50" s="3214"/>
      <c r="I50" s="1817" t="s">
        <v>2802</v>
      </c>
      <c r="J50" s="1817" t="str">
        <f>项目基本情况!F35</f>
        <v>上海市</v>
      </c>
      <c r="K50" s="2710" t="s">
        <v>2767</v>
      </c>
      <c r="L50" s="1109"/>
      <c r="M50" s="1147"/>
      <c r="N50" s="1147"/>
      <c r="O50" s="1147"/>
    </row>
    <row r="51" spans="1:17" s="692" customFormat="1">
      <c r="A51" s="688" t="s">
        <v>2768</v>
      </c>
      <c r="B51" s="689" t="e">
        <f>C43</f>
        <v>#DIV/0!</v>
      </c>
      <c r="C51" s="690">
        <v>1</v>
      </c>
      <c r="D51" s="1166">
        <v>1</v>
      </c>
      <c r="E51" s="690">
        <f>'数据-汇总表'!E8+'数据-汇总表'!E9</f>
        <v>122069.68</v>
      </c>
      <c r="F51" s="691" t="e">
        <f t="shared" ref="F51:F60" si="15">ROUND(B51*E51/10000,0)</f>
        <v>#DIV/0!</v>
      </c>
      <c r="G51" s="3215"/>
      <c r="H51" s="3191"/>
      <c r="I51" s="945">
        <v>1</v>
      </c>
      <c r="J51" s="945">
        <v>1</v>
      </c>
      <c r="K51" s="1148"/>
      <c r="L51" s="944"/>
      <c r="M51" s="944"/>
      <c r="N51" s="944"/>
      <c r="O51" s="944"/>
    </row>
    <row r="52" spans="1:17" s="692" customFormat="1">
      <c r="A52" s="693" t="s">
        <v>2769</v>
      </c>
      <c r="B52" s="262" t="e">
        <f>ROUND($C$43*C52*D52,0)</f>
        <v>#DIV/0!</v>
      </c>
      <c r="C52" s="200">
        <f t="shared" ref="C52:C60" si="16">IF($C$50="北京市系数",I52,J52)</f>
        <v>0</v>
      </c>
      <c r="D52" s="1167">
        <v>0.25</v>
      </c>
      <c r="E52" s="694"/>
      <c r="F52" s="691" t="e">
        <f t="shared" si="15"/>
        <v>#DIV/0!</v>
      </c>
      <c r="G52" s="3216" t="s">
        <v>2770</v>
      </c>
      <c r="H52" s="1107">
        <f>项目基本情况!B37</f>
        <v>0</v>
      </c>
      <c r="I52" s="945">
        <f>SUMIF(修正!A45:A56,H52,修正!B45:B56)</f>
        <v>0</v>
      </c>
      <c r="J52" s="946"/>
      <c r="K52" s="1147"/>
      <c r="L52" s="944"/>
      <c r="M52" s="944"/>
      <c r="N52" s="944"/>
      <c r="O52" s="944"/>
    </row>
    <row r="53" spans="1:17" s="692" customFormat="1">
      <c r="A53" s="693" t="s">
        <v>2771</v>
      </c>
      <c r="B53" s="262" t="e">
        <f t="shared" ref="B53:B60" si="17">ROUND($C$43*C53*D53,0)</f>
        <v>#DIV/0!</v>
      </c>
      <c r="C53" s="200">
        <f t="shared" si="16"/>
        <v>0</v>
      </c>
      <c r="D53" s="1167">
        <v>0.25</v>
      </c>
      <c r="E53" s="694"/>
      <c r="F53" s="691" t="e">
        <f t="shared" si="15"/>
        <v>#DIV/0!</v>
      </c>
      <c r="G53" s="3216"/>
      <c r="H53" s="1107">
        <f>项目基本情况!B37</f>
        <v>0</v>
      </c>
      <c r="I53" s="945">
        <f>SUMIF(修正!A45:A56,H53,修正!C45:C56)</f>
        <v>0</v>
      </c>
      <c r="J53" s="946"/>
      <c r="K53" s="1148"/>
      <c r="L53" s="944"/>
      <c r="M53" s="944"/>
      <c r="N53" s="944"/>
      <c r="O53" s="944"/>
    </row>
    <row r="54" spans="1:17" s="692" customFormat="1">
      <c r="A54" s="693" t="s">
        <v>2772</v>
      </c>
      <c r="B54" s="262" t="e">
        <f t="shared" si="17"/>
        <v>#DIV/0!</v>
      </c>
      <c r="C54" s="200">
        <f t="shared" si="16"/>
        <v>0</v>
      </c>
      <c r="D54" s="1167">
        <v>0.25</v>
      </c>
      <c r="E54" s="694"/>
      <c r="F54" s="691" t="e">
        <f t="shared" si="15"/>
        <v>#DIV/0!</v>
      </c>
      <c r="G54" s="3216"/>
      <c r="H54" s="1107">
        <f>项目基本情况!B37</f>
        <v>0</v>
      </c>
      <c r="I54" s="945">
        <f>SUMIF(修正!A45:A56,H54,修正!D45:D56)</f>
        <v>0</v>
      </c>
      <c r="J54" s="946"/>
      <c r="K54" s="1147"/>
      <c r="L54" s="944"/>
      <c r="M54" s="944"/>
      <c r="N54" s="944"/>
      <c r="O54" s="944"/>
    </row>
    <row r="55" spans="1:17" s="692" customFormat="1">
      <c r="A55" s="693" t="s">
        <v>2773</v>
      </c>
      <c r="B55" s="262" t="e">
        <f t="shared" si="17"/>
        <v>#DIV/0!</v>
      </c>
      <c r="C55" s="200">
        <f t="shared" si="16"/>
        <v>0</v>
      </c>
      <c r="D55" s="1167">
        <v>0.25</v>
      </c>
      <c r="E55" s="694"/>
      <c r="F55" s="691" t="e">
        <f t="shared" si="15"/>
        <v>#DIV/0!</v>
      </c>
      <c r="G55" s="3216"/>
      <c r="H55" s="1107">
        <f>项目基本情况!B37</f>
        <v>0</v>
      </c>
      <c r="I55" s="945">
        <f>SUMIF(修正!A45:A56,H55,修正!E45:E56)</f>
        <v>0</v>
      </c>
      <c r="J55" s="946"/>
      <c r="K55" s="1148"/>
      <c r="L55" s="944"/>
      <c r="M55" s="944"/>
      <c r="N55" s="944"/>
      <c r="O55" s="944"/>
    </row>
    <row r="56" spans="1:17" s="692" customFormat="1">
      <c r="A56" s="693" t="s">
        <v>2774</v>
      </c>
      <c r="B56" s="262" t="e">
        <f t="shared" si="17"/>
        <v>#DIV/0!</v>
      </c>
      <c r="C56" s="200">
        <f t="shared" si="16"/>
        <v>0</v>
      </c>
      <c r="D56" s="1167">
        <v>0.25</v>
      </c>
      <c r="E56" s="261">
        <f>'数据-汇总表'!E11</f>
        <v>0</v>
      </c>
      <c r="F56" s="691" t="e">
        <f t="shared" si="15"/>
        <v>#DIV/0!</v>
      </c>
      <c r="G56" s="2711" t="s">
        <v>2775</v>
      </c>
      <c r="H56" s="1107">
        <f>项目基本情况!C37</f>
        <v>0</v>
      </c>
      <c r="I56" s="945">
        <f>SUMIF(修正!A45:A56,H56,修正!F45:F56)</f>
        <v>0</v>
      </c>
      <c r="J56" s="946"/>
      <c r="K56" s="1147"/>
      <c r="L56" s="944"/>
      <c r="M56" s="944"/>
      <c r="N56" s="944"/>
      <c r="O56" s="944"/>
    </row>
    <row r="57" spans="1:17" s="692" customFormat="1">
      <c r="A57" s="693" t="s">
        <v>2776</v>
      </c>
      <c r="B57" s="262" t="e">
        <f t="shared" si="17"/>
        <v>#DIV/0!</v>
      </c>
      <c r="C57" s="200">
        <f t="shared" si="16"/>
        <v>0</v>
      </c>
      <c r="D57" s="1167">
        <v>0.25</v>
      </c>
      <c r="E57" s="261">
        <f>'数据-汇总表'!E12</f>
        <v>0</v>
      </c>
      <c r="F57" s="691" t="e">
        <f t="shared" si="15"/>
        <v>#DIV/0!</v>
      </c>
      <c r="G57" s="1112" t="s">
        <v>2777</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2778</v>
      </c>
      <c r="B58" s="262" t="e">
        <f t="shared" si="17"/>
        <v>#DIV/0!</v>
      </c>
      <c r="C58" s="200">
        <f t="shared" si="16"/>
        <v>0</v>
      </c>
      <c r="D58" s="1167">
        <v>0.25</v>
      </c>
      <c r="E58" s="261">
        <f>'数据-汇总表'!E13</f>
        <v>58557.179999999993</v>
      </c>
      <c r="F58" s="691" t="e">
        <f t="shared" si="15"/>
        <v>#DIV/0!</v>
      </c>
      <c r="G58" s="1112" t="s">
        <v>2779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2780</v>
      </c>
      <c r="B59" s="262" t="e">
        <f t="shared" si="17"/>
        <v>#DIV/0!</v>
      </c>
      <c r="C59" s="200">
        <f t="shared" si="16"/>
        <v>0</v>
      </c>
      <c r="D59" s="1167">
        <v>0.25</v>
      </c>
      <c r="E59" s="261">
        <f>'数据-汇总表'!E14</f>
        <v>0</v>
      </c>
      <c r="F59" s="691" t="e">
        <f t="shared" si="15"/>
        <v>#DIV/0!</v>
      </c>
      <c r="G59" s="2711" t="s">
        <v>2770</v>
      </c>
      <c r="H59" s="1107">
        <f>项目基本情况!B37</f>
        <v>0</v>
      </c>
      <c r="I59" s="945">
        <f>SUMIF(修正!A45:A56,H59,修正!H45:H56)</f>
        <v>0</v>
      </c>
      <c r="J59" s="946"/>
      <c r="K59" s="1148"/>
      <c r="L59" s="944"/>
      <c r="M59" s="944"/>
      <c r="N59" s="944"/>
      <c r="O59" s="944"/>
    </row>
    <row r="60" spans="1:17" s="692" customFormat="1" ht="15" thickBot="1">
      <c r="A60" s="693" t="s">
        <v>2781</v>
      </c>
      <c r="B60" s="262" t="e">
        <f t="shared" si="17"/>
        <v>#DIV/0!</v>
      </c>
      <c r="C60" s="200">
        <f t="shared" si="16"/>
        <v>0</v>
      </c>
      <c r="D60" s="1167">
        <v>0.25</v>
      </c>
      <c r="E60" s="261">
        <f>'数据-汇总表'!E15</f>
        <v>0</v>
      </c>
      <c r="F60" s="691" t="e">
        <f t="shared" si="15"/>
        <v>#DIV/0!</v>
      </c>
      <c r="G60" s="2712" t="s">
        <v>2775</v>
      </c>
      <c r="H60" s="1117">
        <f>项目基本情况!C37</f>
        <v>0</v>
      </c>
      <c r="I60" s="945">
        <f>SUMIF(修正!A45:A56,H60,修正!H45:H56)</f>
        <v>0</v>
      </c>
      <c r="J60" s="946"/>
      <c r="K60" s="1147"/>
      <c r="L60" s="944"/>
      <c r="M60" s="944"/>
      <c r="N60" s="944"/>
      <c r="O60" s="944"/>
    </row>
    <row r="61" spans="1:17" s="692" customFormat="1" ht="15" thickBot="1">
      <c r="A61" s="695" t="s">
        <v>2782</v>
      </c>
      <c r="B61" s="696" t="s">
        <v>28</v>
      </c>
      <c r="C61" s="696" t="s">
        <v>29</v>
      </c>
      <c r="D61" s="696" t="s">
        <v>1029</v>
      </c>
      <c r="E61" s="696">
        <f>IF(B41="楼面地价",SUM(E51:E60),'数据-汇总表'!D3)</f>
        <v>87410.87</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2018-4-1</v>
      </c>
      <c r="D63" s="761">
        <f>EDATE(C63,-3)</f>
        <v>43101</v>
      </c>
      <c r="E63" s="761">
        <f>EDATE(D63,-3)</f>
        <v>43009</v>
      </c>
      <c r="F63" s="761">
        <f t="shared" ref="F63:O63" si="18">EDATE(E63,-3)</f>
        <v>42917</v>
      </c>
      <c r="G63" s="761">
        <f t="shared" si="18"/>
        <v>42826</v>
      </c>
      <c r="H63" s="761">
        <f t="shared" si="18"/>
        <v>42736</v>
      </c>
      <c r="I63" s="761">
        <f t="shared" si="18"/>
        <v>42644</v>
      </c>
      <c r="J63" s="761">
        <f t="shared" si="18"/>
        <v>42552</v>
      </c>
      <c r="K63" s="761">
        <f t="shared" si="18"/>
        <v>42461</v>
      </c>
      <c r="L63" s="761">
        <f t="shared" si="18"/>
        <v>42370</v>
      </c>
      <c r="M63" s="761">
        <f t="shared" si="18"/>
        <v>42278</v>
      </c>
      <c r="N63" s="761">
        <f t="shared" si="18"/>
        <v>42186</v>
      </c>
      <c r="O63" s="761">
        <f t="shared" si="18"/>
        <v>42095</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3" t="s">
        <v>2783</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18" t="s">
        <v>2803</v>
      </c>
      <c r="B66" s="332" t="str">
        <f>"北京市平均增长率"&amp;TEXT(基准地价修正!P24,"0.00%")</f>
        <v>北京市平均增长率1.24%</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2805</v>
      </c>
      <c r="B1" s="241"/>
      <c r="C1" s="245" t="s">
        <v>2806</v>
      </c>
      <c r="D1" s="388">
        <f>SUM(D29:D30,D33:D39)</f>
        <v>0</v>
      </c>
      <c r="E1" s="2719"/>
      <c r="F1" s="2719"/>
      <c r="G1" s="2719"/>
      <c r="H1" s="2719"/>
      <c r="I1" s="2719"/>
      <c r="J1" s="2719"/>
      <c r="K1" s="1373"/>
      <c r="L1" s="2720" t="s">
        <v>2807</v>
      </c>
      <c r="M1" s="1083">
        <f>SUMPRODUCT((区片价!B5:B9=I2)*(区片价!C3:F3=E2)*(区片价!C5:F9))</f>
        <v>0</v>
      </c>
      <c r="N1" s="1086">
        <f>SUMPRODUCT((因素修正幅度!B5:B9=I2)*(因素修正幅度!C3:F3=E2)*(因素修正幅度!C5:F9))</f>
        <v>0</v>
      </c>
      <c r="O1" s="2721"/>
      <c r="P1" s="2721"/>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t="e">
        <f>C26</f>
        <v>#DIV/0!</v>
      </c>
      <c r="C2" s="2723" t="s">
        <v>2814</v>
      </c>
      <c r="D2" s="2724" t="s">
        <v>2815</v>
      </c>
      <c r="E2" s="2725"/>
      <c r="F2" s="2724" t="s">
        <v>2816</v>
      </c>
      <c r="G2" s="2726">
        <f>IF(E2="商业",项目基本情况!B37,IF(E2="办公",项目基本情况!C37,IF(E2="住宅",项目基本情况!D37,项目基本情况!E37)))</f>
        <v>0</v>
      </c>
      <c r="H2" s="2724" t="s">
        <v>2817</v>
      </c>
      <c r="I2" s="2726">
        <f>IF(E2="商业",项目基本情况!B38,IF(E2="办公",项目基本情况!C38,IF(E2="住宅",项目基本情况!D38,项目基本情况!E38)))</f>
        <v>0</v>
      </c>
      <c r="J2" s="2727"/>
      <c r="K2" s="1373"/>
      <c r="L2" s="2728" t="s">
        <v>2818</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2819</v>
      </c>
      <c r="B3" s="248" t="e">
        <f>ROUND(B2*10000/D1,0)</f>
        <v>#DIV/0!</v>
      </c>
      <c r="C3" s="2723" t="s">
        <v>2820</v>
      </c>
      <c r="D3" s="2724" t="s">
        <v>2821</v>
      </c>
      <c r="E3" s="2729"/>
      <c r="F3" s="2730" t="s">
        <v>2822</v>
      </c>
      <c r="G3" s="916">
        <f>IF(F3="宗地容积率",'数据-汇总表'!I4,IF(F3="估价对象容积率",'数据-汇总表'!I6,'数据-汇总表'!I7))</f>
        <v>1.51</v>
      </c>
      <c r="H3" s="198" t="s">
        <v>2823</v>
      </c>
      <c r="I3" s="947"/>
      <c r="J3" s="2727" t="s">
        <v>2824</v>
      </c>
      <c r="K3" s="1373"/>
      <c r="L3" s="2728" t="s">
        <v>2825</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87"/>
      <c r="B4" s="3288"/>
      <c r="C4" s="3288"/>
      <c r="D4" s="3289"/>
      <c r="E4" s="3289"/>
      <c r="F4" s="3289"/>
      <c r="G4" s="3289"/>
      <c r="H4" s="3289"/>
      <c r="I4" s="3289"/>
      <c r="J4" s="3290"/>
      <c r="K4" s="1373"/>
      <c r="L4" s="2728" t="s">
        <v>2826</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0" customFormat="1" ht="15.75" thickBot="1">
      <c r="A5" s="2731" t="s">
        <v>807</v>
      </c>
      <c r="B5" s="2732" t="s">
        <v>2827</v>
      </c>
      <c r="C5" s="917" t="e">
        <f>ROUND(IF(E2="商业",IF(F16="增加",C6*C7+C16,C6*C7-C16),IF(E2="住宅",IF(F16="增加",C6*C12+C16,C6*C12-C16),IF(F16="增加",C6+C16,C6-C16))),0)</f>
        <v>#DIV/0!</v>
      </c>
      <c r="D5" s="1790">
        <f>ROUND(IF(E2="商业",IF(F16="增加",C6+C16,C6-C16)),0)</f>
        <v>0</v>
      </c>
      <c r="E5" s="2733"/>
      <c r="F5" s="2733"/>
      <c r="G5" s="2734"/>
      <c r="H5" s="2734"/>
      <c r="I5" s="2734"/>
      <c r="J5" s="2735"/>
      <c r="K5" s="2736"/>
      <c r="L5" s="2728" t="s">
        <v>2828</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7"/>
      <c r="AD5" s="2738"/>
      <c r="AE5" s="2738"/>
      <c r="AF5" s="2738"/>
      <c r="AG5" s="2738"/>
      <c r="AH5" s="2738"/>
      <c r="AI5" s="2738"/>
      <c r="AJ5" s="2739"/>
    </row>
    <row r="6" spans="1:36" ht="15.75" thickBot="1">
      <c r="A6" s="2741" t="s">
        <v>2829</v>
      </c>
      <c r="B6" s="2742" t="s">
        <v>2830</v>
      </c>
      <c r="C6" s="918">
        <f>SUMIF(L1:L12,G2,M1:M12)</f>
        <v>0</v>
      </c>
      <c r="D6" s="2743" t="s">
        <v>2831</v>
      </c>
      <c r="E6" s="2744"/>
      <c r="F6" s="2744"/>
      <c r="G6" s="2745"/>
      <c r="H6" s="2745"/>
      <c r="I6" s="2745"/>
      <c r="J6" s="2746"/>
      <c r="K6" s="1845"/>
      <c r="L6" s="2728" t="s">
        <v>2832</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7"/>
      <c r="AD6" s="2738"/>
      <c r="AE6" s="2738"/>
      <c r="AF6" s="2738"/>
      <c r="AG6" s="2738"/>
      <c r="AH6" s="2738"/>
      <c r="AI6" s="2738"/>
      <c r="AJ6" s="2739"/>
    </row>
    <row r="7" spans="1:36" ht="24">
      <c r="A7" s="3273" t="str">
        <f>IF(E2="商业",IF(C8="不临58条商业街","",2),"")</f>
        <v/>
      </c>
      <c r="B7" s="2747" t="s">
        <v>2833</v>
      </c>
      <c r="C7" s="919" t="e">
        <f>IF(C8="不临58条商业街",1,ROUND(1+(1.6*E8+1.2*E9+0.8*E10+0.4*E11)*C9,4))</f>
        <v>#DIV/0!</v>
      </c>
      <c r="D7" s="2748" t="s">
        <v>2834</v>
      </c>
      <c r="E7" s="948"/>
      <c r="F7" s="2749"/>
      <c r="G7" s="2750"/>
      <c r="H7" s="2750"/>
      <c r="I7" s="2750"/>
      <c r="J7" s="2751"/>
      <c r="K7" s="1845"/>
      <c r="L7" s="2728" t="s">
        <v>2835</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2836</v>
      </c>
      <c r="X7" s="1607">
        <f>G2</f>
        <v>0</v>
      </c>
      <c r="Y7" s="1607" t="s">
        <v>2837</v>
      </c>
      <c r="Z7" s="1608">
        <f>G3</f>
        <v>1.51</v>
      </c>
      <c r="AA7" s="1609"/>
      <c r="AB7" s="1609"/>
      <c r="AC7" s="1610"/>
      <c r="AD7" s="1611"/>
      <c r="AE7" s="1611"/>
      <c r="AF7" s="1611"/>
      <c r="AG7" s="1611"/>
      <c r="AH7" s="1611"/>
      <c r="AI7" s="1611"/>
      <c r="AJ7" s="1612"/>
    </row>
    <row r="8" spans="1:36" ht="15">
      <c r="A8" s="3274"/>
      <c r="B8" s="198" t="s">
        <v>2838</v>
      </c>
      <c r="C8" s="2752"/>
      <c r="D8" s="920" t="s">
        <v>139</v>
      </c>
      <c r="E8" s="921" t="e">
        <f>ROUND(C11/E7,4)</f>
        <v>#DIV/0!</v>
      </c>
      <c r="F8" s="2753" t="s">
        <v>2839</v>
      </c>
      <c r="G8" s="2754"/>
      <c r="H8" s="2754"/>
      <c r="I8" s="2754"/>
      <c r="J8" s="2755"/>
      <c r="K8" s="1373"/>
      <c r="L8" s="2728" t="s">
        <v>2840</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84" t="s">
        <v>2841</v>
      </c>
      <c r="X8" s="3285"/>
      <c r="Y8" s="1613" t="s">
        <v>2842</v>
      </c>
      <c r="Z8" s="1613" t="s">
        <v>2843</v>
      </c>
      <c r="AA8" s="1613" t="s">
        <v>2844</v>
      </c>
      <c r="AB8" s="1613" t="s">
        <v>2845</v>
      </c>
      <c r="AC8" s="1613" t="s">
        <v>2846</v>
      </c>
      <c r="AD8" s="1613" t="s">
        <v>2847</v>
      </c>
      <c r="AE8" s="1613" t="s">
        <v>2848</v>
      </c>
      <c r="AF8" s="1613" t="s">
        <v>2849</v>
      </c>
      <c r="AG8" s="1613" t="s">
        <v>2850</v>
      </c>
      <c r="AH8" s="1613" t="s">
        <v>2851</v>
      </c>
      <c r="AI8" s="1613" t="s">
        <v>2852</v>
      </c>
      <c r="AJ8" s="1613" t="s">
        <v>2853</v>
      </c>
    </row>
    <row r="9" spans="1:36" ht="15">
      <c r="A9" s="3274"/>
      <c r="B9" s="198" t="s">
        <v>2854</v>
      </c>
      <c r="C9" s="922">
        <f>SUMIF(修正!C59:C119,C8,修正!E59:E119)</f>
        <v>0</v>
      </c>
      <c r="D9" s="200" t="s">
        <v>140</v>
      </c>
      <c r="E9" s="200" t="e">
        <f>ROUND(C11/E7,4)</f>
        <v>#DIV/0!</v>
      </c>
      <c r="F9" s="2753" t="s">
        <v>2855</v>
      </c>
      <c r="G9" s="2754"/>
      <c r="H9" s="2754"/>
      <c r="I9" s="2754"/>
      <c r="J9" s="2755"/>
      <c r="K9" s="1373"/>
      <c r="L9" s="2728" t="s">
        <v>2856</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86" t="s">
        <v>2857</v>
      </c>
      <c r="X9" s="1614" t="s">
        <v>2858</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74"/>
      <c r="B10" s="198" t="s">
        <v>2859</v>
      </c>
      <c r="C10" s="200">
        <f>SUMIF(修正!C59:C119,C8,修正!F59:F119)</f>
        <v>0</v>
      </c>
      <c r="D10" s="200" t="s">
        <v>141</v>
      </c>
      <c r="E10" s="200" t="e">
        <f>ROUND(C11/E7,4)</f>
        <v>#DIV/0!</v>
      </c>
      <c r="F10" s="2753" t="s">
        <v>2860</v>
      </c>
      <c r="G10" s="2754"/>
      <c r="H10" s="2754"/>
      <c r="I10" s="2754"/>
      <c r="J10" s="2755"/>
      <c r="K10" s="1373"/>
      <c r="L10" s="2728" t="s">
        <v>2861</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8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74"/>
      <c r="B11" s="2756" t="s">
        <v>2862</v>
      </c>
      <c r="C11" s="923">
        <f>C10/4</f>
        <v>0</v>
      </c>
      <c r="D11" s="923" t="s">
        <v>142</v>
      </c>
      <c r="E11" s="923" t="e">
        <f>ROUND(C11/E7,4)</f>
        <v>#DIV/0!</v>
      </c>
      <c r="F11" s="2757" t="s">
        <v>2863</v>
      </c>
      <c r="G11" s="2758"/>
      <c r="H11" s="2758"/>
      <c r="I11" s="2758"/>
      <c r="J11" s="2759"/>
      <c r="K11" s="1373"/>
      <c r="L11" s="2728" t="s">
        <v>2864</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86" t="s">
        <v>2865</v>
      </c>
      <c r="X11" s="1617" t="s">
        <v>2866</v>
      </c>
      <c r="Y11" s="1618">
        <f>$G$3</f>
        <v>1.51</v>
      </c>
      <c r="Z11" s="1618">
        <f t="shared" ref="Z11:AJ11" si="3">$G$3</f>
        <v>1.51</v>
      </c>
      <c r="AA11" s="1618">
        <f t="shared" si="3"/>
        <v>1.51</v>
      </c>
      <c r="AB11" s="1618">
        <f t="shared" si="3"/>
        <v>1.51</v>
      </c>
      <c r="AC11" s="1618">
        <f t="shared" si="3"/>
        <v>1.51</v>
      </c>
      <c r="AD11" s="1618">
        <f t="shared" si="3"/>
        <v>1.51</v>
      </c>
      <c r="AE11" s="1618">
        <f t="shared" si="3"/>
        <v>1.51</v>
      </c>
      <c r="AF11" s="1618">
        <f t="shared" si="3"/>
        <v>1.51</v>
      </c>
      <c r="AG11" s="1618">
        <f t="shared" si="3"/>
        <v>1.51</v>
      </c>
      <c r="AH11" s="1618">
        <f t="shared" si="3"/>
        <v>1.51</v>
      </c>
      <c r="AI11" s="1618">
        <f t="shared" si="3"/>
        <v>1.51</v>
      </c>
      <c r="AJ11" s="1618">
        <f t="shared" si="3"/>
        <v>1.51</v>
      </c>
    </row>
    <row r="12" spans="1:36" ht="25.5" thickBot="1">
      <c r="A12" s="3273" t="s">
        <v>2867</v>
      </c>
      <c r="B12" s="2760" t="s">
        <v>2868</v>
      </c>
      <c r="C12" s="919">
        <f>ROUND(C15*D15*E15*F15*G15*H15*I15*J15,4)</f>
        <v>1</v>
      </c>
      <c r="D12" s="2761" t="s">
        <v>2869</v>
      </c>
      <c r="E12" s="2762"/>
      <c r="F12" s="2762"/>
      <c r="G12" s="2763"/>
      <c r="H12" s="2763"/>
      <c r="I12" s="2763"/>
      <c r="J12" s="2764"/>
      <c r="K12" s="1373"/>
      <c r="L12" s="2765" t="s">
        <v>2870</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86"/>
      <c r="X12" s="1619" t="s">
        <v>2871</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91"/>
      <c r="B13" s="2766" t="s">
        <v>2872</v>
      </c>
      <c r="C13" s="2767" t="s">
        <v>2873</v>
      </c>
      <c r="D13" s="1811" t="s">
        <v>2874</v>
      </c>
      <c r="E13" s="1811" t="s">
        <v>2875</v>
      </c>
      <c r="F13" s="30" t="s">
        <v>2876</v>
      </c>
      <c r="G13" s="2768" t="s">
        <v>2877</v>
      </c>
      <c r="H13" s="2768" t="s">
        <v>2877</v>
      </c>
      <c r="I13" s="2768" t="s">
        <v>2877</v>
      </c>
      <c r="J13" s="2769" t="s">
        <v>2877</v>
      </c>
      <c r="K13" s="1373"/>
      <c r="L13" s="1373"/>
      <c r="M13" s="1373"/>
      <c r="N13" s="1373"/>
      <c r="O13" s="1373"/>
      <c r="P13" s="1373"/>
      <c r="Q13" s="1373"/>
      <c r="R13" s="1605">
        <v>12</v>
      </c>
      <c r="S13" s="1606"/>
      <c r="T13" s="1605" t="e">
        <f t="shared" si="0"/>
        <v>#DIV/0!</v>
      </c>
      <c r="U13" s="1606"/>
      <c r="V13" s="1605" t="e">
        <f t="shared" si="1"/>
        <v>#DIV/0!</v>
      </c>
      <c r="W13" s="3286"/>
      <c r="X13" s="1619"/>
      <c r="Y13" s="1616">
        <f>(-0.163*(Y12^2)-0.59*Y12+7617)*(10^(-4))/Y11</f>
        <v>0.5044370860927152</v>
      </c>
      <c r="Z13" s="1616">
        <f t="shared" ref="Z13:AJ13" si="5">(-0.163*(Z12^2)-0.59*Z12+7617)*(10^(-4))/Z11</f>
        <v>0.5044370860927152</v>
      </c>
      <c r="AA13" s="1616">
        <f t="shared" si="5"/>
        <v>0.5044370860927152</v>
      </c>
      <c r="AB13" s="1616">
        <f t="shared" si="5"/>
        <v>0.5044370860927152</v>
      </c>
      <c r="AC13" s="1616">
        <f t="shared" si="5"/>
        <v>0.5044370860927152</v>
      </c>
      <c r="AD13" s="1616">
        <f t="shared" si="5"/>
        <v>0.5044370860927152</v>
      </c>
      <c r="AE13" s="1616">
        <f t="shared" si="5"/>
        <v>0.5044370860927152</v>
      </c>
      <c r="AF13" s="1616">
        <f t="shared" si="5"/>
        <v>0.5044370860927152</v>
      </c>
      <c r="AG13" s="1616">
        <f t="shared" si="5"/>
        <v>0.5044370860927152</v>
      </c>
      <c r="AH13" s="1616">
        <f t="shared" si="5"/>
        <v>0.5044370860927152</v>
      </c>
      <c r="AI13" s="1616">
        <f t="shared" si="5"/>
        <v>0.5044370860927152</v>
      </c>
      <c r="AJ13" s="1616">
        <f t="shared" si="5"/>
        <v>0.5044370860927152</v>
      </c>
    </row>
    <row r="14" spans="1:36" ht="15">
      <c r="A14" s="3291"/>
      <c r="B14" s="2770"/>
      <c r="C14" s="2771"/>
      <c r="D14" s="2772"/>
      <c r="E14" s="2772"/>
      <c r="F14" s="2773"/>
      <c r="G14" s="2774" t="s">
        <v>2878</v>
      </c>
      <c r="H14" s="2775"/>
      <c r="I14" s="2776"/>
      <c r="J14" s="2777"/>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92"/>
      <c r="B15" s="2778" t="s">
        <v>2879</v>
      </c>
      <c r="C15" s="229">
        <f>IF(C14="有",1.1,1)</f>
        <v>1</v>
      </c>
      <c r="D15" s="229">
        <f>IF(D14="有",1.1,1)</f>
        <v>1</v>
      </c>
      <c r="E15" s="229">
        <f>IF(E14="有",1.1,1)</f>
        <v>1</v>
      </c>
      <c r="F15" s="229">
        <f>IF(F14="500米范围内",1.2,IF(F14="500-1000米",1.1,1))</f>
        <v>1</v>
      </c>
      <c r="G15" s="949">
        <v>1</v>
      </c>
      <c r="H15" s="949">
        <v>1</v>
      </c>
      <c r="I15" s="949">
        <v>1</v>
      </c>
      <c r="J15" s="950">
        <v>1</v>
      </c>
      <c r="K15" s="1373"/>
      <c r="L15" s="2779" t="s">
        <v>2815</v>
      </c>
      <c r="M15" s="920" t="s">
        <v>2880</v>
      </c>
      <c r="N15" s="920" t="s">
        <v>2881</v>
      </c>
      <c r="O15" s="920" t="s">
        <v>2882</v>
      </c>
      <c r="P15" s="2780" t="s">
        <v>2883</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73" t="s">
        <v>2884</v>
      </c>
      <c r="B16" s="2747" t="s">
        <v>2885</v>
      </c>
      <c r="C16" s="1804" t="e">
        <f>ROUND(SUM(G17:J17)/C17,0)</f>
        <v>#DIV/0!</v>
      </c>
      <c r="D16" s="2781" t="s">
        <v>2886</v>
      </c>
      <c r="E16" s="2782"/>
      <c r="F16" s="2783"/>
      <c r="G16" s="2784"/>
      <c r="H16" s="2784"/>
      <c r="I16" s="2784"/>
      <c r="J16" s="2785"/>
      <c r="K16" s="1373"/>
      <c r="L16" s="2786" t="s">
        <v>2887</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74"/>
      <c r="B17" s="2787" t="s">
        <v>2888</v>
      </c>
      <c r="C17" s="924">
        <f>SUMPRODUCT((修正!A2:A5=E2)*(修正!B1:M1=G2)*(修正!B2:M5))</f>
        <v>0</v>
      </c>
      <c r="D17" s="2788" t="s">
        <v>2889</v>
      </c>
      <c r="E17" s="923" t="str">
        <f>IF(OR(G2="八级",G2="九级",G2="十级",G2="十一级",G2="十二级"),"五通一平","七通一平")</f>
        <v>七通一平</v>
      </c>
      <c r="F17" s="924" t="s">
        <v>2890</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2891</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2892</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2893</v>
      </c>
      <c r="C19" s="927" t="e">
        <f>ROUND(IF(H19="按公示增长率计算",SUMPRODUCT((地价!A3:A22=YEAR(G19)&amp;"-"&amp;ROUNDUP(MONTH(G19)/3,0))*(地价!X2:AB2=E2)*(地价!X3:AB22)),IF(H19="地价指数",M20/M19,(1+I19)^O19)),4)</f>
        <v>#DIV/0!</v>
      </c>
      <c r="D19" s="2799" t="s">
        <v>2894</v>
      </c>
      <c r="E19" s="928">
        <v>41640</v>
      </c>
      <c r="F19" s="2799" t="s">
        <v>2895</v>
      </c>
      <c r="G19" s="929">
        <f>'数据-取费表'!B2</f>
        <v>43202</v>
      </c>
      <c r="H19" s="2800" t="s">
        <v>2896</v>
      </c>
      <c r="I19" s="930" t="str">
        <f>IF(H19="季度增幅（自定义）",SUMIF(N21:N24,E2,O21:O24),"")</f>
        <v/>
      </c>
      <c r="J19" s="2797"/>
      <c r="K19" s="1380"/>
      <c r="L19" s="2801" t="s">
        <v>2897</v>
      </c>
      <c r="M19" s="1737">
        <f>ROUND(SUMIF(地价!B2:F2,E2,地价!B22:F22),0)</f>
        <v>0</v>
      </c>
      <c r="N19" s="2802" t="s">
        <v>2898</v>
      </c>
      <c r="O19" s="931">
        <f>ROUNDDOWN(DATEDIF(E19,G19,"M")/3,0)</f>
        <v>17</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2899</v>
      </c>
      <c r="C20" s="932" t="e">
        <f>ROUND(POWER(1+G20,J20-I20)*(POWER(1+G20,I20)-1)/(POWER(1+G20,J20)-1),4)</f>
        <v>#DIV/0!</v>
      </c>
      <c r="D20" s="2808" t="s">
        <v>2900</v>
      </c>
      <c r="E20" s="1771">
        <f ca="1">存贷款利率!D4/100</f>
        <v>4.3499999999999997E-2</v>
      </c>
      <c r="F20" s="2808" t="s">
        <v>2891</v>
      </c>
      <c r="G20" s="937">
        <f>SUMIF(M15:P15,E2,M17:P17)</f>
        <v>0</v>
      </c>
      <c r="H20" s="2808" t="s">
        <v>2901</v>
      </c>
      <c r="I20" s="938" t="e">
        <f>SUMIF('数据-取费表'!C6:C15,E2,'数据-取费表'!F6:F15)/COUNTIF('数据-取费表'!C6:C15,E2)</f>
        <v>#DIV/0!</v>
      </c>
      <c r="J20" s="939">
        <f>IF(E2="住宅",70,IF(E2="商业",40,50))</f>
        <v>50</v>
      </c>
      <c r="K20" s="1380"/>
      <c r="L20" s="2809" t="s">
        <v>2902</v>
      </c>
      <c r="M20" s="1738">
        <f>ROUND(SUMPRODUCT((地价!A4:A22=YEAR(G19)&amp;"-"&amp;ROUNDUP(MONTH(G19)/3,0))*(地价!B2:F2=E2)*(地价!B4:F22)),0)</f>
        <v>0</v>
      </c>
      <c r="N20" s="2810" t="s">
        <v>2903</v>
      </c>
      <c r="O20" s="2811" t="s">
        <v>2904</v>
      </c>
      <c r="P20" s="2812" t="s">
        <v>2905</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2906</v>
      </c>
      <c r="C21" s="940">
        <f>IF(B21="容积率修正",IF(G3&lt;=10,D22,J22),C23)</f>
        <v>0</v>
      </c>
      <c r="D21" s="2815"/>
      <c r="E21" s="2815"/>
      <c r="F21" s="2815"/>
      <c r="G21" s="2815"/>
      <c r="H21" s="2815"/>
      <c r="I21" s="2815"/>
      <c r="J21" s="2816"/>
      <c r="K21" s="1380"/>
      <c r="N21" s="2817" t="s">
        <v>2907</v>
      </c>
      <c r="O21" s="1564"/>
      <c r="P21" s="1565">
        <f>SUMPRODUCT((地价!A3:A22=YEAR(G19)&amp;"-"&amp;ROUNDUP(MONTH(G19)/3,0))*(地价!AD2:AH2=N21)*(地价!AD3:AH22))</f>
        <v>1.46E-2</v>
      </c>
      <c r="R21" s="1379"/>
      <c r="S21" s="1379"/>
      <c r="T21" s="1374"/>
      <c r="U21" s="1374"/>
      <c r="V21" s="1374"/>
      <c r="W21" s="1373"/>
      <c r="X21" s="1373"/>
      <c r="Y21" s="1373"/>
      <c r="Z21" s="1380"/>
      <c r="AA21" s="1381"/>
      <c r="AB21" s="1381"/>
      <c r="AC21" s="1381"/>
      <c r="AD21" s="1381"/>
      <c r="AE21" s="1381"/>
      <c r="AF21" s="1381"/>
    </row>
    <row r="22" spans="1:37" s="2740" customFormat="1" ht="14.25">
      <c r="A22" s="2666" t="s">
        <v>2908</v>
      </c>
      <c r="B22" s="2818" t="s">
        <v>2909</v>
      </c>
      <c r="C22" s="1813" t="s">
        <v>2910</v>
      </c>
      <c r="D22" s="1813">
        <f>IF(E22=G22,F22,IF(G3&lt;=10,ROUND(F22+(H22-F22)*(G3-E22)/(G22-E22),4),"——"))</f>
        <v>0</v>
      </c>
      <c r="E22" s="916">
        <f>ROUNDDOWN(G3,1)</f>
        <v>1.5</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7" t="s">
        <v>2911</v>
      </c>
      <c r="O22" s="1564"/>
      <c r="P22" s="1565">
        <f>SUMPRODUCT((地价!A3:A22=YEAR(G19)&amp;"-"&amp;ROUNDUP(MONTH(G19)/3,0))*(地价!AD2:AH2=N22)*(地价!AD3:AH22))</f>
        <v>1.46E-2</v>
      </c>
      <c r="R22" s="1379"/>
      <c r="S22" s="1379"/>
      <c r="T22" s="1374"/>
      <c r="U22" s="1374"/>
      <c r="V22" s="1374"/>
      <c r="W22" s="1373"/>
      <c r="X22" s="1373"/>
      <c r="Y22" s="1373"/>
      <c r="Z22" s="1380"/>
      <c r="AA22" s="1381"/>
      <c r="AB22" s="1381"/>
      <c r="AC22" s="1381"/>
      <c r="AD22" s="1381"/>
      <c r="AE22" s="1381"/>
      <c r="AF22" s="1381"/>
    </row>
    <row r="23" spans="1:37" ht="27.75" thickBot="1">
      <c r="A23" s="2666" t="s">
        <v>2912</v>
      </c>
      <c r="B23" s="2819" t="s">
        <v>2913</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2914</v>
      </c>
      <c r="O23" s="1564"/>
      <c r="P23" s="1565">
        <f>SUMPRODUCT((地价!A3:A22=YEAR(G19)&amp;"-"&amp;ROUNDUP(MONTH(G19)/3,0))*(地价!AD2:AH2=N23)*(地价!AD3:AH22))</f>
        <v>2.41E-2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2915</v>
      </c>
      <c r="C24" s="927">
        <f>SUMIF(A45:A88,E2,B45:B88)</f>
        <v>0</v>
      </c>
      <c r="D24" s="2795"/>
      <c r="E24" s="2825"/>
      <c r="F24" s="2825"/>
      <c r="G24" s="2825"/>
      <c r="H24" s="2825"/>
      <c r="I24" s="2825"/>
      <c r="J24" s="2826"/>
      <c r="K24" s="1380"/>
      <c r="N24" s="2827" t="s">
        <v>2916</v>
      </c>
      <c r="O24" s="1566"/>
      <c r="P24" s="1567">
        <f>SUMPRODUCT((地价!A3:A22=YEAR(G19)&amp;"-"&amp;ROUNDUP(MONTH(G19)/3,0))*(地价!AD2:AH2=N24)*(地价!AD3:AH22))</f>
        <v>1.24E-2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2917</v>
      </c>
      <c r="C25" s="933"/>
      <c r="D25" s="2750"/>
      <c r="E25" s="2750"/>
      <c r="F25" s="2829"/>
      <c r="G25" s="2750"/>
      <c r="H25" s="2750"/>
      <c r="I25" s="2750"/>
      <c r="J25" s="2751"/>
      <c r="K25" s="1373"/>
      <c r="N25" s="2830" t="s">
        <v>2918</v>
      </c>
      <c r="O25" s="1568"/>
      <c r="P25" s="1567">
        <f>SUMPRODUCT((地价!A3:A22=YEAR(G19)&amp;"-"&amp;ROUNDUP(MONTH(G19)/3,0))*(地价!AD2:AH2=N25)*(地价!AD3:AH22))</f>
        <v>2.1700000000000001E-2</v>
      </c>
      <c r="R25" s="1379"/>
      <c r="S25" s="1379"/>
      <c r="T25" s="1374"/>
      <c r="U25" s="1374"/>
      <c r="V25" s="1374"/>
      <c r="W25" s="1373"/>
      <c r="X25" s="1373"/>
      <c r="Y25" s="1373"/>
      <c r="Z25" s="1380"/>
      <c r="AA25" s="1381"/>
      <c r="AB25" s="1381"/>
      <c r="AC25" s="1381"/>
      <c r="AD25" s="1381"/>
    </row>
    <row r="26" spans="1:37" ht="15">
      <c r="A26" s="2831"/>
      <c r="B26" s="2818" t="s">
        <v>2919</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2920</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2921</v>
      </c>
      <c r="C28" s="2842" t="s">
        <v>2922</v>
      </c>
      <c r="D28" s="2842" t="s">
        <v>2923</v>
      </c>
      <c r="E28" s="2843" t="s">
        <v>2924</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2925</v>
      </c>
      <c r="C29" s="206" t="e">
        <f>ROUND(C5*C18*C19*C20*C21*C24,0)</f>
        <v>#DIV/0!</v>
      </c>
      <c r="D29" s="2847"/>
      <c r="E29" s="945" t="e">
        <f>ROUND(C29*D29/10000,0)</f>
        <v>#DIV/0!</v>
      </c>
      <c r="F29" s="2848" t="s">
        <v>2926</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2927</v>
      </c>
      <c r="C30" s="229" t="e">
        <f>ROUND(IF(E2="工业",C29*M39,C29*M38),0)</f>
        <v>#DIV/0!</v>
      </c>
      <c r="D30" s="2853"/>
      <c r="E30" s="945" t="e">
        <f>ROUND(C30*D30/10000,0)</f>
        <v>#DIV/0!</v>
      </c>
      <c r="F30" s="2854" t="s">
        <v>2928</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2929</v>
      </c>
      <c r="C31" s="2859" t="s">
        <v>2930</v>
      </c>
      <c r="D31" s="2763"/>
      <c r="E31" s="2859"/>
      <c r="F31" s="2859"/>
      <c r="G31" s="2761" t="s">
        <v>2931</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2922</v>
      </c>
      <c r="D32" s="498" t="s">
        <v>2923</v>
      </c>
      <c r="E32" s="498" t="s">
        <v>2924</v>
      </c>
      <c r="F32" s="388" t="s">
        <v>2932</v>
      </c>
      <c r="G32" s="2862" t="s">
        <v>2922</v>
      </c>
      <c r="H32" s="2862" t="s">
        <v>2923</v>
      </c>
      <c r="I32" s="2862" t="s">
        <v>2924</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281" t="s">
        <v>2933</v>
      </c>
      <c r="B33" s="2863" t="s">
        <v>2934</v>
      </c>
      <c r="C33" s="206" t="e">
        <f>ROUND(D5*C19*C20*C24*F33,0)</f>
        <v>#DIV/0!</v>
      </c>
      <c r="D33" s="2847"/>
      <c r="E33" s="200" t="e">
        <f>ROUND(C33*D33/10000,0)</f>
        <v>#DIV/0!</v>
      </c>
      <c r="F33" s="200">
        <f>SUMIF(修正!A45:A56,G2,修正!B45:B56)</f>
        <v>0</v>
      </c>
      <c r="G33" s="200" t="e">
        <f t="shared" ref="G33:G39" si="6">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82"/>
      <c r="B34" s="2767" t="s">
        <v>2935</v>
      </c>
      <c r="C34" s="206" t="e">
        <f>ROUND(D5*C19*C20*C24*F34,0)</f>
        <v>#DIV/0!</v>
      </c>
      <c r="D34" s="2847"/>
      <c r="E34" s="200" t="e">
        <f t="shared" ref="E34:E39" si="7">ROUND(C34*D34/10000,0)</f>
        <v>#DIV/0!</v>
      </c>
      <c r="F34" s="200">
        <f>SUMIF(修正!A45:A56,G2,修正!C45:C56)</f>
        <v>0</v>
      </c>
      <c r="G34" s="200" t="e">
        <f t="shared" si="6"/>
        <v>#DIV/0!</v>
      </c>
      <c r="H34" s="200">
        <f t="shared" ref="H34:H39" si="8">D34</f>
        <v>0</v>
      </c>
      <c r="I34" s="200" t="e">
        <f t="shared" ref="I34:I39" si="9">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82"/>
      <c r="B35" s="2767" t="s">
        <v>2936</v>
      </c>
      <c r="C35" s="206" t="e">
        <f>ROUND(D5*C19*C20*C24*F35,0)</f>
        <v>#DIV/0!</v>
      </c>
      <c r="D35" s="2847"/>
      <c r="E35" s="200" t="e">
        <f t="shared" si="7"/>
        <v>#DIV/0!</v>
      </c>
      <c r="F35" s="200">
        <f>SUMIF(修正!A45:A56,G2,修正!D45:D56)</f>
        <v>0</v>
      </c>
      <c r="G35" s="200" t="e">
        <f t="shared" si="6"/>
        <v>#DIV/0!</v>
      </c>
      <c r="H35" s="200">
        <f t="shared" si="8"/>
        <v>0</v>
      </c>
      <c r="I35" s="200" t="e">
        <f t="shared" si="9"/>
        <v>#DIV/0!</v>
      </c>
      <c r="J35" s="2864"/>
      <c r="K35" s="1373"/>
      <c r="L35" s="1373"/>
      <c r="M35" s="1373"/>
      <c r="N35" s="1373"/>
      <c r="O35" s="1373"/>
      <c r="P35" s="1373"/>
      <c r="Q35" s="1373"/>
      <c r="R35" s="1373"/>
      <c r="S35" s="1373"/>
      <c r="T35" s="1373"/>
      <c r="U35" s="1373"/>
      <c r="V35" s="1373"/>
      <c r="W35" s="1373"/>
      <c r="X35" s="1373"/>
      <c r="Y35" s="1373"/>
      <c r="Z35" s="1374"/>
    </row>
    <row r="36" spans="1:37" ht="13.5" thickBot="1">
      <c r="A36" s="3283"/>
      <c r="B36" s="2767" t="s">
        <v>2937</v>
      </c>
      <c r="C36" s="206" t="e">
        <f>ROUND(D5*C19*C20*C24*F36,0)</f>
        <v>#DIV/0!</v>
      </c>
      <c r="D36" s="2847"/>
      <c r="E36" s="200" t="e">
        <f t="shared" si="7"/>
        <v>#DIV/0!</v>
      </c>
      <c r="F36" s="200">
        <f>SUMIF(修正!A45:A56,G2,修正!E45:E56)</f>
        <v>0</v>
      </c>
      <c r="G36" s="200" t="e">
        <f t="shared" si="6"/>
        <v>#DIV/0!</v>
      </c>
      <c r="H36" s="200">
        <f t="shared" si="8"/>
        <v>0</v>
      </c>
      <c r="I36" s="200" t="e">
        <f t="shared" si="9"/>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2938</v>
      </c>
      <c r="C37" s="200" t="e">
        <f>ROUND(C5*C19*C20*C24*F37,0)</f>
        <v>#DIV/0!</v>
      </c>
      <c r="D37" s="2847"/>
      <c r="E37" s="200" t="e">
        <f t="shared" si="7"/>
        <v>#DIV/0!</v>
      </c>
      <c r="F37" s="206">
        <f>SUMIF(修正!A45:A56,G2,修正!F45:F56)</f>
        <v>0</v>
      </c>
      <c r="G37" s="200" t="e">
        <f t="shared" si="6"/>
        <v>#DIV/0!</v>
      </c>
      <c r="H37" s="200">
        <f t="shared" si="8"/>
        <v>0</v>
      </c>
      <c r="I37" s="200" t="e">
        <f t="shared" si="9"/>
        <v>#DIV/0!</v>
      </c>
      <c r="J37" s="2864"/>
      <c r="K37" s="1373"/>
      <c r="L37" s="2866" t="s">
        <v>2939</v>
      </c>
      <c r="M37" s="2867"/>
      <c r="N37" s="1373"/>
      <c r="O37" s="1373"/>
      <c r="P37" s="1373"/>
      <c r="Q37" s="1373"/>
      <c r="R37" s="1373"/>
      <c r="S37" s="1373"/>
      <c r="T37" s="1373"/>
      <c r="U37" s="1373"/>
      <c r="V37" s="1373"/>
      <c r="W37" s="1373"/>
      <c r="X37" s="1373"/>
      <c r="Y37" s="1373"/>
      <c r="Z37" s="1374"/>
    </row>
    <row r="38" spans="1:37">
      <c r="A38" s="2865"/>
      <c r="B38" s="2767" t="s">
        <v>2940</v>
      </c>
      <c r="C38" s="200" t="e">
        <f>ROUND(C5*C19*C20*C24*F38,0)</f>
        <v>#DIV/0!</v>
      </c>
      <c r="D38" s="2847"/>
      <c r="E38" s="200" t="e">
        <f t="shared" si="7"/>
        <v>#DIV/0!</v>
      </c>
      <c r="F38" s="206">
        <f>SUMIF(修正!A45:A56,G2,修正!G45:G56)</f>
        <v>0</v>
      </c>
      <c r="G38" s="200" t="e">
        <f t="shared" si="6"/>
        <v>#DIV/0!</v>
      </c>
      <c r="H38" s="200">
        <f t="shared" si="8"/>
        <v>0</v>
      </c>
      <c r="I38" s="200" t="e">
        <f t="shared" si="9"/>
        <v>#DIV/0!</v>
      </c>
      <c r="J38" s="2864"/>
      <c r="K38" s="1373"/>
      <c r="L38" s="1890" t="s">
        <v>2941</v>
      </c>
      <c r="M38" s="2868">
        <v>0.25</v>
      </c>
      <c r="N38" s="1373"/>
      <c r="O38" s="1373"/>
      <c r="P38" s="1373"/>
      <c r="Q38" s="1373"/>
      <c r="R38" s="1373"/>
      <c r="S38" s="1373"/>
      <c r="T38" s="1373"/>
      <c r="U38" s="1373"/>
      <c r="V38" s="1373"/>
      <c r="W38" s="1373"/>
      <c r="X38" s="1373"/>
      <c r="Y38" s="1373"/>
      <c r="Z38" s="1374"/>
    </row>
    <row r="39" spans="1:37" ht="13.5" thickBot="1">
      <c r="A39" s="2851"/>
      <c r="B39" s="2869" t="s">
        <v>2942</v>
      </c>
      <c r="C39" s="229" t="e">
        <f>ROUND(C5*C19*C20*C24*F39,0)</f>
        <v>#DIV/0!</v>
      </c>
      <c r="D39" s="2853"/>
      <c r="E39" s="229" t="e">
        <f t="shared" si="7"/>
        <v>#DIV/0!</v>
      </c>
      <c r="F39" s="935">
        <f>SUMIF(修正!A45:A56,G2,修正!H45:H56)</f>
        <v>0</v>
      </c>
      <c r="G39" s="229" t="e">
        <f t="shared" si="6"/>
        <v>#DIV/0!</v>
      </c>
      <c r="H39" s="229">
        <f t="shared" si="8"/>
        <v>0</v>
      </c>
      <c r="I39" s="229" t="e">
        <f t="shared" si="9"/>
        <v>#DIV/0!</v>
      </c>
      <c r="J39" s="2870"/>
      <c r="K39" s="1373"/>
      <c r="L39" s="2871" t="s">
        <v>2883</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3"/>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2943</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2944</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2945</v>
      </c>
      <c r="B47" s="1812" t="s">
        <v>2946</v>
      </c>
      <c r="C47" s="1812" t="s">
        <v>2947</v>
      </c>
      <c r="D47" s="1812" t="s">
        <v>2948</v>
      </c>
      <c r="E47" s="819" t="s">
        <v>2949</v>
      </c>
      <c r="F47" s="2881" t="s">
        <v>2950</v>
      </c>
      <c r="G47" s="1812" t="s">
        <v>754</v>
      </c>
      <c r="H47" s="2882" t="s">
        <v>2951</v>
      </c>
      <c r="I47" s="1812" t="s">
        <v>2952</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c r="A48" s="2880" t="s">
        <v>2953</v>
      </c>
      <c r="B48" s="2883" t="str">
        <f>估价对象房地状况!C4</f>
        <v>估价对象位于XX商圈，周边商业氛围成熟，人流量大，商业繁华度好</v>
      </c>
      <c r="C48" s="2772"/>
      <c r="D48" s="1289">
        <f t="shared" ref="D48:D56" si="10">SUMIF($J$47:$N$47,C48,J48:N48)</f>
        <v>0</v>
      </c>
      <c r="E48" s="821">
        <f>ROUND(SUM(D48:D56),4)</f>
        <v>0</v>
      </c>
      <c r="F48" s="2503"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0" t="s">
        <v>2954</v>
      </c>
      <c r="B49" s="2884" t="str">
        <f>估价对象房地状况!C18</f>
        <v>估价对象周边道路状况、公共交通通达情况、停车便捷程度，综合评价交通便捷度较好</v>
      </c>
      <c r="C49" s="2772"/>
      <c r="D49" s="1289">
        <f t="shared" si="10"/>
        <v>0</v>
      </c>
      <c r="E49" s="822"/>
      <c r="F49" s="2503"/>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0" t="s">
        <v>2955</v>
      </c>
      <c r="B50" s="2884">
        <f>估价对象房地状况!C19</f>
        <v>0</v>
      </c>
      <c r="C50" s="2772"/>
      <c r="D50" s="1289">
        <f t="shared" si="10"/>
        <v>0</v>
      </c>
      <c r="E50" s="822"/>
      <c r="F50" s="2503"/>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0" t="s">
        <v>2956</v>
      </c>
      <c r="B51" s="2885" t="s">
        <v>2957</v>
      </c>
      <c r="C51" s="2772"/>
      <c r="D51" s="1289">
        <f t="shared" si="10"/>
        <v>0</v>
      </c>
      <c r="E51" s="822"/>
      <c r="F51" s="2503"/>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0" t="s">
        <v>2958</v>
      </c>
      <c r="B52" s="2884">
        <f>估价对象房地状况!C24</f>
        <v>0</v>
      </c>
      <c r="C52" s="2772"/>
      <c r="D52" s="1289">
        <f t="shared" si="10"/>
        <v>0</v>
      </c>
      <c r="E52" s="822"/>
      <c r="F52" s="2503"/>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0" t="s">
        <v>2959</v>
      </c>
      <c r="B53" s="2886" t="s">
        <v>2960</v>
      </c>
      <c r="C53" s="2772"/>
      <c r="D53" s="1289">
        <f t="shared" si="10"/>
        <v>0</v>
      </c>
      <c r="E53" s="822"/>
      <c r="F53" s="2503"/>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7" t="s">
        <v>2961</v>
      </c>
      <c r="B54" s="1728" t="str">
        <f>估价对象房地状况!C21</f>
        <v>估价对象所在区域公共配套设施齐备情况</v>
      </c>
      <c r="C54" s="2772"/>
      <c r="D54" s="1289">
        <f t="shared" si="10"/>
        <v>0</v>
      </c>
      <c r="E54" s="822"/>
      <c r="F54" s="2503"/>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7" t="s">
        <v>2962</v>
      </c>
      <c r="B55" s="2884" t="str">
        <f>估价对象房地状况!C22</f>
        <v>估价对象所在区域基础设施水平</v>
      </c>
      <c r="C55" s="2772"/>
      <c r="D55" s="1289">
        <f t="shared" si="10"/>
        <v>0</v>
      </c>
      <c r="E55" s="822"/>
      <c r="F55" s="2503"/>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8" t="s">
        <v>2963</v>
      </c>
      <c r="B56" s="2889" t="str">
        <f>估价对象房地状况!C20</f>
        <v>区域自然环境：；人文环境；综合评价环境状况一般</v>
      </c>
      <c r="C56" s="2772"/>
      <c r="D56" s="1289">
        <f t="shared" si="10"/>
        <v>0</v>
      </c>
      <c r="E56" s="825"/>
      <c r="F56" s="2503"/>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6" t="s">
        <v>2964</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2945</v>
      </c>
      <c r="B58" s="1812"/>
      <c r="C58" s="1812" t="s">
        <v>2947</v>
      </c>
      <c r="D58" s="1812" t="s">
        <v>2948</v>
      </c>
      <c r="E58" s="819" t="s">
        <v>2949</v>
      </c>
      <c r="F58" s="2881" t="s">
        <v>2965</v>
      </c>
      <c r="G58" s="1812" t="s">
        <v>754</v>
      </c>
      <c r="H58" s="2882" t="s">
        <v>2951</v>
      </c>
      <c r="I58" s="1812" t="s">
        <v>2952</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c r="A59" s="2880" t="s">
        <v>2966</v>
      </c>
      <c r="B59" s="2883" t="str">
        <f>估价对象房地状况!C17</f>
        <v>估价对象位于XX商圈，周边办公楼项目较多，入驻率高，办公集聚程度较好</v>
      </c>
      <c r="C59" s="2772"/>
      <c r="D59" s="1289">
        <f t="shared" ref="D59:D67" si="15">SUMIF($J$58:$N$58,C59,J59:N59)</f>
        <v>0</v>
      </c>
      <c r="E59" s="821">
        <f>ROUND(SUM(D59:D67),4)</f>
        <v>0</v>
      </c>
      <c r="F59" s="2503"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0" t="s">
        <v>2954</v>
      </c>
      <c r="B60" s="2884" t="str">
        <f>估价对象房地状况!C18</f>
        <v>估价对象周边道路状况、公共交通通达情况、停车便捷程度，综合评价交通便捷度较好</v>
      </c>
      <c r="C60" s="2772"/>
      <c r="D60" s="1289">
        <f t="shared" si="15"/>
        <v>0</v>
      </c>
      <c r="E60" s="822"/>
      <c r="F60" s="2503"/>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0" t="s">
        <v>2955</v>
      </c>
      <c r="B61" s="2884">
        <f>估价对象房地状况!C19</f>
        <v>0</v>
      </c>
      <c r="C61" s="2772"/>
      <c r="D61" s="1289">
        <f t="shared" si="15"/>
        <v>0</v>
      </c>
      <c r="E61" s="822"/>
      <c r="F61" s="2503"/>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0" t="s">
        <v>2956</v>
      </c>
      <c r="B62" s="2885" t="s">
        <v>2957</v>
      </c>
      <c r="C62" s="2772"/>
      <c r="D62" s="1289">
        <f t="shared" si="15"/>
        <v>0</v>
      </c>
      <c r="E62" s="822"/>
      <c r="F62" s="2503"/>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0" t="s">
        <v>2958</v>
      </c>
      <c r="B63" s="2884">
        <f>估价对象房地状况!C24</f>
        <v>0</v>
      </c>
      <c r="C63" s="2772"/>
      <c r="D63" s="1289">
        <f t="shared" si="15"/>
        <v>0</v>
      </c>
      <c r="E63" s="822"/>
      <c r="F63" s="2503"/>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0" t="s">
        <v>2959</v>
      </c>
      <c r="B64" s="2886" t="s">
        <v>2960</v>
      </c>
      <c r="C64" s="2772"/>
      <c r="D64" s="1289">
        <f t="shared" si="15"/>
        <v>0</v>
      </c>
      <c r="E64" s="822"/>
      <c r="F64" s="2503"/>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0" t="s">
        <v>2961</v>
      </c>
      <c r="B65" s="1728" t="str">
        <f>估价对象房地状况!C21</f>
        <v>估价对象所在区域公共配套设施齐备情况</v>
      </c>
      <c r="C65" s="2772"/>
      <c r="D65" s="1289">
        <f t="shared" si="15"/>
        <v>0</v>
      </c>
      <c r="E65" s="822"/>
      <c r="F65" s="2503"/>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0" t="s">
        <v>2962</v>
      </c>
      <c r="B66" s="1728" t="str">
        <f>估价对象房地状况!C22</f>
        <v>估价对象所在区域基础设施水平</v>
      </c>
      <c r="C66" s="2772"/>
      <c r="D66" s="1289">
        <f t="shared" si="15"/>
        <v>0</v>
      </c>
      <c r="E66" s="822"/>
      <c r="F66" s="2503"/>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8" t="s">
        <v>2963</v>
      </c>
      <c r="B67" s="2890" t="str">
        <f>估价对象房地状况!C20</f>
        <v>区域自然环境：；人文环境；综合评价环境状况一般</v>
      </c>
      <c r="C67" s="2772"/>
      <c r="D67" s="1289">
        <f t="shared" si="15"/>
        <v>0</v>
      </c>
      <c r="E67" s="825"/>
      <c r="F67" s="2503"/>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6" t="s">
        <v>2967</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2945</v>
      </c>
      <c r="B69" s="1812"/>
      <c r="C69" s="1812" t="s">
        <v>2947</v>
      </c>
      <c r="D69" s="1812" t="s">
        <v>2948</v>
      </c>
      <c r="E69" s="819" t="s">
        <v>2949</v>
      </c>
      <c r="F69" s="2881" t="s">
        <v>2965</v>
      </c>
      <c r="G69" s="1812" t="s">
        <v>754</v>
      </c>
      <c r="H69" s="2882" t="s">
        <v>2951</v>
      </c>
      <c r="I69" s="1812" t="s">
        <v>2952</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c r="A70" s="2880" t="s">
        <v>2968</v>
      </c>
      <c r="B70" s="2883" t="str">
        <f>估价对象房地状况!C15</f>
        <v>估价对象周边居住用地比例、居住小区规模和社区发展完善程度，综合评价居住社区成熟度一般</v>
      </c>
      <c r="C70" s="2772"/>
      <c r="D70" s="1289">
        <f t="shared" ref="D70:D78" si="20">SUMIF($J$69:$N$69,C70,J70:N70)</f>
        <v>0</v>
      </c>
      <c r="E70" s="821">
        <f>ROUND(SUM(D70:D78),4)</f>
        <v>0</v>
      </c>
      <c r="F70" s="2503"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0" t="s">
        <v>2954</v>
      </c>
      <c r="B71" s="2884" t="str">
        <f>估价对象房地状况!C18</f>
        <v>估价对象周边道路状况、公共交通通达情况、停车便捷程度，综合评价交通便捷度较好</v>
      </c>
      <c r="C71" s="2772"/>
      <c r="D71" s="1289">
        <f t="shared" si="20"/>
        <v>0</v>
      </c>
      <c r="E71" s="826"/>
      <c r="F71" s="2503"/>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0" t="s">
        <v>2955</v>
      </c>
      <c r="B72" s="2884">
        <f>估价对象房地状况!C19</f>
        <v>0</v>
      </c>
      <c r="C72" s="2772"/>
      <c r="D72" s="1289">
        <f t="shared" si="20"/>
        <v>0</v>
      </c>
      <c r="E72" s="826"/>
      <c r="F72" s="2503"/>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0" t="s">
        <v>2969</v>
      </c>
      <c r="B73" s="2884">
        <f>估价对象房地状况!C24</f>
        <v>0</v>
      </c>
      <c r="C73" s="2772"/>
      <c r="D73" s="1289">
        <f t="shared" si="20"/>
        <v>0</v>
      </c>
      <c r="E73" s="826"/>
      <c r="F73" s="2503"/>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0" t="s">
        <v>2961</v>
      </c>
      <c r="B74" s="1728" t="str">
        <f>估价对象房地状况!C21</f>
        <v>估价对象所在区域公共配套设施齐备情况</v>
      </c>
      <c r="C74" s="2772"/>
      <c r="D74" s="1289">
        <f t="shared" si="20"/>
        <v>0</v>
      </c>
      <c r="E74" s="826"/>
      <c r="F74" s="2503"/>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0" t="s">
        <v>2962</v>
      </c>
      <c r="B75" s="1728" t="str">
        <f>估价对象房地状况!C22</f>
        <v>估价对象所在区域基础设施水平</v>
      </c>
      <c r="C75" s="2772"/>
      <c r="D75" s="1289">
        <f t="shared" si="20"/>
        <v>0</v>
      </c>
      <c r="E75" s="826"/>
      <c r="F75" s="2503"/>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c r="A76" s="2880" t="s">
        <v>2959</v>
      </c>
      <c r="B76" s="2886" t="s">
        <v>2960</v>
      </c>
      <c r="C76" s="2772"/>
      <c r="D76" s="1289">
        <f t="shared" si="20"/>
        <v>0</v>
      </c>
      <c r="E76" s="826"/>
      <c r="F76" s="2503"/>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38.25">
      <c r="A77" s="2880" t="s">
        <v>2963</v>
      </c>
      <c r="B77" s="2883" t="str">
        <f>估价对象房地状况!C20</f>
        <v>区域自然环境：；人文环境；综合评价环境状况一般</v>
      </c>
      <c r="C77" s="2772"/>
      <c r="D77" s="1289">
        <f t="shared" si="20"/>
        <v>0</v>
      </c>
      <c r="E77" s="826"/>
      <c r="F77" s="2503"/>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thickBot="1">
      <c r="A78" s="2888" t="s">
        <v>2970</v>
      </c>
      <c r="B78" s="2892"/>
      <c r="C78" s="2772"/>
      <c r="D78" s="1289">
        <f t="shared" si="20"/>
        <v>0</v>
      </c>
      <c r="E78" s="827"/>
      <c r="F78" s="2503"/>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2971</v>
      </c>
      <c r="B79" s="2877">
        <f>1+E81</f>
        <v>1</v>
      </c>
      <c r="C79" s="814"/>
      <c r="D79" s="814"/>
      <c r="E79" s="815"/>
      <c r="F79" s="2879"/>
      <c r="G79" s="6"/>
      <c r="H79" s="6"/>
      <c r="I79" s="6"/>
      <c r="J79" s="7"/>
      <c r="K79" s="7"/>
      <c r="L79" s="7"/>
      <c r="M79" s="7"/>
      <c r="N79" s="7"/>
      <c r="Z79" s="2722"/>
      <c r="AA79" s="2798"/>
      <c r="AG79" s="1375"/>
      <c r="AK79" s="2798"/>
    </row>
    <row r="80" spans="1:37" ht="24.75">
      <c r="A80" s="2880" t="s">
        <v>2945</v>
      </c>
      <c r="B80" s="1812"/>
      <c r="C80" s="1812" t="s">
        <v>2947</v>
      </c>
      <c r="D80" s="1812" t="s">
        <v>2948</v>
      </c>
      <c r="E80" s="819" t="s">
        <v>2949</v>
      </c>
      <c r="F80" s="2881" t="s">
        <v>2965</v>
      </c>
      <c r="G80" s="1812" t="s">
        <v>754</v>
      </c>
      <c r="H80" s="2882" t="s">
        <v>2951</v>
      </c>
      <c r="I80" s="1812" t="s">
        <v>2952</v>
      </c>
      <c r="J80" s="603" t="s">
        <v>2598</v>
      </c>
      <c r="K80" s="603" t="s">
        <v>2599</v>
      </c>
      <c r="L80" s="603" t="s">
        <v>2600</v>
      </c>
      <c r="M80" s="603" t="s">
        <v>2601</v>
      </c>
      <c r="N80" s="603" t="s">
        <v>2602</v>
      </c>
      <c r="Z80" s="2722"/>
      <c r="AA80" s="2798"/>
      <c r="AG80" s="1375"/>
      <c r="AK80" s="2798"/>
    </row>
    <row r="81" spans="1:37" ht="38.25">
      <c r="A81" s="2880" t="s">
        <v>2972</v>
      </c>
      <c r="B81" s="2884" t="str">
        <f>估价对象房地状况!G15</f>
        <v>估价对象位于XX开发区，园区建设成熟度XX，产业集聚程度XX</v>
      </c>
      <c r="C81" s="2772"/>
      <c r="D81" s="1289">
        <f t="shared" ref="D81:D88" si="25">SUMIF($J$80:$N$80,C81,J81:N81)</f>
        <v>0</v>
      </c>
      <c r="E81" s="821">
        <f>ROUND(SUM(D81:D88),4)</f>
        <v>0</v>
      </c>
      <c r="F81" s="2503"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2"/>
      <c r="AA81" s="2798"/>
      <c r="AG81" s="1375"/>
      <c r="AK81" s="2798"/>
    </row>
    <row r="82" spans="1:37" ht="51">
      <c r="A82" s="2880" t="s">
        <v>2954</v>
      </c>
      <c r="B82" s="2884" t="str">
        <f>估价对象房地状况!G16</f>
        <v>估价对象周边道路状况、公共交通通达情况、停车便捷程度，综合评价交通便捷度较好</v>
      </c>
      <c r="C82" s="2772"/>
      <c r="D82" s="1289">
        <f t="shared" si="25"/>
        <v>0</v>
      </c>
      <c r="E82" s="826"/>
      <c r="F82" s="2503"/>
      <c r="G82" s="1287"/>
      <c r="H82" s="1291" t="str">
        <f t="shared" si="26"/>
        <v>——</v>
      </c>
      <c r="I82" s="820">
        <v>0.33</v>
      </c>
      <c r="J82" s="1288">
        <f t="shared" si="27"/>
        <v>0</v>
      </c>
      <c r="K82" s="1288">
        <f t="shared" si="28"/>
        <v>0</v>
      </c>
      <c r="L82" s="1288">
        <v>0</v>
      </c>
      <c r="M82" s="1288">
        <f t="shared" si="29"/>
        <v>0</v>
      </c>
      <c r="N82" s="1288">
        <f t="shared" si="29"/>
        <v>0</v>
      </c>
      <c r="Z82" s="2722"/>
      <c r="AA82" s="2798"/>
      <c r="AG82" s="1375"/>
      <c r="AK82" s="2798"/>
    </row>
    <row r="83" spans="1:37" ht="24">
      <c r="A83" s="2880" t="s">
        <v>2955</v>
      </c>
      <c r="B83" s="2884">
        <f>估价对象房地状况!G17</f>
        <v>0</v>
      </c>
      <c r="C83" s="2772"/>
      <c r="D83" s="1289">
        <f t="shared" si="25"/>
        <v>0</v>
      </c>
      <c r="E83" s="826"/>
      <c r="F83" s="2503"/>
      <c r="G83" s="1287"/>
      <c r="H83" s="1291" t="str">
        <f t="shared" si="26"/>
        <v>——</v>
      </c>
      <c r="I83" s="820">
        <v>0.05</v>
      </c>
      <c r="J83" s="1288">
        <f t="shared" si="27"/>
        <v>0</v>
      </c>
      <c r="K83" s="1288">
        <f t="shared" si="28"/>
        <v>0</v>
      </c>
      <c r="L83" s="1288">
        <v>0</v>
      </c>
      <c r="M83" s="1288">
        <f t="shared" si="29"/>
        <v>0</v>
      </c>
      <c r="N83" s="1288">
        <f t="shared" si="29"/>
        <v>0</v>
      </c>
      <c r="Z83" s="2722"/>
      <c r="AA83" s="2798"/>
      <c r="AG83" s="1375"/>
      <c r="AK83" s="2798"/>
    </row>
    <row r="84" spans="1:37" ht="14.25">
      <c r="A84" s="2880" t="s">
        <v>2969</v>
      </c>
      <c r="B84" s="2884">
        <f>估价对象房地状况!G22</f>
        <v>0</v>
      </c>
      <c r="C84" s="2772"/>
      <c r="D84" s="1289">
        <f t="shared" si="25"/>
        <v>0</v>
      </c>
      <c r="E84" s="826"/>
      <c r="F84" s="2503"/>
      <c r="G84" s="1287"/>
      <c r="H84" s="1291" t="str">
        <f t="shared" si="26"/>
        <v>——</v>
      </c>
      <c r="I84" s="820">
        <v>0.04</v>
      </c>
      <c r="J84" s="1288">
        <f t="shared" si="27"/>
        <v>0</v>
      </c>
      <c r="K84" s="1288">
        <f t="shared" si="28"/>
        <v>0</v>
      </c>
      <c r="L84" s="1288">
        <v>0</v>
      </c>
      <c r="M84" s="1288">
        <f t="shared" si="29"/>
        <v>0</v>
      </c>
      <c r="N84" s="1288">
        <f t="shared" si="29"/>
        <v>0</v>
      </c>
      <c r="Z84" s="2722"/>
      <c r="AA84" s="2798"/>
      <c r="AG84" s="1375"/>
      <c r="AK84" s="2798"/>
    </row>
    <row r="85" spans="1:37" ht="25.5">
      <c r="A85" s="2880" t="s">
        <v>2961</v>
      </c>
      <c r="B85" s="1728" t="str">
        <f>估价对象房地状况!G19</f>
        <v>估价对象所在区域公共配套设施齐备情况</v>
      </c>
      <c r="C85" s="2772"/>
      <c r="D85" s="1289">
        <f t="shared" si="25"/>
        <v>0</v>
      </c>
      <c r="E85" s="826"/>
      <c r="F85" s="2503"/>
      <c r="G85" s="1287"/>
      <c r="H85" s="1291" t="str">
        <f t="shared" si="26"/>
        <v>——</v>
      </c>
      <c r="I85" s="820">
        <v>0.06</v>
      </c>
      <c r="J85" s="1288">
        <f t="shared" si="27"/>
        <v>0</v>
      </c>
      <c r="K85" s="1288">
        <f t="shared" si="28"/>
        <v>0</v>
      </c>
      <c r="L85" s="1288">
        <v>0</v>
      </c>
      <c r="M85" s="1288">
        <f t="shared" si="29"/>
        <v>0</v>
      </c>
      <c r="N85" s="1288">
        <f t="shared" si="29"/>
        <v>0</v>
      </c>
      <c r="Z85" s="2722"/>
      <c r="AA85" s="2798"/>
      <c r="AG85" s="1375"/>
      <c r="AK85" s="2798"/>
    </row>
    <row r="86" spans="1:37" ht="25.5">
      <c r="A86" s="2880" t="s">
        <v>2962</v>
      </c>
      <c r="B86" s="1728" t="str">
        <f>估价对象房地状况!G20</f>
        <v>估价对象所在区域基础设施水平</v>
      </c>
      <c r="C86" s="2772"/>
      <c r="D86" s="1289">
        <f t="shared" si="25"/>
        <v>0</v>
      </c>
      <c r="E86" s="826"/>
      <c r="F86" s="2503"/>
      <c r="G86" s="1287"/>
      <c r="H86" s="1291" t="str">
        <f t="shared" si="26"/>
        <v>——</v>
      </c>
      <c r="I86" s="820">
        <v>0.15</v>
      </c>
      <c r="J86" s="1288">
        <f t="shared" si="27"/>
        <v>0</v>
      </c>
      <c r="K86" s="1288">
        <f t="shared" si="28"/>
        <v>0</v>
      </c>
      <c r="L86" s="1288">
        <v>0</v>
      </c>
      <c r="M86" s="1288">
        <f t="shared" si="29"/>
        <v>0</v>
      </c>
      <c r="N86" s="1288">
        <f t="shared" si="29"/>
        <v>0</v>
      </c>
      <c r="Z86" s="2722"/>
      <c r="AA86" s="2798"/>
      <c r="AG86" s="1375"/>
      <c r="AK86" s="2798"/>
    </row>
    <row r="87" spans="1:37" ht="24">
      <c r="A87" s="2880" t="s">
        <v>2959</v>
      </c>
      <c r="B87" s="2886" t="s">
        <v>2973</v>
      </c>
      <c r="C87" s="2772"/>
      <c r="D87" s="1289">
        <f t="shared" si="25"/>
        <v>0</v>
      </c>
      <c r="E87" s="826"/>
      <c r="F87" s="2503"/>
      <c r="G87" s="1287"/>
      <c r="H87" s="1291" t="str">
        <f t="shared" si="26"/>
        <v>——</v>
      </c>
      <c r="I87" s="820">
        <v>0.05</v>
      </c>
      <c r="J87" s="1288">
        <f t="shared" si="27"/>
        <v>0</v>
      </c>
      <c r="K87" s="1288">
        <f t="shared" si="28"/>
        <v>0</v>
      </c>
      <c r="L87" s="1288">
        <v>0</v>
      </c>
      <c r="M87" s="1288">
        <f t="shared" si="29"/>
        <v>0</v>
      </c>
      <c r="N87" s="1288">
        <f t="shared" si="29"/>
        <v>0</v>
      </c>
      <c r="Z87" s="2722"/>
      <c r="AA87" s="2798"/>
      <c r="AG87" s="1375"/>
      <c r="AK87" s="2798"/>
    </row>
    <row r="88" spans="1:37" ht="39" thickBot="1">
      <c r="A88" s="2888" t="s">
        <v>2974</v>
      </c>
      <c r="B88" s="2893" t="str">
        <f>估价对象房地状况!G18</f>
        <v>该园区内是否有污染型企业，绿化情况，卫生条件，整体环境状况判断</v>
      </c>
      <c r="C88" s="2772"/>
      <c r="D88" s="1289">
        <f t="shared" si="25"/>
        <v>0</v>
      </c>
      <c r="E88" s="827"/>
      <c r="F88" s="2503"/>
      <c r="G88" s="1287"/>
      <c r="H88" s="1291" t="str">
        <f t="shared" si="26"/>
        <v>——</v>
      </c>
      <c r="I88" s="824">
        <v>0.06</v>
      </c>
      <c r="J88" s="1288">
        <f t="shared" si="27"/>
        <v>0</v>
      </c>
      <c r="K88" s="1288">
        <f t="shared" si="28"/>
        <v>0</v>
      </c>
      <c r="L88" s="1288">
        <v>0</v>
      </c>
      <c r="M88" s="1288">
        <f t="shared" si="29"/>
        <v>0</v>
      </c>
      <c r="N88" s="1288">
        <f t="shared" si="29"/>
        <v>0</v>
      </c>
      <c r="Z88" s="2722"/>
      <c r="AA88" s="2798"/>
      <c r="AG88" s="1375"/>
      <c r="AK88" s="2798"/>
    </row>
    <row r="90" spans="1:37">
      <c r="A90" s="3275" t="s">
        <v>2975</v>
      </c>
      <c r="B90" s="3275"/>
      <c r="C90" s="3275"/>
      <c r="D90" s="3275"/>
      <c r="E90" s="3275"/>
      <c r="F90" s="3275"/>
      <c r="G90" s="3275"/>
      <c r="H90" s="3275"/>
      <c r="I90" s="3275"/>
      <c r="J90" s="3275"/>
      <c r="K90" s="2894"/>
      <c r="L90" s="2894"/>
      <c r="M90" s="2894"/>
      <c r="N90" s="2894"/>
    </row>
    <row r="91" spans="1:37">
      <c r="A91" s="3277" t="s">
        <v>2976</v>
      </c>
      <c r="B91" s="3277" t="s">
        <v>2977</v>
      </c>
      <c r="C91" s="2848" t="s">
        <v>2978</v>
      </c>
      <c r="D91" s="2849"/>
      <c r="E91" s="2849"/>
      <c r="F91" s="2849"/>
      <c r="G91" s="2849"/>
      <c r="H91" s="2849"/>
      <c r="I91" s="2849"/>
      <c r="J91" s="2895"/>
      <c r="K91" s="2896"/>
      <c r="L91" s="2896"/>
      <c r="M91" s="2896"/>
      <c r="N91" s="2896"/>
    </row>
    <row r="92" spans="1:37">
      <c r="A92" s="3277"/>
      <c r="B92" s="3277"/>
      <c r="C92" s="945" t="s">
        <v>2842</v>
      </c>
      <c r="D92" s="945" t="s">
        <v>2843</v>
      </c>
      <c r="E92" s="945" t="s">
        <v>2844</v>
      </c>
      <c r="F92" s="945" t="s">
        <v>2845</v>
      </c>
      <c r="G92" s="945" t="s">
        <v>2846</v>
      </c>
      <c r="H92" s="945" t="s">
        <v>2847</v>
      </c>
      <c r="I92" s="945" t="s">
        <v>2848</v>
      </c>
      <c r="J92" s="945" t="s">
        <v>2849</v>
      </c>
      <c r="K92" s="945" t="s">
        <v>2850</v>
      </c>
      <c r="L92" s="945" t="s">
        <v>2851</v>
      </c>
      <c r="M92" s="945" t="s">
        <v>2852</v>
      </c>
      <c r="N92" s="945" t="s">
        <v>2853</v>
      </c>
    </row>
    <row r="93" spans="1:37">
      <c r="A93" s="3278" t="s">
        <v>2979</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79"/>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79"/>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79"/>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79"/>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79"/>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79"/>
      <c r="B99" s="2897" t="s">
        <v>2858</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280"/>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78" t="s">
        <v>2980</v>
      </c>
      <c r="B101" s="2901" t="s">
        <v>2981</v>
      </c>
      <c r="C101" s="2902">
        <f>$G$3</f>
        <v>1.51</v>
      </c>
      <c r="D101" s="2902">
        <f t="shared" ref="D101:N101" si="31">$G$3</f>
        <v>1.51</v>
      </c>
      <c r="E101" s="2902">
        <f t="shared" si="31"/>
        <v>1.51</v>
      </c>
      <c r="F101" s="2902">
        <f t="shared" si="31"/>
        <v>1.51</v>
      </c>
      <c r="G101" s="2902">
        <f t="shared" si="31"/>
        <v>1.51</v>
      </c>
      <c r="H101" s="2902">
        <f t="shared" si="31"/>
        <v>1.51</v>
      </c>
      <c r="I101" s="2902">
        <f t="shared" si="31"/>
        <v>1.51</v>
      </c>
      <c r="J101" s="2902">
        <f t="shared" si="31"/>
        <v>1.51</v>
      </c>
      <c r="K101" s="2902">
        <f t="shared" si="31"/>
        <v>1.51</v>
      </c>
      <c r="L101" s="2902">
        <f t="shared" si="31"/>
        <v>1.51</v>
      </c>
      <c r="M101" s="2902">
        <f t="shared" si="31"/>
        <v>1.51</v>
      </c>
      <c r="N101" s="2902">
        <f t="shared" si="31"/>
        <v>1.51</v>
      </c>
    </row>
    <row r="102" spans="1:14">
      <c r="A102" s="3279"/>
      <c r="B102" s="2897">
        <v>1</v>
      </c>
      <c r="C102" s="2898">
        <f>1.9362/C101</f>
        <v>1.282251655629139</v>
      </c>
      <c r="D102" s="2898">
        <f>1.9362/D101</f>
        <v>1.282251655629139</v>
      </c>
      <c r="E102" s="2898">
        <f>1.8629/E101</f>
        <v>1.2337086092715233</v>
      </c>
      <c r="F102" s="2898">
        <f>1.8629/F101</f>
        <v>1.2337086092715233</v>
      </c>
      <c r="G102" s="2898">
        <f>1.8629/G101</f>
        <v>1.2337086092715233</v>
      </c>
      <c r="H102" s="2898">
        <f>1.8629/H101</f>
        <v>1.2337086092715233</v>
      </c>
      <c r="I102" s="2898">
        <f>1.8629/I101</f>
        <v>1.2337086092715233</v>
      </c>
      <c r="J102" s="2898">
        <f>1.942/J101</f>
        <v>1.286092715231788</v>
      </c>
      <c r="K102" s="2898">
        <f>1.942/K101</f>
        <v>1.286092715231788</v>
      </c>
      <c r="L102" s="2898">
        <f>1.942/L101</f>
        <v>1.286092715231788</v>
      </c>
      <c r="M102" s="2898">
        <f>1.942/M101</f>
        <v>1.286092715231788</v>
      </c>
      <c r="N102" s="2898">
        <f>1.942/N101</f>
        <v>1.286092715231788</v>
      </c>
    </row>
    <row r="103" spans="1:14">
      <c r="A103" s="3279"/>
      <c r="B103" s="2897">
        <v>2</v>
      </c>
      <c r="C103" s="2898">
        <f>1.4198/C101</f>
        <v>0.94026490066225166</v>
      </c>
      <c r="D103" s="2898">
        <f>1.4198/D101</f>
        <v>0.94026490066225166</v>
      </c>
      <c r="E103" s="2898">
        <f>1.3372/E101</f>
        <v>0.8855629139072847</v>
      </c>
      <c r="F103" s="2898">
        <f>1.3372/F101</f>
        <v>0.8855629139072847</v>
      </c>
      <c r="G103" s="2898">
        <f>1.3372/G101</f>
        <v>0.8855629139072847</v>
      </c>
      <c r="H103" s="2898">
        <f>1.3372/H101</f>
        <v>0.8855629139072847</v>
      </c>
      <c r="I103" s="2898">
        <f>1.3372/I101</f>
        <v>0.8855629139072847</v>
      </c>
      <c r="J103" s="2898">
        <f>1.2799/J101</f>
        <v>0.84761589403973514</v>
      </c>
      <c r="K103" s="2898">
        <f>1.2799/K101</f>
        <v>0.84761589403973514</v>
      </c>
      <c r="L103" s="2898">
        <f>1.2799/L101</f>
        <v>0.84761589403973514</v>
      </c>
      <c r="M103" s="2898">
        <f>1.2799/M101</f>
        <v>0.84761589403973514</v>
      </c>
      <c r="N103" s="2898">
        <f>1.2799/N101</f>
        <v>0.84761589403973514</v>
      </c>
    </row>
    <row r="104" spans="1:14">
      <c r="A104" s="3279"/>
      <c r="B104" s="2897">
        <v>3</v>
      </c>
      <c r="C104" s="2898">
        <f>1.1594/C101</f>
        <v>0.7678145695364238</v>
      </c>
      <c r="D104" s="2898">
        <f>1.1594/D101</f>
        <v>0.7678145695364238</v>
      </c>
      <c r="E104" s="2898">
        <f>1.0788/E101</f>
        <v>0.71443708609271517</v>
      </c>
      <c r="F104" s="2898">
        <f>1.0788/F101</f>
        <v>0.71443708609271517</v>
      </c>
      <c r="G104" s="2898">
        <f>1.0788/G101</f>
        <v>0.71443708609271517</v>
      </c>
      <c r="H104" s="2898">
        <f>1.0788/H101</f>
        <v>0.71443708609271517</v>
      </c>
      <c r="I104" s="2898">
        <f>1.0788/I101</f>
        <v>0.71443708609271517</v>
      </c>
      <c r="J104" s="2898">
        <f>1.0072/J101</f>
        <v>0.66701986754966891</v>
      </c>
      <c r="K104" s="2898">
        <f>1.0072/K101</f>
        <v>0.66701986754966891</v>
      </c>
      <c r="L104" s="2898">
        <f>1.0072/L101</f>
        <v>0.66701986754966891</v>
      </c>
      <c r="M104" s="2898">
        <f>1.0072/M101</f>
        <v>0.66701986754966891</v>
      </c>
      <c r="N104" s="2898">
        <f>1.0072/N101</f>
        <v>0.66701986754966891</v>
      </c>
    </row>
    <row r="105" spans="1:14">
      <c r="A105" s="3279"/>
      <c r="B105" s="2897">
        <v>4</v>
      </c>
      <c r="C105" s="2898">
        <f>0.9622/C101</f>
        <v>0.63721854304635761</v>
      </c>
      <c r="D105" s="2898">
        <f>0.9622/D101</f>
        <v>0.63721854304635761</v>
      </c>
      <c r="E105" s="2898">
        <f>0.8656/E101</f>
        <v>0.57324503311258279</v>
      </c>
      <c r="F105" s="2898">
        <f>0.8656/F101</f>
        <v>0.57324503311258279</v>
      </c>
      <c r="G105" s="2898">
        <f>0.8656/G101</f>
        <v>0.57324503311258279</v>
      </c>
      <c r="H105" s="2898">
        <f>0.8656/H101</f>
        <v>0.57324503311258279</v>
      </c>
      <c r="I105" s="2898">
        <f>0.8656/I101</f>
        <v>0.57324503311258279</v>
      </c>
      <c r="J105" s="2898">
        <f>0.7525/J101</f>
        <v>0.49834437086092709</v>
      </c>
      <c r="K105" s="2898">
        <f>0.7525/K101</f>
        <v>0.49834437086092709</v>
      </c>
      <c r="L105" s="2898">
        <f>0.7525/L101</f>
        <v>0.49834437086092709</v>
      </c>
      <c r="M105" s="2898">
        <f>0.7525/M101</f>
        <v>0.49834437086092709</v>
      </c>
      <c r="N105" s="2898">
        <f>0.7525/N101</f>
        <v>0.49834437086092709</v>
      </c>
    </row>
    <row r="106" spans="1:14">
      <c r="A106" s="3279"/>
      <c r="B106" s="2897">
        <v>5</v>
      </c>
      <c r="C106" s="2898">
        <f>0.8417/C101</f>
        <v>0.55741721854304638</v>
      </c>
      <c r="D106" s="2898">
        <f>0.8417/D101</f>
        <v>0.55741721854304638</v>
      </c>
      <c r="E106" s="2898">
        <f>0.7371/E101</f>
        <v>0.48814569536423841</v>
      </c>
      <c r="F106" s="2898">
        <f>0.7371/F101</f>
        <v>0.48814569536423841</v>
      </c>
      <c r="G106" s="2898">
        <f>0.7371/G101</f>
        <v>0.48814569536423841</v>
      </c>
      <c r="H106" s="2898">
        <f>0.7371/H101</f>
        <v>0.48814569536423841</v>
      </c>
      <c r="I106" s="2898">
        <f>0.7371/I101</f>
        <v>0.48814569536423841</v>
      </c>
      <c r="J106" s="2898">
        <f>0.5659/J101</f>
        <v>0.37476821192052978</v>
      </c>
      <c r="K106" s="2898">
        <f>0.5659/K101</f>
        <v>0.37476821192052978</v>
      </c>
      <c r="L106" s="2898">
        <f>0.5659/L101</f>
        <v>0.37476821192052978</v>
      </c>
      <c r="M106" s="2898">
        <f>0.5659/M101</f>
        <v>0.37476821192052978</v>
      </c>
      <c r="N106" s="2898">
        <f>0.5659/N101</f>
        <v>0.37476821192052978</v>
      </c>
    </row>
    <row r="107" spans="1:14">
      <c r="A107" s="3279"/>
      <c r="B107" s="2897">
        <v>6</v>
      </c>
      <c r="C107" s="2898">
        <f>0.7608/C101</f>
        <v>0.50384105960264902</v>
      </c>
      <c r="D107" s="2898">
        <f>0.7608/D101</f>
        <v>0.50384105960264902</v>
      </c>
      <c r="E107" s="2898">
        <f>0.6482/E101</f>
        <v>0.42927152317880796</v>
      </c>
      <c r="F107" s="2898">
        <f>0.6482/F101</f>
        <v>0.42927152317880796</v>
      </c>
      <c r="G107" s="2898">
        <f>0.6482/G101</f>
        <v>0.42927152317880796</v>
      </c>
      <c r="H107" s="2898">
        <f>0.6482/H101</f>
        <v>0.42927152317880796</v>
      </c>
      <c r="I107" s="2898">
        <f>0.6482/I101</f>
        <v>0.42927152317880796</v>
      </c>
      <c r="J107" s="2898">
        <f>0.4525/J101</f>
        <v>0.29966887417218546</v>
      </c>
      <c r="K107" s="2898">
        <f>0.4525/K101</f>
        <v>0.29966887417218546</v>
      </c>
      <c r="L107" s="2898">
        <f>0.4525/L101</f>
        <v>0.29966887417218546</v>
      </c>
      <c r="M107" s="2898">
        <f>0.4525/M101</f>
        <v>0.29966887417218546</v>
      </c>
      <c r="N107" s="2898">
        <f>0.4525/N101</f>
        <v>0.29966887417218546</v>
      </c>
    </row>
    <row r="108" spans="1:14">
      <c r="A108" s="3279"/>
      <c r="B108" s="3105" t="s">
        <v>2982</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280"/>
      <c r="B109" s="3106"/>
      <c r="C109" s="2900">
        <f>(-0.163*(C108^2)-0.59*C108+7617)*(10^(-4))/C101</f>
        <v>0.5044370860927152</v>
      </c>
      <c r="D109" s="2900">
        <f>(-0.163*(D108^2)-0.59*D108+7617)*(10^(-4))/D101</f>
        <v>0.5044370860927152</v>
      </c>
      <c r="E109" s="2900">
        <f>(-0.161*(E108^2)-7.509*E108+6533)*(10^(-4))/E101</f>
        <v>0.43264900662251654</v>
      </c>
      <c r="F109" s="2900">
        <f>(-0.161*(F108^2)-7.509*F108+6533)*(10^(-4))/F101</f>
        <v>0.43264900662251654</v>
      </c>
      <c r="G109" s="2900">
        <f>(-0.161*(G108^2)-7.509*G108+6533)*(10^(-4))/G101</f>
        <v>0.43264900662251654</v>
      </c>
      <c r="H109" s="2900">
        <f>(-0.161*(H108^2)-7.509*H108+6533)*(10^(-4))/H101</f>
        <v>0.43264900662251654</v>
      </c>
      <c r="I109" s="2900">
        <f>(-0.161*(I108^2)-7.509*I108+6533)*(10^(-4))/I101</f>
        <v>0.43264900662251654</v>
      </c>
      <c r="J109" s="2900">
        <f>(-0.214*(J108^2)-21.991*J108+4665)*(10^(-4))/J101</f>
        <v>0.30894039735099338</v>
      </c>
      <c r="K109" s="2900">
        <f>(-0.214*(K108^2)-21.991*K108+4665)*(10^(-4))/K101</f>
        <v>0.30894039735099338</v>
      </c>
      <c r="L109" s="2900">
        <f>(-0.214*(L108^2)-21.991*L108+4665)*(10^(-4))/L101</f>
        <v>0.30894039735099338</v>
      </c>
      <c r="M109" s="2900">
        <f>(-0.214*(M108^2)-21.991*M108+4665)*(10^(-4))/M101</f>
        <v>0.30894039735099338</v>
      </c>
      <c r="N109" s="2900">
        <f>(-0.214*(N108^2)-21.991*N108+4665)*(10^(-4))/N101</f>
        <v>0.30894039735099338</v>
      </c>
    </row>
    <row r="110" spans="1:14">
      <c r="A110" s="3276" t="s">
        <v>2983</v>
      </c>
      <c r="B110" s="3276"/>
      <c r="C110" s="3276"/>
      <c r="D110" s="3276"/>
      <c r="E110" s="3276"/>
      <c r="F110" s="3276"/>
      <c r="G110" s="3276"/>
      <c r="H110" s="3276"/>
      <c r="I110" s="3276"/>
      <c r="J110" s="3276"/>
      <c r="K110" s="2903"/>
      <c r="L110" s="2903"/>
      <c r="M110" s="2903"/>
      <c r="N110" s="2903"/>
    </row>
    <row r="112" spans="1:14" ht="13.5" thickBot="1"/>
    <row r="113" spans="1:13" ht="25.5" thickBot="1">
      <c r="A113" s="903" t="s">
        <v>2984</v>
      </c>
      <c r="B113" s="1290">
        <f>G3</f>
        <v>1.51</v>
      </c>
      <c r="C113" s="904" t="s">
        <v>2985</v>
      </c>
      <c r="D113" s="905">
        <f>SUMPRODUCT((A115:A118=F113)*(B114:M114=H113)*B115:M118)</f>
        <v>0</v>
      </c>
      <c r="E113" s="2726" t="s">
        <v>2815</v>
      </c>
      <c r="F113" s="2905">
        <f>E2</f>
        <v>0</v>
      </c>
      <c r="G113" s="2726" t="s">
        <v>2816</v>
      </c>
      <c r="H113" s="2905">
        <f>G2</f>
        <v>0</v>
      </c>
      <c r="I113" s="2726"/>
      <c r="J113" s="2906"/>
      <c r="K113" s="2906"/>
      <c r="L113" s="2906"/>
      <c r="M113" s="2906"/>
    </row>
    <row r="114" spans="1:13">
      <c r="A114" s="908"/>
      <c r="B114" s="2907" t="s">
        <v>2986</v>
      </c>
      <c r="C114" s="2907" t="s">
        <v>2987</v>
      </c>
      <c r="D114" s="2907" t="s">
        <v>2988</v>
      </c>
      <c r="E114" s="2908" t="s">
        <v>2989</v>
      </c>
      <c r="F114" s="2908" t="s">
        <v>2990</v>
      </c>
      <c r="G114" s="2908" t="s">
        <v>2991</v>
      </c>
      <c r="H114" s="2909" t="s">
        <v>2992</v>
      </c>
      <c r="I114" s="2909" t="s">
        <v>2993</v>
      </c>
      <c r="J114" s="2910" t="s">
        <v>2994</v>
      </c>
      <c r="K114" s="2910" t="s">
        <v>2995</v>
      </c>
      <c r="L114" s="2910" t="s">
        <v>2996</v>
      </c>
      <c r="M114" s="2911" t="s">
        <v>2997</v>
      </c>
    </row>
    <row r="115" spans="1:13">
      <c r="A115" s="909" t="s">
        <v>2880</v>
      </c>
      <c r="B115" s="910">
        <f>ROUND(0.9335-0.0094*B113,4)</f>
        <v>0.91930000000000001</v>
      </c>
      <c r="C115" s="910">
        <f>B115</f>
        <v>0.91930000000000001</v>
      </c>
      <c r="D115" s="910">
        <f>ROUND(0.8331-0.0109*B113,4)</f>
        <v>0.81659999999999999</v>
      </c>
      <c r="E115" s="910">
        <f>D115</f>
        <v>0.81659999999999999</v>
      </c>
      <c r="F115" s="910">
        <f>E115</f>
        <v>0.81659999999999999</v>
      </c>
      <c r="G115" s="910">
        <f>F115</f>
        <v>0.81659999999999999</v>
      </c>
      <c r="H115" s="910">
        <f>G115</f>
        <v>0.81659999999999999</v>
      </c>
      <c r="I115" s="910">
        <f>ROUND(0.689-0.0155*B113,4)</f>
        <v>0.66559999999999997</v>
      </c>
      <c r="J115" s="910">
        <f t="shared" ref="J115:M118" si="33">I115</f>
        <v>0.66559999999999997</v>
      </c>
      <c r="K115" s="910">
        <f t="shared" si="33"/>
        <v>0.66559999999999997</v>
      </c>
      <c r="L115" s="910">
        <f t="shared" si="33"/>
        <v>0.66559999999999997</v>
      </c>
      <c r="M115" s="911">
        <f t="shared" si="33"/>
        <v>0.66559999999999997</v>
      </c>
    </row>
    <row r="116" spans="1:13">
      <c r="A116" s="909" t="s">
        <v>2881</v>
      </c>
      <c r="B116" s="910">
        <f>ROUND(0.949-0.012*B113,4)</f>
        <v>0.93089999999999995</v>
      </c>
      <c r="C116" s="910">
        <f>B116</f>
        <v>0.93089999999999995</v>
      </c>
      <c r="D116" s="910">
        <f>ROUND(0.8567-0.013*B113,4)</f>
        <v>0.83709999999999996</v>
      </c>
      <c r="E116" s="910">
        <f t="shared" ref="E116:H117" si="34">D116</f>
        <v>0.83709999999999996</v>
      </c>
      <c r="F116" s="910">
        <f t="shared" si="34"/>
        <v>0.83709999999999996</v>
      </c>
      <c r="G116" s="910">
        <f t="shared" si="34"/>
        <v>0.83709999999999996</v>
      </c>
      <c r="H116" s="910">
        <f t="shared" si="34"/>
        <v>0.83709999999999996</v>
      </c>
      <c r="I116" s="910">
        <f>ROUND(0.7694-0.014*B113,4)</f>
        <v>0.74829999999999997</v>
      </c>
      <c r="J116" s="910">
        <f t="shared" si="33"/>
        <v>0.74829999999999997</v>
      </c>
      <c r="K116" s="910">
        <f t="shared" si="33"/>
        <v>0.74829999999999997</v>
      </c>
      <c r="L116" s="910">
        <f t="shared" si="33"/>
        <v>0.74829999999999997</v>
      </c>
      <c r="M116" s="911">
        <f t="shared" si="33"/>
        <v>0.74829999999999997</v>
      </c>
    </row>
    <row r="117" spans="1:13">
      <c r="A117" s="909" t="s">
        <v>2882</v>
      </c>
      <c r="B117" s="910">
        <f>ROUND(0.8808-0.006*B113,4)</f>
        <v>0.87170000000000003</v>
      </c>
      <c r="C117" s="910">
        <f>B117</f>
        <v>0.87170000000000003</v>
      </c>
      <c r="D117" s="910">
        <f>ROUND(0.8748-0.008*B113,4)</f>
        <v>0.86270000000000002</v>
      </c>
      <c r="E117" s="910">
        <f t="shared" si="34"/>
        <v>0.86270000000000002</v>
      </c>
      <c r="F117" s="910">
        <f t="shared" si="34"/>
        <v>0.86270000000000002</v>
      </c>
      <c r="G117" s="910">
        <f t="shared" si="34"/>
        <v>0.86270000000000002</v>
      </c>
      <c r="H117" s="910">
        <f t="shared" si="34"/>
        <v>0.86270000000000002</v>
      </c>
      <c r="I117" s="910">
        <f>ROUND(0.7412-0.0095*B113,4)</f>
        <v>0.72689999999999999</v>
      </c>
      <c r="J117" s="910">
        <f t="shared" si="33"/>
        <v>0.72689999999999999</v>
      </c>
      <c r="K117" s="910">
        <f t="shared" si="33"/>
        <v>0.72689999999999999</v>
      </c>
      <c r="L117" s="910">
        <f t="shared" si="33"/>
        <v>0.72689999999999999</v>
      </c>
      <c r="M117" s="911">
        <f t="shared" si="33"/>
        <v>0.72689999999999999</v>
      </c>
    </row>
    <row r="118" spans="1:13" ht="13.5" thickBot="1">
      <c r="A118" s="714" t="s">
        <v>2883</v>
      </c>
      <c r="B118" s="912">
        <f>ROUND(0.7275-0.01*B113,4)</f>
        <v>0.71240000000000003</v>
      </c>
      <c r="C118" s="912">
        <f>B118</f>
        <v>0.71240000000000003</v>
      </c>
      <c r="D118" s="912">
        <f>ROUND(0.7043-0.012*B113,4)</f>
        <v>0.68620000000000003</v>
      </c>
      <c r="E118" s="912">
        <f>D118</f>
        <v>0.68620000000000003</v>
      </c>
      <c r="F118" s="912">
        <f>E118</f>
        <v>0.68620000000000003</v>
      </c>
      <c r="G118" s="912">
        <f>ROUND(0.6299-0.0122*B113,4)</f>
        <v>0.61150000000000004</v>
      </c>
      <c r="H118" s="912">
        <f>G118</f>
        <v>0.61150000000000004</v>
      </c>
      <c r="I118" s="912">
        <f>ROUND(0.5667-0.0136*B113,4)</f>
        <v>0.54620000000000002</v>
      </c>
      <c r="J118" s="912">
        <f t="shared" si="33"/>
        <v>0.54620000000000002</v>
      </c>
      <c r="K118" s="912">
        <f t="shared" si="33"/>
        <v>0.54620000000000002</v>
      </c>
      <c r="L118" s="912">
        <f t="shared" si="33"/>
        <v>0.54620000000000002</v>
      </c>
      <c r="M118" s="913">
        <f t="shared" si="33"/>
        <v>0.54620000000000002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93" t="s">
        <v>183</v>
      </c>
      <c r="B18" s="882" t="s">
        <v>560</v>
      </c>
      <c r="C18" s="883" t="s">
        <v>561</v>
      </c>
      <c r="D18" s="884"/>
      <c r="E18" s="882">
        <v>1</v>
      </c>
      <c r="F18" s="885" t="s">
        <v>562</v>
      </c>
      <c r="G18" s="886"/>
      <c r="H18" s="878"/>
      <c r="I18" s="878"/>
    </row>
    <row r="19" spans="1:9" s="887" customFormat="1" ht="19.5" customHeight="1">
      <c r="A19" s="3293"/>
      <c r="B19" s="3293" t="s">
        <v>563</v>
      </c>
      <c r="C19" s="883" t="s">
        <v>564</v>
      </c>
      <c r="D19" s="884"/>
      <c r="E19" s="882">
        <v>0.9</v>
      </c>
      <c r="F19" s="885" t="s">
        <v>565</v>
      </c>
      <c r="G19" s="886"/>
      <c r="H19" s="878"/>
      <c r="I19" s="878"/>
    </row>
    <row r="20" spans="1:9" s="887" customFormat="1" ht="19.5" customHeight="1">
      <c r="A20" s="3293"/>
      <c r="B20" s="3293"/>
      <c r="C20" s="883" t="s">
        <v>566</v>
      </c>
      <c r="D20" s="884"/>
      <c r="E20" s="882">
        <v>1.1000000000000001</v>
      </c>
      <c r="F20" s="885" t="s">
        <v>567</v>
      </c>
      <c r="G20" s="886"/>
      <c r="H20" s="878"/>
      <c r="I20" s="878"/>
    </row>
    <row r="21" spans="1:9" s="887" customFormat="1" ht="19.5" customHeight="1">
      <c r="A21" s="3293"/>
      <c r="B21" s="3293"/>
      <c r="C21" s="883" t="s">
        <v>568</v>
      </c>
      <c r="D21" s="884"/>
      <c r="E21" s="882">
        <v>0.8</v>
      </c>
      <c r="F21" s="885" t="s">
        <v>569</v>
      </c>
      <c r="G21" s="886"/>
      <c r="H21" s="878"/>
      <c r="I21" s="878"/>
    </row>
    <row r="22" spans="1:9" s="887" customFormat="1" ht="19.5" customHeight="1">
      <c r="A22" s="3293"/>
      <c r="B22" s="3293"/>
      <c r="C22" s="883" t="s">
        <v>570</v>
      </c>
      <c r="D22" s="884"/>
      <c r="E22" s="882">
        <v>0.5</v>
      </c>
      <c r="F22" s="885"/>
      <c r="G22" s="886"/>
      <c r="H22" s="878"/>
      <c r="I22" s="878"/>
    </row>
    <row r="23" spans="1:9" s="887" customFormat="1" ht="19.5" customHeight="1">
      <c r="A23" s="3293" t="s">
        <v>184</v>
      </c>
      <c r="B23" s="882" t="s">
        <v>560</v>
      </c>
      <c r="C23" s="883" t="s">
        <v>571</v>
      </c>
      <c r="D23" s="884"/>
      <c r="E23" s="882">
        <v>1</v>
      </c>
      <c r="F23" s="885" t="s">
        <v>572</v>
      </c>
      <c r="G23" s="886"/>
      <c r="H23" s="878"/>
      <c r="I23" s="878"/>
    </row>
    <row r="24" spans="1:9" s="887" customFormat="1" ht="19.5" customHeight="1">
      <c r="A24" s="3293"/>
      <c r="B24" s="3293" t="s">
        <v>563</v>
      </c>
      <c r="C24" s="883" t="s">
        <v>573</v>
      </c>
      <c r="D24" s="884"/>
      <c r="E24" s="882">
        <v>0.5</v>
      </c>
      <c r="F24" s="885"/>
      <c r="G24" s="886"/>
      <c r="H24" s="878"/>
      <c r="I24" s="878"/>
    </row>
    <row r="25" spans="1:9" s="887" customFormat="1" ht="19.5" customHeight="1">
      <c r="A25" s="3293"/>
      <c r="B25" s="3293"/>
      <c r="C25" s="883" t="s">
        <v>574</v>
      </c>
      <c r="D25" s="884"/>
      <c r="E25" s="882">
        <v>1.1000000000000001</v>
      </c>
      <c r="F25" s="885"/>
      <c r="G25" s="886"/>
      <c r="H25" s="878"/>
      <c r="I25" s="878"/>
    </row>
    <row r="26" spans="1:9" s="887" customFormat="1" ht="19.5" customHeight="1">
      <c r="A26" s="3293"/>
      <c r="B26" s="3293"/>
      <c r="C26" s="883" t="s">
        <v>575</v>
      </c>
      <c r="D26" s="884"/>
      <c r="E26" s="882">
        <v>1.1000000000000001</v>
      </c>
      <c r="F26" s="885"/>
      <c r="G26" s="886"/>
      <c r="H26" s="878"/>
      <c r="I26" s="878"/>
    </row>
    <row r="27" spans="1:9" s="887" customFormat="1" ht="19.5" customHeight="1">
      <c r="A27" s="3293"/>
      <c r="B27" s="3293"/>
      <c r="C27" s="883" t="s">
        <v>576</v>
      </c>
      <c r="D27" s="884"/>
      <c r="E27" s="882">
        <v>0.9</v>
      </c>
      <c r="F27" s="885" t="s">
        <v>577</v>
      </c>
      <c r="G27" s="886"/>
      <c r="H27" s="878"/>
      <c r="I27" s="878"/>
    </row>
    <row r="28" spans="1:9" s="887" customFormat="1" ht="19.5" customHeight="1">
      <c r="A28" s="3293"/>
      <c r="B28" s="3293"/>
      <c r="C28" s="883" t="s">
        <v>578</v>
      </c>
      <c r="D28" s="884"/>
      <c r="E28" s="882">
        <v>0.9</v>
      </c>
      <c r="F28" s="885" t="s">
        <v>579</v>
      </c>
      <c r="G28" s="886"/>
      <c r="H28" s="878"/>
      <c r="I28" s="878"/>
    </row>
    <row r="29" spans="1:9" s="887" customFormat="1" ht="19.5" customHeight="1">
      <c r="A29" s="3293"/>
      <c r="B29" s="3293"/>
      <c r="C29" s="883" t="s">
        <v>580</v>
      </c>
      <c r="D29" s="884"/>
      <c r="E29" s="882">
        <v>0.9</v>
      </c>
      <c r="F29" s="885" t="s">
        <v>581</v>
      </c>
      <c r="G29" s="886"/>
      <c r="H29" s="878"/>
      <c r="I29" s="878"/>
    </row>
    <row r="30" spans="1:9" s="887" customFormat="1" ht="19.5" customHeight="1">
      <c r="A30" s="3293"/>
      <c r="B30" s="3293"/>
      <c r="C30" s="883" t="s">
        <v>582</v>
      </c>
      <c r="D30" s="884"/>
      <c r="E30" s="882">
        <v>0.9</v>
      </c>
      <c r="F30" s="885" t="s">
        <v>583</v>
      </c>
      <c r="G30" s="886"/>
      <c r="H30" s="878"/>
      <c r="I30" s="878"/>
    </row>
    <row r="31" spans="1:9" s="887" customFormat="1" ht="19.5" customHeight="1">
      <c r="A31" s="3293"/>
      <c r="B31" s="3293"/>
      <c r="C31" s="883" t="s">
        <v>584</v>
      </c>
      <c r="D31" s="884"/>
      <c r="E31" s="882">
        <v>0.8</v>
      </c>
      <c r="F31" s="885" t="s">
        <v>585</v>
      </c>
      <c r="G31" s="886"/>
      <c r="H31" s="878"/>
      <c r="I31" s="878"/>
    </row>
    <row r="32" spans="1:9" s="887" customFormat="1" ht="19.5" customHeight="1">
      <c r="A32" s="3293"/>
      <c r="B32" s="3293"/>
      <c r="C32" s="883" t="s">
        <v>586</v>
      </c>
      <c r="D32" s="884"/>
      <c r="E32" s="882">
        <v>0.8</v>
      </c>
      <c r="F32" s="885" t="s">
        <v>587</v>
      </c>
      <c r="G32" s="886"/>
      <c r="H32" s="878"/>
      <c r="I32" s="878"/>
    </row>
    <row r="33" spans="1:9" s="887" customFormat="1" ht="19.5" customHeight="1">
      <c r="A33" s="3293" t="s">
        <v>185</v>
      </c>
      <c r="B33" s="882" t="s">
        <v>560</v>
      </c>
      <c r="C33" s="883" t="s">
        <v>588</v>
      </c>
      <c r="D33" s="884"/>
      <c r="E33" s="882">
        <v>1</v>
      </c>
      <c r="F33" s="885" t="s">
        <v>589</v>
      </c>
      <c r="G33" s="886"/>
      <c r="H33" s="878"/>
      <c r="I33" s="878"/>
    </row>
    <row r="34" spans="1:9" s="887" customFormat="1" ht="19.5" customHeight="1">
      <c r="A34" s="3293"/>
      <c r="B34" s="882" t="s">
        <v>563</v>
      </c>
      <c r="C34" s="883" t="s">
        <v>590</v>
      </c>
      <c r="D34" s="884"/>
      <c r="E34" s="882">
        <v>1.5</v>
      </c>
      <c r="F34" s="885" t="s">
        <v>591</v>
      </c>
      <c r="G34" s="886"/>
      <c r="H34" s="878"/>
      <c r="I34" s="878"/>
    </row>
    <row r="35" spans="1:9" s="887" customFormat="1" ht="19.5" customHeight="1">
      <c r="A35" s="3293" t="s">
        <v>186</v>
      </c>
      <c r="B35" s="882" t="s">
        <v>560</v>
      </c>
      <c r="C35" s="883" t="s">
        <v>592</v>
      </c>
      <c r="D35" s="884"/>
      <c r="E35" s="882">
        <v>1</v>
      </c>
      <c r="F35" s="885" t="s">
        <v>593</v>
      </c>
      <c r="G35" s="886"/>
      <c r="H35" s="878"/>
      <c r="I35" s="878"/>
    </row>
    <row r="36" spans="1:9" s="887" customFormat="1" ht="19.5" customHeight="1">
      <c r="A36" s="3293"/>
      <c r="B36" s="3293" t="s">
        <v>563</v>
      </c>
      <c r="C36" s="883" t="s">
        <v>594</v>
      </c>
      <c r="D36" s="884"/>
      <c r="E36" s="882">
        <v>1</v>
      </c>
      <c r="F36" s="885" t="s">
        <v>595</v>
      </c>
      <c r="G36" s="886"/>
      <c r="H36" s="878"/>
      <c r="I36" s="878"/>
    </row>
    <row r="37" spans="1:9" s="887" customFormat="1" ht="19.5" customHeight="1">
      <c r="A37" s="3293"/>
      <c r="B37" s="3293"/>
      <c r="C37" s="883" t="s">
        <v>596</v>
      </c>
      <c r="D37" s="884"/>
      <c r="E37" s="882">
        <v>1.5</v>
      </c>
      <c r="F37" s="885" t="s">
        <v>597</v>
      </c>
      <c r="G37" s="886"/>
      <c r="H37" s="878"/>
      <c r="I37" s="878"/>
    </row>
    <row r="38" spans="1:9" s="887" customFormat="1" ht="19.5" customHeight="1">
      <c r="A38" s="3293"/>
      <c r="B38" s="3293"/>
      <c r="C38" s="883" t="s">
        <v>598</v>
      </c>
      <c r="D38" s="884"/>
      <c r="E38" s="882">
        <v>1</v>
      </c>
      <c r="F38" s="885" t="s">
        <v>599</v>
      </c>
      <c r="G38" s="886"/>
      <c r="H38" s="878"/>
      <c r="I38" s="878"/>
    </row>
    <row r="39" spans="1:9" s="887" customFormat="1" ht="19.5" customHeight="1">
      <c r="A39" s="3293"/>
      <c r="B39" s="329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93" t="s">
        <v>614</v>
      </c>
      <c r="C61" s="818" t="s">
        <v>615</v>
      </c>
      <c r="D61" s="818" t="s">
        <v>616</v>
      </c>
      <c r="E61" s="895">
        <v>0.5</v>
      </c>
      <c r="F61" s="882">
        <v>80</v>
      </c>
    </row>
    <row r="62" spans="1:8" s="878" customFormat="1" ht="24">
      <c r="A62" s="882">
        <v>2</v>
      </c>
      <c r="B62" s="3293"/>
      <c r="C62" s="818" t="s">
        <v>617</v>
      </c>
      <c r="D62" s="818" t="s">
        <v>618</v>
      </c>
      <c r="E62" s="895">
        <v>0.5</v>
      </c>
      <c r="F62" s="882">
        <v>80</v>
      </c>
    </row>
    <row r="63" spans="1:8" s="878" customFormat="1" ht="36">
      <c r="A63" s="882">
        <v>3</v>
      </c>
      <c r="B63" s="3293"/>
      <c r="C63" s="818" t="s">
        <v>619</v>
      </c>
      <c r="D63" s="818" t="s">
        <v>620</v>
      </c>
      <c r="E63" s="895">
        <v>0.5</v>
      </c>
      <c r="F63" s="882">
        <v>80</v>
      </c>
    </row>
    <row r="64" spans="1:8" s="878" customFormat="1" ht="36">
      <c r="A64" s="882">
        <v>4</v>
      </c>
      <c r="B64" s="3293"/>
      <c r="C64" s="818" t="s">
        <v>621</v>
      </c>
      <c r="D64" s="818" t="s">
        <v>622</v>
      </c>
      <c r="E64" s="895">
        <v>0.4</v>
      </c>
      <c r="F64" s="882">
        <v>60</v>
      </c>
    </row>
    <row r="65" spans="1:6" s="878" customFormat="1" ht="36">
      <c r="A65" s="882">
        <v>5</v>
      </c>
      <c r="B65" s="3293"/>
      <c r="C65" s="818" t="s">
        <v>623</v>
      </c>
      <c r="D65" s="818" t="s">
        <v>624</v>
      </c>
      <c r="E65" s="895">
        <v>0.2</v>
      </c>
      <c r="F65" s="882">
        <v>30</v>
      </c>
    </row>
    <row r="66" spans="1:6" s="878" customFormat="1" ht="36">
      <c r="A66" s="882">
        <v>6</v>
      </c>
      <c r="B66" s="3293"/>
      <c r="C66" s="818" t="s">
        <v>625</v>
      </c>
      <c r="D66" s="818" t="s">
        <v>626</v>
      </c>
      <c r="E66" s="895">
        <v>0.3</v>
      </c>
      <c r="F66" s="882">
        <v>50</v>
      </c>
    </row>
    <row r="67" spans="1:6" s="878" customFormat="1" ht="36">
      <c r="A67" s="882">
        <v>7</v>
      </c>
      <c r="B67" s="3293"/>
      <c r="C67" s="818" t="s">
        <v>627</v>
      </c>
      <c r="D67" s="818" t="s">
        <v>628</v>
      </c>
      <c r="E67" s="895">
        <v>0.2</v>
      </c>
      <c r="F67" s="882">
        <v>30</v>
      </c>
    </row>
    <row r="68" spans="1:6" s="878" customFormat="1" ht="36">
      <c r="A68" s="882">
        <v>8</v>
      </c>
      <c r="B68" s="3293"/>
      <c r="C68" s="818" t="s">
        <v>629</v>
      </c>
      <c r="D68" s="818" t="s">
        <v>630</v>
      </c>
      <c r="E68" s="895">
        <v>0.2</v>
      </c>
      <c r="F68" s="882">
        <v>30</v>
      </c>
    </row>
    <row r="69" spans="1:6" s="878" customFormat="1" ht="36">
      <c r="A69" s="882">
        <v>9</v>
      </c>
      <c r="B69" s="3293"/>
      <c r="C69" s="818" t="s">
        <v>631</v>
      </c>
      <c r="D69" s="818" t="s">
        <v>632</v>
      </c>
      <c r="E69" s="895">
        <v>0.2</v>
      </c>
      <c r="F69" s="882">
        <v>30</v>
      </c>
    </row>
    <row r="70" spans="1:6" s="878" customFormat="1" ht="48">
      <c r="A70" s="882">
        <v>10</v>
      </c>
      <c r="B70" s="3293"/>
      <c r="C70" s="818" t="s">
        <v>633</v>
      </c>
      <c r="D70" s="818" t="s">
        <v>634</v>
      </c>
      <c r="E70" s="895">
        <v>0.2</v>
      </c>
      <c r="F70" s="882">
        <v>30</v>
      </c>
    </row>
    <row r="71" spans="1:6" s="878" customFormat="1" ht="48">
      <c r="A71" s="882">
        <v>11</v>
      </c>
      <c r="B71" s="3293"/>
      <c r="C71" s="818" t="s">
        <v>635</v>
      </c>
      <c r="D71" s="818" t="s">
        <v>636</v>
      </c>
      <c r="E71" s="895">
        <v>0.2</v>
      </c>
      <c r="F71" s="882">
        <v>30</v>
      </c>
    </row>
    <row r="72" spans="1:6" s="878" customFormat="1" ht="36">
      <c r="A72" s="882">
        <v>12</v>
      </c>
      <c r="B72" s="3293"/>
      <c r="C72" s="818" t="s">
        <v>637</v>
      </c>
      <c r="D72" s="818" t="s">
        <v>638</v>
      </c>
      <c r="E72" s="895">
        <v>0.5</v>
      </c>
      <c r="F72" s="882">
        <v>80</v>
      </c>
    </row>
    <row r="73" spans="1:6" s="878" customFormat="1" ht="24">
      <c r="A73" s="882">
        <v>13</v>
      </c>
      <c r="B73" s="3293"/>
      <c r="C73" s="818" t="s">
        <v>639</v>
      </c>
      <c r="D73" s="818" t="s">
        <v>640</v>
      </c>
      <c r="E73" s="895">
        <v>0.4</v>
      </c>
      <c r="F73" s="882">
        <v>60</v>
      </c>
    </row>
    <row r="74" spans="1:6" s="878" customFormat="1" ht="24">
      <c r="A74" s="882">
        <v>14</v>
      </c>
      <c r="B74" s="3293"/>
      <c r="C74" s="818" t="s">
        <v>641</v>
      </c>
      <c r="D74" s="818" t="s">
        <v>642</v>
      </c>
      <c r="E74" s="895">
        <v>0.2</v>
      </c>
      <c r="F74" s="882">
        <v>30</v>
      </c>
    </row>
    <row r="75" spans="1:6" s="878" customFormat="1" ht="24">
      <c r="A75" s="882">
        <v>15</v>
      </c>
      <c r="B75" s="3293"/>
      <c r="C75" s="818" t="s">
        <v>643</v>
      </c>
      <c r="D75" s="818" t="s">
        <v>644</v>
      </c>
      <c r="E75" s="895">
        <v>0.2</v>
      </c>
      <c r="F75" s="882">
        <v>30</v>
      </c>
    </row>
    <row r="76" spans="1:6" s="878" customFormat="1" ht="24">
      <c r="A76" s="882">
        <v>16</v>
      </c>
      <c r="B76" s="3293" t="s">
        <v>645</v>
      </c>
      <c r="C76" s="818" t="s">
        <v>646</v>
      </c>
      <c r="D76" s="818" t="s">
        <v>647</v>
      </c>
      <c r="E76" s="895">
        <v>0.5</v>
      </c>
      <c r="F76" s="882">
        <v>80</v>
      </c>
    </row>
    <row r="77" spans="1:6" s="878" customFormat="1" ht="24">
      <c r="A77" s="882">
        <v>17</v>
      </c>
      <c r="B77" s="3293"/>
      <c r="C77" s="818" t="s">
        <v>648</v>
      </c>
      <c r="D77" s="818" t="s">
        <v>649</v>
      </c>
      <c r="E77" s="895">
        <v>0.5</v>
      </c>
      <c r="F77" s="882">
        <v>80</v>
      </c>
    </row>
    <row r="78" spans="1:6" s="878" customFormat="1" ht="24">
      <c r="A78" s="882">
        <v>18</v>
      </c>
      <c r="B78" s="3293"/>
      <c r="C78" s="818" t="s">
        <v>650</v>
      </c>
      <c r="D78" s="818" t="s">
        <v>651</v>
      </c>
      <c r="E78" s="895">
        <v>0.2</v>
      </c>
      <c r="F78" s="882">
        <v>30</v>
      </c>
    </row>
    <row r="79" spans="1:6" s="878" customFormat="1" ht="24">
      <c r="A79" s="882">
        <v>19</v>
      </c>
      <c r="B79" s="3293"/>
      <c r="C79" s="818" t="s">
        <v>652</v>
      </c>
      <c r="D79" s="818" t="s">
        <v>653</v>
      </c>
      <c r="E79" s="895">
        <v>0.5</v>
      </c>
      <c r="F79" s="882">
        <v>80</v>
      </c>
    </row>
    <row r="80" spans="1:6" s="878" customFormat="1" ht="36">
      <c r="A80" s="882">
        <v>20</v>
      </c>
      <c r="B80" s="3293"/>
      <c r="C80" s="818" t="s">
        <v>654</v>
      </c>
      <c r="D80" s="818" t="s">
        <v>655</v>
      </c>
      <c r="E80" s="895">
        <v>0.2</v>
      </c>
      <c r="F80" s="882">
        <v>30</v>
      </c>
    </row>
    <row r="81" spans="1:6" s="878" customFormat="1" ht="36">
      <c r="A81" s="882">
        <v>21</v>
      </c>
      <c r="B81" s="3293"/>
      <c r="C81" s="818" t="s">
        <v>656</v>
      </c>
      <c r="D81" s="818" t="s">
        <v>657</v>
      </c>
      <c r="E81" s="895">
        <v>0.2</v>
      </c>
      <c r="F81" s="882">
        <v>30</v>
      </c>
    </row>
    <row r="82" spans="1:6" s="878" customFormat="1" ht="48">
      <c r="A82" s="882">
        <v>22</v>
      </c>
      <c r="B82" s="3293"/>
      <c r="C82" s="818" t="s">
        <v>658</v>
      </c>
      <c r="D82" s="818" t="s">
        <v>659</v>
      </c>
      <c r="E82" s="895">
        <v>0.2</v>
      </c>
      <c r="F82" s="882">
        <v>30</v>
      </c>
    </row>
    <row r="83" spans="1:6" s="878" customFormat="1" ht="48">
      <c r="A83" s="882">
        <v>23</v>
      </c>
      <c r="B83" s="3293"/>
      <c r="C83" s="818" t="s">
        <v>660</v>
      </c>
      <c r="D83" s="818" t="s">
        <v>661</v>
      </c>
      <c r="E83" s="895">
        <v>0.2</v>
      </c>
      <c r="F83" s="882">
        <v>30</v>
      </c>
    </row>
    <row r="84" spans="1:6" s="878" customFormat="1" ht="36">
      <c r="A84" s="882">
        <v>24</v>
      </c>
      <c r="B84" s="3293"/>
      <c r="C84" s="818" t="s">
        <v>662</v>
      </c>
      <c r="D84" s="818" t="s">
        <v>663</v>
      </c>
      <c r="E84" s="895">
        <v>0.2</v>
      </c>
      <c r="F84" s="882">
        <v>30</v>
      </c>
    </row>
    <row r="85" spans="1:6" s="878" customFormat="1" ht="36">
      <c r="A85" s="882">
        <v>25</v>
      </c>
      <c r="B85" s="3293"/>
      <c r="C85" s="818" t="s">
        <v>664</v>
      </c>
      <c r="D85" s="818" t="s">
        <v>665</v>
      </c>
      <c r="E85" s="895">
        <v>0.5</v>
      </c>
      <c r="F85" s="882">
        <v>80</v>
      </c>
    </row>
    <row r="86" spans="1:6" s="878" customFormat="1" ht="36">
      <c r="A86" s="882">
        <v>26</v>
      </c>
      <c r="B86" s="3293"/>
      <c r="C86" s="818" t="s">
        <v>666</v>
      </c>
      <c r="D86" s="818" t="s">
        <v>667</v>
      </c>
      <c r="E86" s="895">
        <v>0.2</v>
      </c>
      <c r="F86" s="882">
        <v>30</v>
      </c>
    </row>
    <row r="87" spans="1:6" s="878" customFormat="1" ht="36">
      <c r="A87" s="882">
        <v>27</v>
      </c>
      <c r="B87" s="3293"/>
      <c r="C87" s="818" t="s">
        <v>668</v>
      </c>
      <c r="D87" s="818" t="s">
        <v>669</v>
      </c>
      <c r="E87" s="895">
        <v>0.2</v>
      </c>
      <c r="F87" s="882">
        <v>30</v>
      </c>
    </row>
    <row r="88" spans="1:6" s="878" customFormat="1" ht="36">
      <c r="A88" s="882">
        <v>28</v>
      </c>
      <c r="B88" s="3293"/>
      <c r="C88" s="818" t="s">
        <v>670</v>
      </c>
      <c r="D88" s="818" t="s">
        <v>671</v>
      </c>
      <c r="E88" s="895">
        <v>0.2</v>
      </c>
      <c r="F88" s="882">
        <v>30</v>
      </c>
    </row>
    <row r="89" spans="1:6" s="878" customFormat="1" ht="24">
      <c r="A89" s="882">
        <v>29</v>
      </c>
      <c r="B89" s="3293"/>
      <c r="C89" s="818" t="s">
        <v>672</v>
      </c>
      <c r="D89" s="818" t="s">
        <v>673</v>
      </c>
      <c r="E89" s="895">
        <v>0.2</v>
      </c>
      <c r="F89" s="882">
        <v>30</v>
      </c>
    </row>
    <row r="90" spans="1:6" s="878" customFormat="1" ht="24">
      <c r="A90" s="882">
        <v>30</v>
      </c>
      <c r="B90" s="3293"/>
      <c r="C90" s="818" t="s">
        <v>674</v>
      </c>
      <c r="D90" s="818" t="s">
        <v>675</v>
      </c>
      <c r="E90" s="895">
        <v>0.2</v>
      </c>
      <c r="F90" s="882">
        <v>30</v>
      </c>
    </row>
    <row r="91" spans="1:6" s="878" customFormat="1" ht="36">
      <c r="A91" s="882">
        <v>31</v>
      </c>
      <c r="B91" s="3293"/>
      <c r="C91" s="818" t="s">
        <v>676</v>
      </c>
      <c r="D91" s="818" t="s">
        <v>677</v>
      </c>
      <c r="E91" s="895">
        <v>0.2</v>
      </c>
      <c r="F91" s="882">
        <v>30</v>
      </c>
    </row>
    <row r="92" spans="1:6" s="878" customFormat="1" ht="24">
      <c r="A92" s="882">
        <v>32</v>
      </c>
      <c r="B92" s="3293" t="s">
        <v>678</v>
      </c>
      <c r="C92" s="882" t="s">
        <v>679</v>
      </c>
      <c r="D92" s="818" t="s">
        <v>680</v>
      </c>
      <c r="E92" s="895">
        <v>0.2</v>
      </c>
      <c r="F92" s="882">
        <v>30</v>
      </c>
    </row>
    <row r="93" spans="1:6" s="878" customFormat="1" ht="36">
      <c r="A93" s="882">
        <v>33</v>
      </c>
      <c r="B93" s="3293"/>
      <c r="C93" s="882" t="s">
        <v>681</v>
      </c>
      <c r="D93" s="818" t="s">
        <v>682</v>
      </c>
      <c r="E93" s="895">
        <v>0.2</v>
      </c>
      <c r="F93" s="882">
        <v>30</v>
      </c>
    </row>
    <row r="94" spans="1:6" s="878" customFormat="1" ht="48">
      <c r="A94" s="882">
        <v>34</v>
      </c>
      <c r="B94" s="3293"/>
      <c r="C94" s="882" t="s">
        <v>683</v>
      </c>
      <c r="D94" s="818" t="s">
        <v>684</v>
      </c>
      <c r="E94" s="895">
        <v>0.2</v>
      </c>
      <c r="F94" s="882">
        <v>30</v>
      </c>
    </row>
    <row r="95" spans="1:6" s="878" customFormat="1" ht="36">
      <c r="A95" s="882">
        <v>35</v>
      </c>
      <c r="B95" s="3293"/>
      <c r="C95" s="882" t="s">
        <v>685</v>
      </c>
      <c r="D95" s="818" t="s">
        <v>686</v>
      </c>
      <c r="E95" s="895">
        <v>0.2</v>
      </c>
      <c r="F95" s="882">
        <v>30</v>
      </c>
    </row>
    <row r="96" spans="1:6" s="878" customFormat="1" ht="48">
      <c r="A96" s="882">
        <v>36</v>
      </c>
      <c r="B96" s="3293"/>
      <c r="C96" s="818" t="s">
        <v>687</v>
      </c>
      <c r="D96" s="818" t="s">
        <v>688</v>
      </c>
      <c r="E96" s="895">
        <v>0.2</v>
      </c>
      <c r="F96" s="882">
        <v>30</v>
      </c>
    </row>
    <row r="97" spans="1:6" s="878" customFormat="1" ht="36">
      <c r="A97" s="882">
        <v>37</v>
      </c>
      <c r="B97" s="3293"/>
      <c r="C97" s="882" t="s">
        <v>689</v>
      </c>
      <c r="D97" s="818" t="s">
        <v>690</v>
      </c>
      <c r="E97" s="895">
        <v>0.2</v>
      </c>
      <c r="F97" s="882">
        <v>30</v>
      </c>
    </row>
    <row r="98" spans="1:6" s="878" customFormat="1" ht="36">
      <c r="A98" s="882">
        <v>38</v>
      </c>
      <c r="B98" s="3293"/>
      <c r="C98" s="882" t="s">
        <v>691</v>
      </c>
      <c r="D98" s="818" t="s">
        <v>692</v>
      </c>
      <c r="E98" s="895">
        <v>0.2</v>
      </c>
      <c r="F98" s="882">
        <v>30</v>
      </c>
    </row>
    <row r="99" spans="1:6" s="878" customFormat="1" ht="36">
      <c r="A99" s="882">
        <v>39</v>
      </c>
      <c r="B99" s="3293" t="s">
        <v>693</v>
      </c>
      <c r="C99" s="882" t="s">
        <v>694</v>
      </c>
      <c r="D99" s="818" t="s">
        <v>695</v>
      </c>
      <c r="E99" s="895">
        <v>0.3</v>
      </c>
      <c r="F99" s="882">
        <v>50</v>
      </c>
    </row>
    <row r="100" spans="1:6" s="878" customFormat="1" ht="24">
      <c r="A100" s="882">
        <v>40</v>
      </c>
      <c r="B100" s="3293"/>
      <c r="C100" s="882" t="s">
        <v>696</v>
      </c>
      <c r="D100" s="818" t="s">
        <v>697</v>
      </c>
      <c r="E100" s="895">
        <v>0.2</v>
      </c>
      <c r="F100" s="882">
        <v>30</v>
      </c>
    </row>
    <row r="101" spans="1:6" s="878" customFormat="1" ht="36">
      <c r="A101" s="882">
        <v>41</v>
      </c>
      <c r="B101" s="329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3" t="s">
        <v>708</v>
      </c>
      <c r="C105" s="882" t="s">
        <v>709</v>
      </c>
      <c r="D105" s="818" t="s">
        <v>710</v>
      </c>
      <c r="E105" s="895">
        <v>0.2</v>
      </c>
      <c r="F105" s="882">
        <v>30</v>
      </c>
    </row>
    <row r="106" spans="1:6" s="878" customFormat="1" ht="36">
      <c r="A106" s="882">
        <v>46</v>
      </c>
      <c r="B106" s="3293"/>
      <c r="C106" s="882" t="s">
        <v>711</v>
      </c>
      <c r="D106" s="818" t="s">
        <v>712</v>
      </c>
      <c r="E106" s="895">
        <v>0.2</v>
      </c>
      <c r="F106" s="882">
        <v>30</v>
      </c>
    </row>
    <row r="107" spans="1:6" s="878" customFormat="1" ht="36">
      <c r="A107" s="882">
        <v>47</v>
      </c>
      <c r="B107" s="3293" t="s">
        <v>713</v>
      </c>
      <c r="C107" s="882" t="s">
        <v>714</v>
      </c>
      <c r="D107" s="818" t="s">
        <v>715</v>
      </c>
      <c r="E107" s="895">
        <v>0.3</v>
      </c>
      <c r="F107" s="882">
        <v>50</v>
      </c>
    </row>
    <row r="108" spans="1:6" s="878" customFormat="1" ht="36">
      <c r="A108" s="882">
        <v>48</v>
      </c>
      <c r="B108" s="329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3" t="s">
        <v>724</v>
      </c>
      <c r="C111" s="882" t="s">
        <v>725</v>
      </c>
      <c r="D111" s="818" t="s">
        <v>726</v>
      </c>
      <c r="E111" s="895">
        <v>0.2</v>
      </c>
      <c r="F111" s="882">
        <v>30</v>
      </c>
    </row>
    <row r="112" spans="1:6" s="878" customFormat="1" ht="24">
      <c r="A112" s="882">
        <v>52</v>
      </c>
      <c r="B112" s="3293"/>
      <c r="C112" s="882" t="s">
        <v>727</v>
      </c>
      <c r="D112" s="818" t="s">
        <v>728</v>
      </c>
      <c r="E112" s="895">
        <v>0.2</v>
      </c>
      <c r="F112" s="882">
        <v>30</v>
      </c>
    </row>
    <row r="113" spans="1:6" s="878" customFormat="1" ht="24">
      <c r="A113" s="882">
        <v>53</v>
      </c>
      <c r="B113" s="329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3" t="s">
        <v>737</v>
      </c>
      <c r="C116" s="882" t="s">
        <v>738</v>
      </c>
      <c r="D116" s="818" t="s">
        <v>739</v>
      </c>
      <c r="E116" s="895">
        <v>0.2</v>
      </c>
      <c r="F116" s="882">
        <v>30</v>
      </c>
    </row>
    <row r="117" spans="1:6" ht="36">
      <c r="A117" s="882">
        <v>57</v>
      </c>
      <c r="B117" s="329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v>
      </c>
      <c r="B3" s="2991"/>
      <c r="C3" s="2991"/>
      <c r="D3" s="2991"/>
      <c r="E3" s="2991"/>
    </row>
    <row r="4" spans="1:5" ht="19.5" thickBot="1">
      <c r="A4" s="1964"/>
      <c r="B4" s="2989" t="s">
        <v>1630</v>
      </c>
      <c r="C4" s="2989"/>
      <c r="D4" s="2989"/>
      <c r="E4" s="1964"/>
    </row>
    <row r="5" spans="1:5" ht="16.5" thickTop="1">
      <c r="A5" s="1962"/>
      <c r="B5" s="2987" t="s">
        <v>1622</v>
      </c>
      <c r="C5" s="1965" t="s">
        <v>1623</v>
      </c>
      <c r="D5" s="1043">
        <f ca="1">结果表!H101</f>
        <v>300998</v>
      </c>
      <c r="E5" s="1962"/>
    </row>
    <row r="6" spans="1:5" ht="15.75">
      <c r="A6" s="1962"/>
      <c r="B6" s="2987"/>
      <c r="C6" s="1965" t="s">
        <v>1624</v>
      </c>
      <c r="D6" s="1043" t="str">
        <f ca="1">NUMBERSTRING(INT(D5*10000),2)&amp;"元整"</f>
        <v>叁拾亿零玖佰玖拾捌万元整</v>
      </c>
      <c r="E6" s="1962"/>
    </row>
    <row r="7" spans="1:5" ht="15.75">
      <c r="A7" s="1962"/>
      <c r="B7" s="2992"/>
      <c r="C7" s="1966" t="s">
        <v>1625</v>
      </c>
      <c r="D7" s="1044">
        <f ca="1">结果表!H102</f>
        <v>16088</v>
      </c>
      <c r="E7" s="1962"/>
    </row>
    <row r="8" spans="1:5" ht="15.75">
      <c r="A8" s="1962"/>
      <c r="B8" s="2993" t="str">
        <f>结果表!E103</f>
        <v>2.估价师知悉的法定优先受偿款</v>
      </c>
      <c r="C8" s="1967" t="s">
        <v>1626</v>
      </c>
      <c r="D8" s="1044">
        <f>结果表!H103</f>
        <v>0</v>
      </c>
      <c r="E8" s="1962"/>
    </row>
    <row r="9" spans="1:5" ht="15.75">
      <c r="A9" s="1962"/>
      <c r="B9" s="2995"/>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86" t="str">
        <f>结果表!E107</f>
        <v>3.房地产抵押价值</v>
      </c>
      <c r="C13" s="1970" t="s">
        <v>1623</v>
      </c>
      <c r="D13" s="1046">
        <f ca="1">结果表!H107</f>
        <v>300998</v>
      </c>
      <c r="E13" s="1962"/>
    </row>
    <row r="14" spans="1:5" ht="15.75">
      <c r="A14" s="1962"/>
      <c r="B14" s="2987"/>
      <c r="C14" s="1965" t="s">
        <v>1624</v>
      </c>
      <c r="D14" s="1043" t="str">
        <f ca="1">NUMBERSTRING(INT(D13*10000),2)&amp;"元整"</f>
        <v>叁拾亿零玖佰玖拾捌万元整</v>
      </c>
      <c r="E14" s="1962"/>
    </row>
    <row r="15" spans="1:5" ht="15">
      <c r="A15" s="1962"/>
      <c r="B15" s="2992"/>
      <c r="C15" s="1966" t="s">
        <v>1634</v>
      </c>
      <c r="D15" s="1055">
        <f ca="1">结果表!H108</f>
        <v>16088</v>
      </c>
      <c r="E15" s="1962"/>
    </row>
    <row r="16" spans="1:5" ht="15">
      <c r="A16" s="1962"/>
      <c r="B16" s="2993" t="str">
        <f>结果表!E109</f>
        <v>——</v>
      </c>
      <c r="C16" s="1970" t="s">
        <v>1635</v>
      </c>
      <c r="D16" s="1971" t="str">
        <f>结果表!H109</f>
        <v>——</v>
      </c>
      <c r="E16" s="1962"/>
    </row>
    <row r="17" spans="1:5" ht="15.75">
      <c r="A17" s="1962"/>
      <c r="B17" s="2994"/>
      <c r="C17" s="1965" t="s">
        <v>1636</v>
      </c>
      <c r="D17" s="1043" t="e">
        <f>NUMBERSTRING(INT(D16*10000),2)&amp;"元整"</f>
        <v>#VALUE!</v>
      </c>
      <c r="E17" s="1962"/>
    </row>
    <row r="18" spans="1:5" ht="15">
      <c r="A18" s="1962"/>
      <c r="B18" s="2995"/>
      <c r="C18" s="1966" t="s">
        <v>1625</v>
      </c>
      <c r="D18" s="1055" t="str">
        <f>结果表!H110</f>
        <v>——</v>
      </c>
      <c r="E18" s="1962"/>
    </row>
    <row r="19" spans="1:5" ht="15.75">
      <c r="A19" s="1962"/>
      <c r="B19" s="2986" t="str">
        <f>结果表!E111</f>
        <v>——</v>
      </c>
      <c r="C19" s="1970" t="s">
        <v>1623</v>
      </c>
      <c r="D19" s="1044" t="str">
        <f>结果表!H111</f>
        <v>——</v>
      </c>
      <c r="E19" s="1962"/>
    </row>
    <row r="20" spans="1:5" ht="15.75">
      <c r="A20" s="1962"/>
      <c r="B20" s="2987"/>
      <c r="C20" s="1965" t="s">
        <v>1636</v>
      </c>
      <c r="D20" s="1043" t="e">
        <f>NUMBERSTRING(INT(D19*10000),2)&amp;"元整"</f>
        <v>#VALUE!</v>
      </c>
      <c r="E20" s="1962"/>
    </row>
    <row r="21" spans="1:5" ht="15.75" thickBot="1">
      <c r="A21" s="1962"/>
      <c r="B21" s="2988"/>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3" t="s">
        <v>3006</v>
      </c>
    </row>
    <row r="2" spans="1:5" ht="15.75">
      <c r="A2" s="2912" t="s">
        <v>2998</v>
      </c>
      <c r="B2" s="2913" t="e">
        <f ca="1">SUMIF(B6:B13,"&lt;&gt;#ref!",B6:B13)</f>
        <v>#DIV/0!</v>
      </c>
      <c r="C2" s="2912" t="s">
        <v>2999</v>
      </c>
      <c r="D2" s="2912" t="s">
        <v>3000</v>
      </c>
      <c r="E2" s="2913" t="e">
        <f ca="1">SUM(E6:E13)</f>
        <v>#REF!</v>
      </c>
    </row>
    <row r="3" spans="1:5" ht="15.75">
      <c r="A3" s="2912" t="s">
        <v>3001</v>
      </c>
      <c r="B3" s="2913" t="e">
        <f ca="1">ROUND(B2*10000/E2,0)</f>
        <v>#DIV/0!</v>
      </c>
      <c r="C3" s="2912" t="s">
        <v>3007</v>
      </c>
      <c r="D3" s="2914"/>
      <c r="E3" s="2914"/>
    </row>
    <row r="4" spans="1:5" ht="15.75">
      <c r="A4" s="2915"/>
      <c r="B4" s="2914"/>
      <c r="C4" s="2914"/>
      <c r="D4" s="2914"/>
      <c r="E4" s="2914"/>
    </row>
    <row r="5" spans="1:5" ht="28.5">
      <c r="A5" s="2916" t="s">
        <v>3002</v>
      </c>
      <c r="B5" s="2912" t="s">
        <v>3003</v>
      </c>
      <c r="C5" s="2913"/>
      <c r="D5" s="2914"/>
      <c r="E5" s="2912" t="s">
        <v>3004</v>
      </c>
    </row>
    <row r="6" spans="1:5" ht="15.75">
      <c r="A6" s="2917" t="s">
        <v>3005</v>
      </c>
      <c r="B6" s="2913" t="e">
        <f ca="1">SUMIF(INDIRECT("'"&amp;A6&amp;"'"&amp;"!A:A"),"总价",INDIRECT("'"&amp;A6&amp;"'"&amp;"!B:B"))</f>
        <v>#DIV/0!</v>
      </c>
      <c r="C6" s="2912" t="s">
        <v>2999</v>
      </c>
      <c r="D6" s="2914"/>
      <c r="E6" s="2577">
        <f ca="1">SUMIF(INDIRECT("'"&amp;A6&amp;"'"&amp;"!C:C"),"建筑面积",INDIRECT("'"&amp;A6&amp;"'"&amp;"!D:D"))</f>
        <v>0</v>
      </c>
    </row>
    <row r="7" spans="1:5" ht="15.75">
      <c r="A7" s="2917"/>
      <c r="B7" s="2913" t="e">
        <f ca="1">SUMIF(INDIRECT("'"&amp;A7&amp;"'"&amp;"!A:A"),"总价",INDIRECT("'"&amp;A7&amp;"'"&amp;"!B:B"))</f>
        <v>#REF!</v>
      </c>
      <c r="C7" s="2912" t="s">
        <v>2999</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2999</v>
      </c>
      <c r="D8" s="2914"/>
      <c r="E8" s="2577" t="e">
        <f t="shared" ca="1" si="0"/>
        <v>#REF!</v>
      </c>
    </row>
    <row r="9" spans="1:5" ht="15.75">
      <c r="A9" s="2917"/>
      <c r="B9" s="2913" t="e">
        <f t="shared" ca="1" si="1"/>
        <v>#REF!</v>
      </c>
      <c r="C9" s="2912" t="s">
        <v>2999</v>
      </c>
      <c r="D9" s="2914"/>
      <c r="E9" s="2577" t="e">
        <f t="shared" ca="1" si="0"/>
        <v>#REF!</v>
      </c>
    </row>
    <row r="10" spans="1:5" ht="15.75">
      <c r="A10" s="2917"/>
      <c r="B10" s="2913" t="e">
        <f t="shared" ca="1" si="1"/>
        <v>#REF!</v>
      </c>
      <c r="C10" s="2912" t="s">
        <v>2999</v>
      </c>
      <c r="D10" s="2914"/>
      <c r="E10" s="2577" t="e">
        <f t="shared" ca="1" si="0"/>
        <v>#REF!</v>
      </c>
    </row>
    <row r="11" spans="1:5" ht="15.75">
      <c r="A11" s="2917"/>
      <c r="B11" s="2913" t="e">
        <f t="shared" ca="1" si="1"/>
        <v>#REF!</v>
      </c>
      <c r="C11" s="2912" t="s">
        <v>2999</v>
      </c>
      <c r="D11" s="2914"/>
      <c r="E11" s="2577" t="e">
        <f t="shared" ca="1" si="0"/>
        <v>#REF!</v>
      </c>
    </row>
    <row r="12" spans="1:5" ht="15.75">
      <c r="A12" s="2917"/>
      <c r="B12" s="2913" t="e">
        <f t="shared" ca="1" si="1"/>
        <v>#REF!</v>
      </c>
      <c r="C12" s="2912" t="s">
        <v>2999</v>
      </c>
      <c r="D12" s="2914"/>
      <c r="E12" s="2577" t="e">
        <f t="shared" ca="1" si="0"/>
        <v>#REF!</v>
      </c>
    </row>
    <row r="13" spans="1:5" ht="15.75">
      <c r="A13" s="2917"/>
      <c r="B13" s="2913" t="e">
        <f t="shared" ca="1" si="1"/>
        <v>#REF!</v>
      </c>
      <c r="C13" s="2912" t="s">
        <v>2999</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W6" sqref="W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99" t="s">
        <v>1150</v>
      </c>
      <c r="C1" s="3299"/>
      <c r="D1" s="3299"/>
      <c r="E1" s="3299"/>
      <c r="F1" s="3299"/>
      <c r="G1" s="3295" t="s">
        <v>1151</v>
      </c>
      <c r="H1" s="3295"/>
      <c r="I1" s="3295"/>
      <c r="J1" s="3295"/>
      <c r="K1" s="3295"/>
      <c r="L1" s="3295"/>
      <c r="N1" s="3295" t="s">
        <v>1152</v>
      </c>
      <c r="O1" s="3295"/>
      <c r="P1" s="3295"/>
      <c r="Q1" s="3295"/>
      <c r="R1" s="1449"/>
      <c r="S1" s="3295" t="s">
        <v>1153</v>
      </c>
      <c r="T1" s="3295"/>
      <c r="U1" s="3295"/>
      <c r="V1" s="3295"/>
      <c r="X1" s="3294" t="s">
        <v>1154</v>
      </c>
      <c r="Y1" s="3295"/>
      <c r="Z1" s="3295"/>
      <c r="AA1" s="3295"/>
      <c r="AB1" s="3295"/>
      <c r="AD1" s="3294" t="s">
        <v>1155</v>
      </c>
      <c r="AE1" s="3295"/>
      <c r="AF1" s="3295"/>
      <c r="AG1" s="3295"/>
      <c r="AH1" s="3295"/>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1" customFormat="1" ht="14.25">
      <c r="A3" s="2940" t="s">
        <v>3041</v>
      </c>
      <c r="B3" s="2932"/>
      <c r="C3" s="2932"/>
      <c r="D3" s="2933"/>
      <c r="E3" s="2933"/>
      <c r="F3" s="2932"/>
      <c r="G3" s="2934"/>
      <c r="H3" s="2935"/>
      <c r="I3" s="2936">
        <f>ROUND(AVERAGE($I7:$I22),2)</f>
        <v>2.4500000000000002</v>
      </c>
      <c r="J3" s="2936">
        <f>ROUND(AVERAGE($J7:$J22),2)</f>
        <v>1.65</v>
      </c>
      <c r="K3" s="2936">
        <f>ROUND(AVERAGE($K7:$K22),2)</f>
        <v>2.71</v>
      </c>
      <c r="L3" s="2936">
        <f>ROUND(AVERAGE($L7:$L22),2)</f>
        <v>1.39</v>
      </c>
      <c r="N3" s="2934"/>
      <c r="O3" s="2937"/>
      <c r="P3" s="2937"/>
      <c r="Q3" s="2937"/>
      <c r="R3" s="2937"/>
      <c r="S3" s="2934"/>
      <c r="T3" s="2937"/>
      <c r="U3" s="2937"/>
      <c r="V3" s="2937"/>
      <c r="W3" s="2929"/>
      <c r="X3" s="2938">
        <f>ROUND(SUMPRODUCT(PRODUCT(1+N3:N$21)),4)</f>
        <v>1.4274</v>
      </c>
      <c r="Y3" s="2938">
        <f>ROUND(SUMPRODUCT(PRODUCT(1+O3:O$21)),4)</f>
        <v>1.2685</v>
      </c>
      <c r="Z3" s="2938">
        <f t="shared" ref="Z3:Z19" si="0">Y3</f>
        <v>1.2685</v>
      </c>
      <c r="AA3" s="2938">
        <f>ROUND(SUMPRODUCT(PRODUCT(1+P3:P$21)),4)</f>
        <v>1.4825999999999999</v>
      </c>
      <c r="AB3" s="2938">
        <f>ROUND(SUMPRODUCT(PRODUCT(1+Q3:Q$21)),4)</f>
        <v>1.2309000000000001</v>
      </c>
      <c r="AD3" s="2939">
        <f>ROUND(AVERAGE(I3:I$22)/100,4)</f>
        <v>2.1899999999999999E-2</v>
      </c>
      <c r="AE3" s="2939">
        <f>ROUND(AVERAGE(J3:J$22)/100,4)</f>
        <v>1.47E-2</v>
      </c>
      <c r="AF3" s="2939">
        <f t="shared" ref="AF3:AF20" si="1">AE3</f>
        <v>1.47E-2</v>
      </c>
      <c r="AG3" s="2939">
        <f>ROUND(AVERAGE(K3:K$22)/100,4)</f>
        <v>2.4299999999999999E-2</v>
      </c>
      <c r="AH3" s="2939">
        <f>ROUND(AVERAGE(L3:L$22)/100,4)</f>
        <v>1.2500000000000001E-2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3047</v>
      </c>
      <c r="B5" s="1794">
        <f t="shared" ref="B5" si="2">B6*(1+N5)</f>
        <v>439.19121308559727</v>
      </c>
      <c r="C5" s="1794">
        <f t="shared" ref="C5" si="3">C6*(1+O5)</f>
        <v>326.28510789673351</v>
      </c>
      <c r="D5" s="1794">
        <f t="shared" ref="D5" si="4">C5</f>
        <v>326.28510789673351</v>
      </c>
      <c r="E5" s="1794">
        <f t="shared" ref="E5" si="5">E6*(1+P5)</f>
        <v>626.49404043656455</v>
      </c>
      <c r="F5" s="1794">
        <f t="shared" ref="F5" si="6">F6*(1+Q5)</f>
        <v>283.46416215500358</v>
      </c>
      <c r="G5" s="2941">
        <v>2018</v>
      </c>
      <c r="H5" s="1733">
        <v>2</v>
      </c>
      <c r="I5" s="2926">
        <v>0</v>
      </c>
      <c r="J5" s="2926">
        <v>0</v>
      </c>
      <c r="K5" s="2926">
        <v>0</v>
      </c>
      <c r="L5" s="2926">
        <v>0</v>
      </c>
      <c r="N5" s="1470">
        <f t="shared" ref="N5" si="7">I5/100</f>
        <v>0</v>
      </c>
      <c r="O5" s="1470">
        <f t="shared" ref="O5" si="8">J5/100</f>
        <v>0</v>
      </c>
      <c r="P5" s="1470">
        <f t="shared" ref="P5" si="9">K5/100</f>
        <v>0</v>
      </c>
      <c r="Q5" s="1470">
        <f t="shared" ref="Q5" si="10">L5/100</f>
        <v>0</v>
      </c>
      <c r="R5" s="1735"/>
      <c r="S5" s="1736"/>
      <c r="T5" s="1735"/>
      <c r="U5" s="1735"/>
      <c r="V5" s="1735"/>
      <c r="W5" s="2930" t="s">
        <v>3042</v>
      </c>
      <c r="X5" s="1729">
        <f>ROUND(SUMPRODUCT(PRODUCT(1+N5:N$21)),4)</f>
        <v>1.4274</v>
      </c>
      <c r="Y5" s="1729">
        <f>ROUND(SUMPRODUCT(PRODUCT(1+O5:O$21)),4)</f>
        <v>1.2685</v>
      </c>
      <c r="Z5" s="1729">
        <f t="shared" ref="Z5" si="11">Y5</f>
        <v>1.2685</v>
      </c>
      <c r="AA5" s="1729">
        <f>ROUND(SUMPRODUCT(PRODUCT(1+P5:P$21)),4)</f>
        <v>1.4825999999999999</v>
      </c>
      <c r="AB5" s="1729">
        <f>ROUND(SUMPRODUCT(PRODUCT(1+Q5:Q$21)),4)</f>
        <v>1.2309000000000001</v>
      </c>
      <c r="AD5" s="1471">
        <f>ROUND(AVERAGE(I5:I$22)/100,4)</f>
        <v>2.1700000000000001E-2</v>
      </c>
      <c r="AE5" s="1471">
        <f>ROUND(AVERAGE(J5:J$22)/100,4)</f>
        <v>1.46E-2</v>
      </c>
      <c r="AF5" s="1471">
        <f t="shared" ref="AF5" si="12">AE5</f>
        <v>1.46E-2</v>
      </c>
      <c r="AG5" s="1471">
        <f>ROUND(AVERAGE(K5:K$22)/100,4)</f>
        <v>2.41E-2</v>
      </c>
      <c r="AH5" s="1471">
        <f>ROUND(AVERAGE(L5:L$22)/100,4)</f>
        <v>1.24E-2</v>
      </c>
    </row>
    <row r="6" spans="1:34" s="1469" customFormat="1" ht="13.5" thickBot="1">
      <c r="A6" s="1464" t="s">
        <v>3040</v>
      </c>
      <c r="B6" s="1480">
        <f t="shared" ref="B6" si="13">B7*(1+N6)</f>
        <v>439.19121308559727</v>
      </c>
      <c r="C6" s="1480">
        <f t="shared" ref="C6" si="14">C7*(1+O6)</f>
        <v>326.28510789673351</v>
      </c>
      <c r="D6" s="1480">
        <f t="shared" ref="D6" si="15">C6</f>
        <v>326.28510789673351</v>
      </c>
      <c r="E6" s="1480">
        <f t="shared" ref="E6" si="16">E7*(1+P6)</f>
        <v>626.49404043656455</v>
      </c>
      <c r="F6" s="1480">
        <f t="shared" ref="F6" si="17">F7*(1+Q6)</f>
        <v>283.46416215500358</v>
      </c>
      <c r="G6" s="2942">
        <v>2018</v>
      </c>
      <c r="H6" s="1467">
        <v>1</v>
      </c>
      <c r="I6" s="1467">
        <v>0</v>
      </c>
      <c r="J6" s="1467">
        <v>0</v>
      </c>
      <c r="K6" s="1467">
        <v>0</v>
      </c>
      <c r="L6" s="1481">
        <v>0</v>
      </c>
      <c r="M6" s="1474"/>
      <c r="N6" s="1475">
        <f t="shared" ref="N6:N11" si="18">I6/100</f>
        <v>0</v>
      </c>
      <c r="O6" s="1476">
        <f t="shared" ref="O6" si="19">J6/100</f>
        <v>0</v>
      </c>
      <c r="P6" s="1476">
        <f t="shared" ref="P6" si="20">K6/100</f>
        <v>0</v>
      </c>
      <c r="Q6" s="1476">
        <f t="shared" ref="Q6" si="21">L6/100</f>
        <v>0</v>
      </c>
      <c r="R6" s="1477"/>
      <c r="S6" s="1475">
        <f>B6/B7-1</f>
        <v>0</v>
      </c>
      <c r="T6" s="1476">
        <f t="shared" ref="T6" si="22">C6/C7-1</f>
        <v>0</v>
      </c>
      <c r="U6" s="1476">
        <f t="shared" ref="U6" si="23">D6/D7-1</f>
        <v>0</v>
      </c>
      <c r="V6" s="1476">
        <f t="shared" ref="V6" si="24">E6/E7-1</f>
        <v>0</v>
      </c>
      <c r="W6" s="1793"/>
      <c r="X6" s="1791">
        <f>ROUND(SUMPRODUCT(PRODUCT(1+N6:N$21)),4)</f>
        <v>1.4274</v>
      </c>
      <c r="Y6" s="1791">
        <f>ROUND(SUMPRODUCT(PRODUCT(1+O6:O$21)),4)</f>
        <v>1.2685</v>
      </c>
      <c r="Z6" s="1791">
        <f t="shared" ref="Z6" si="25">Y6</f>
        <v>1.2685</v>
      </c>
      <c r="AA6" s="1791">
        <f>ROUND(SUMPRODUCT(PRODUCT(1+P6:P$21)),4)</f>
        <v>1.4825999999999999</v>
      </c>
      <c r="AB6" s="1791">
        <f>ROUND(SUMPRODUCT(PRODUCT(1+Q6:Q$21)),4)</f>
        <v>1.2309000000000001</v>
      </c>
      <c r="AC6" s="1793"/>
      <c r="AD6" s="1792">
        <f>ROUND(AVERAGE(I6:I$22)/100,4)</f>
        <v>2.3E-2</v>
      </c>
      <c r="AE6" s="1792">
        <f>ROUND(AVERAGE(J6:J$22)/100,4)</f>
        <v>1.55E-2</v>
      </c>
      <c r="AF6" s="1792">
        <f t="shared" ref="AF6" si="26">AE6</f>
        <v>1.55E-2</v>
      </c>
      <c r="AG6" s="1792">
        <f>ROUND(AVERAGE(K6:K$22)/100,4)</f>
        <v>2.5499999999999998E-2</v>
      </c>
      <c r="AH6" s="1792">
        <f>ROUND(AVERAGE(L6:L$22)/100,4)</f>
        <v>1.3100000000000001E-2</v>
      </c>
    </row>
    <row r="7" spans="1:34">
      <c r="A7" s="1464" t="s">
        <v>3037</v>
      </c>
      <c r="B7" s="1472">
        <f t="shared" ref="B7" si="27">B8*(1+N7)</f>
        <v>439.19121308559727</v>
      </c>
      <c r="C7" s="1472">
        <f t="shared" ref="C7" si="28">C8*(1+O7)</f>
        <v>326.28510789673351</v>
      </c>
      <c r="D7" s="1472">
        <f t="shared" ref="D7" si="29">C7</f>
        <v>326.28510789673351</v>
      </c>
      <c r="E7" s="1472">
        <f t="shared" ref="E7" si="30">E8*(1+P7)</f>
        <v>626.49404043656455</v>
      </c>
      <c r="F7" s="1473">
        <f t="shared" ref="F7" si="31">F8*(1+Q7)</f>
        <v>283.46416215500358</v>
      </c>
      <c r="G7" s="2928">
        <v>2017</v>
      </c>
      <c r="H7" s="1465">
        <v>4</v>
      </c>
      <c r="I7" s="1465">
        <v>1.71</v>
      </c>
      <c r="J7" s="1465">
        <v>1.78</v>
      </c>
      <c r="K7" s="1465">
        <v>1.71</v>
      </c>
      <c r="L7" s="1466">
        <v>1.43</v>
      </c>
      <c r="N7" s="1475">
        <f t="shared" si="18"/>
        <v>1.7100000000000001E-2</v>
      </c>
      <c r="O7" s="1476">
        <f t="shared" ref="O7" si="32">J7/100</f>
        <v>1.78E-2</v>
      </c>
      <c r="P7" s="1476">
        <f t="shared" ref="P7" si="33">K7/100</f>
        <v>1.7100000000000001E-2</v>
      </c>
      <c r="Q7" s="1476">
        <f t="shared" ref="Q7" si="34">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3038</v>
      </c>
      <c r="B8" s="1480">
        <f t="shared" ref="B8:B9" si="35">B9*(1+N8)</f>
        <v>431.80730811680002</v>
      </c>
      <c r="C8" s="1480">
        <f t="shared" ref="C8:C9" si="36">C9*(1+O8)</f>
        <v>320.57880516480003</v>
      </c>
      <c r="D8" s="1480">
        <f t="shared" ref="D8:D9" si="37">C8</f>
        <v>320.57880516480003</v>
      </c>
      <c r="E8" s="1480">
        <f t="shared" ref="E8:E9" si="38">E9*(1+P8)</f>
        <v>615.96110553196797</v>
      </c>
      <c r="F8" s="1480">
        <f t="shared" ref="F8:F9" si="39">F9*(1+Q8)</f>
        <v>279.46777300108801</v>
      </c>
      <c r="G8" s="2924"/>
      <c r="H8" s="1467">
        <v>3</v>
      </c>
      <c r="I8" s="1467">
        <v>2.98</v>
      </c>
      <c r="J8" s="1467">
        <v>2.11</v>
      </c>
      <c r="K8" s="1467">
        <v>3.24</v>
      </c>
      <c r="L8" s="1481">
        <v>1.72</v>
      </c>
      <c r="M8" s="1474"/>
      <c r="N8" s="1475">
        <f t="shared" si="18"/>
        <v>2.98E-2</v>
      </c>
      <c r="O8" s="1476">
        <f t="shared" ref="O8" si="40">J8/100</f>
        <v>2.1099999999999997E-2</v>
      </c>
      <c r="P8" s="1476">
        <f t="shared" ref="P8" si="41">K8/100</f>
        <v>3.2400000000000005E-2</v>
      </c>
      <c r="Q8" s="1476">
        <f t="shared" ref="Q8" si="42">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5"/>
        <v>419.31181600000002</v>
      </c>
      <c r="C9" s="1480">
        <f t="shared" si="36"/>
        <v>313.95436800000004</v>
      </c>
      <c r="D9" s="1480">
        <f t="shared" si="37"/>
        <v>313.95436800000004</v>
      </c>
      <c r="E9" s="1480">
        <f t="shared" si="38"/>
        <v>596.63028431999999</v>
      </c>
      <c r="F9" s="1480">
        <f t="shared" si="39"/>
        <v>274.74220703999998</v>
      </c>
      <c r="G9" s="2923"/>
      <c r="H9" s="1468">
        <v>2</v>
      </c>
      <c r="I9" s="1468">
        <v>3.4</v>
      </c>
      <c r="J9" s="1468">
        <v>2</v>
      </c>
      <c r="K9" s="1468">
        <v>3.82</v>
      </c>
      <c r="L9" s="1482">
        <v>1.68</v>
      </c>
      <c r="M9" s="1474"/>
      <c r="N9" s="1475">
        <f t="shared" si="18"/>
        <v>3.4000000000000002E-2</v>
      </c>
      <c r="O9" s="1476">
        <f t="shared" ref="O9" si="43">J9/100</f>
        <v>0.02</v>
      </c>
      <c r="P9" s="1476">
        <f t="shared" ref="P9" si="44">K9/100</f>
        <v>3.8199999999999998E-2</v>
      </c>
      <c r="Q9" s="1476">
        <f t="shared" ref="Q9" si="45">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4"/>
      <c r="H10" s="1467">
        <v>1</v>
      </c>
      <c r="I10" s="1467">
        <v>3.45</v>
      </c>
      <c r="J10" s="1467">
        <v>1.92</v>
      </c>
      <c r="K10" s="1467">
        <v>3.92</v>
      </c>
      <c r="L10" s="1481">
        <v>1.58</v>
      </c>
      <c r="M10" s="1474"/>
      <c r="N10" s="1475">
        <f t="shared" si="18"/>
        <v>3.4500000000000003E-2</v>
      </c>
      <c r="O10" s="1476">
        <f t="shared" ref="O10:Q25" si="46">J10/100</f>
        <v>1.9199999999999998E-2</v>
      </c>
      <c r="P10" s="1476">
        <f t="shared" si="46"/>
        <v>3.9199999999999999E-2</v>
      </c>
      <c r="Q10" s="1476">
        <f t="shared" si="46"/>
        <v>1.5800000000000002E-2</v>
      </c>
      <c r="R10" s="1477"/>
      <c r="S10" s="1475">
        <f>B10/B11-1</f>
        <v>3.4499999999999975E-2</v>
      </c>
      <c r="T10" s="1476">
        <f t="shared" ref="T10:V10" si="47">C10/C11-1</f>
        <v>1.9200000000000106E-2</v>
      </c>
      <c r="U10" s="1476">
        <f t="shared" si="47"/>
        <v>1.9200000000000106E-2</v>
      </c>
      <c r="V10" s="1476">
        <f t="shared" si="47"/>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300">
        <v>2016</v>
      </c>
      <c r="H11" s="1465">
        <v>4</v>
      </c>
      <c r="I11" s="1465">
        <v>4.5599999999999996</v>
      </c>
      <c r="J11" s="1465">
        <v>2.15</v>
      </c>
      <c r="K11" s="1465">
        <v>5.32</v>
      </c>
      <c r="L11" s="1466">
        <v>1.57</v>
      </c>
      <c r="N11" s="1475">
        <f t="shared" si="18"/>
        <v>4.5599999999999995E-2</v>
      </c>
      <c r="O11" s="1476">
        <f t="shared" si="46"/>
        <v>2.1499999999999998E-2</v>
      </c>
      <c r="P11" s="1476">
        <f t="shared" si="46"/>
        <v>5.3200000000000004E-2</v>
      </c>
      <c r="Q11" s="1476">
        <f t="shared" si="46"/>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8">B11/(1+N11)</f>
        <v>374.90436113236416</v>
      </c>
      <c r="C12" s="1480">
        <f t="shared" si="48"/>
        <v>295.64366128242779</v>
      </c>
      <c r="D12" s="1480">
        <f t="shared" ref="D12:D71" si="49">C12</f>
        <v>295.64366128242779</v>
      </c>
      <c r="E12" s="1480">
        <f t="shared" ref="E12:F14" si="50">E11/(1+P11)</f>
        <v>525.06646410938095</v>
      </c>
      <c r="F12" s="1480">
        <f t="shared" si="50"/>
        <v>261.88835286009646</v>
      </c>
      <c r="G12" s="3297"/>
      <c r="H12" s="1467">
        <v>3</v>
      </c>
      <c r="I12" s="1467">
        <v>4.12</v>
      </c>
      <c r="J12" s="1467">
        <v>2</v>
      </c>
      <c r="K12" s="1467">
        <v>4.79</v>
      </c>
      <c r="L12" s="1481">
        <v>1.97</v>
      </c>
      <c r="N12" s="1475">
        <f t="shared" ref="N12:Q46" si="51">I12/100</f>
        <v>4.1200000000000001E-2</v>
      </c>
      <c r="O12" s="1476">
        <f t="shared" si="46"/>
        <v>0.02</v>
      </c>
      <c r="P12" s="1476">
        <f t="shared" si="46"/>
        <v>4.7899999999999998E-2</v>
      </c>
      <c r="Q12" s="1476">
        <f t="shared" si="46"/>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8"/>
        <v>360.06949782209392</v>
      </c>
      <c r="C13" s="1480">
        <f t="shared" si="48"/>
        <v>289.84672674747821</v>
      </c>
      <c r="D13" s="1480">
        <f t="shared" si="49"/>
        <v>289.84672674747821</v>
      </c>
      <c r="E13" s="1480">
        <f t="shared" si="50"/>
        <v>501.06543001181495</v>
      </c>
      <c r="F13" s="1480">
        <f t="shared" si="50"/>
        <v>256.82882500744967</v>
      </c>
      <c r="G13" s="3297"/>
      <c r="H13" s="1468">
        <v>2</v>
      </c>
      <c r="I13" s="1468">
        <v>3.85</v>
      </c>
      <c r="J13" s="1468">
        <v>1.95</v>
      </c>
      <c r="K13" s="1468">
        <v>4.4800000000000004</v>
      </c>
      <c r="L13" s="1482">
        <v>1.41</v>
      </c>
      <c r="N13" s="1475">
        <f t="shared" si="51"/>
        <v>3.85E-2</v>
      </c>
      <c r="O13" s="1476">
        <f t="shared" si="46"/>
        <v>1.95E-2</v>
      </c>
      <c r="P13" s="1476">
        <f t="shared" si="46"/>
        <v>4.4800000000000006E-2</v>
      </c>
      <c r="Q13" s="1476">
        <f t="shared" si="46"/>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8"/>
        <v>346.720748986128</v>
      </c>
      <c r="C14" s="1480">
        <f t="shared" si="48"/>
        <v>284.30282172386285</v>
      </c>
      <c r="D14" s="1480">
        <f t="shared" si="49"/>
        <v>284.30282172386285</v>
      </c>
      <c r="E14" s="1480">
        <f t="shared" si="50"/>
        <v>479.58023546306947</v>
      </c>
      <c r="F14" s="1480">
        <f t="shared" si="50"/>
        <v>253.25788877571213</v>
      </c>
      <c r="G14" s="3298"/>
      <c r="H14" s="1467">
        <v>1</v>
      </c>
      <c r="I14" s="1467">
        <v>4.09</v>
      </c>
      <c r="J14" s="1467">
        <v>2.93</v>
      </c>
      <c r="K14" s="1467">
        <v>4.54</v>
      </c>
      <c r="L14" s="1481">
        <v>1.48</v>
      </c>
      <c r="N14" s="1475">
        <f t="shared" si="51"/>
        <v>4.0899999999999999E-2</v>
      </c>
      <c r="O14" s="1476">
        <f t="shared" si="46"/>
        <v>2.9300000000000003E-2</v>
      </c>
      <c r="P14" s="1476">
        <f t="shared" si="46"/>
        <v>4.5400000000000003E-2</v>
      </c>
      <c r="Q14" s="1476">
        <f t="shared" si="46"/>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9"/>
        <v>277</v>
      </c>
      <c r="E15" s="1472">
        <v>459</v>
      </c>
      <c r="F15" s="1473">
        <v>249</v>
      </c>
      <c r="G15" s="3296">
        <v>2015</v>
      </c>
      <c r="H15" s="1485">
        <v>4</v>
      </c>
      <c r="I15" s="1485">
        <v>1.63</v>
      </c>
      <c r="J15" s="1485">
        <v>1.1100000000000001</v>
      </c>
      <c r="K15" s="1485">
        <v>1.77</v>
      </c>
      <c r="L15" s="1486">
        <v>1.89</v>
      </c>
      <c r="N15" s="1487">
        <f t="shared" si="51"/>
        <v>1.6299999999999999E-2</v>
      </c>
      <c r="O15" s="1488">
        <f t="shared" si="46"/>
        <v>1.11E-2</v>
      </c>
      <c r="P15" s="1488">
        <f t="shared" si="46"/>
        <v>1.77E-2</v>
      </c>
      <c r="Q15" s="1488">
        <f t="shared" si="46"/>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52">B15/(1+N15)</f>
        <v>327.65915576109415</v>
      </c>
      <c r="C16" s="1480">
        <f t="shared" si="52"/>
        <v>273.95905449510434</v>
      </c>
      <c r="D16" s="1480">
        <f t="shared" si="49"/>
        <v>273.95905449510434</v>
      </c>
      <c r="E16" s="1480">
        <f t="shared" ref="E16:F18" si="53">E15/(1+P15)</f>
        <v>451.01699911565294</v>
      </c>
      <c r="F16" s="1480">
        <f t="shared" si="53"/>
        <v>244.38119540681129</v>
      </c>
      <c r="G16" s="3297"/>
      <c r="H16" s="1490">
        <v>3</v>
      </c>
      <c r="I16" s="1490">
        <v>1.65</v>
      </c>
      <c r="J16" s="1490">
        <v>0.92</v>
      </c>
      <c r="K16" s="1490">
        <v>1.88</v>
      </c>
      <c r="L16" s="1491">
        <v>1.26</v>
      </c>
      <c r="N16" s="1475">
        <f t="shared" si="51"/>
        <v>1.6500000000000001E-2</v>
      </c>
      <c r="O16" s="1492">
        <f t="shared" si="46"/>
        <v>9.1999999999999998E-3</v>
      </c>
      <c r="P16" s="1492">
        <f t="shared" si="46"/>
        <v>1.8799999999999997E-2</v>
      </c>
      <c r="Q16" s="1492">
        <f t="shared" si="46"/>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52"/>
        <v>322.34053690220776</v>
      </c>
      <c r="C17" s="1480">
        <f t="shared" si="52"/>
        <v>271.46160770422546</v>
      </c>
      <c r="D17" s="1480">
        <f t="shared" si="49"/>
        <v>271.46160770422546</v>
      </c>
      <c r="E17" s="1480">
        <f t="shared" si="53"/>
        <v>442.69434542172456</v>
      </c>
      <c r="F17" s="1480">
        <f t="shared" si="53"/>
        <v>241.34030753190925</v>
      </c>
      <c r="G17" s="3297"/>
      <c r="H17" s="1468">
        <v>2</v>
      </c>
      <c r="I17" s="1468">
        <v>0.77</v>
      </c>
      <c r="J17" s="1468">
        <v>0.69</v>
      </c>
      <c r="K17" s="1468">
        <v>0.8</v>
      </c>
      <c r="L17" s="1482">
        <v>0.88</v>
      </c>
      <c r="N17" s="1475">
        <f t="shared" si="51"/>
        <v>7.7000000000000002E-3</v>
      </c>
      <c r="O17" s="1492">
        <f t="shared" si="46"/>
        <v>6.8999999999999999E-3</v>
      </c>
      <c r="P17" s="1492">
        <f t="shared" si="46"/>
        <v>8.0000000000000002E-3</v>
      </c>
      <c r="Q17" s="1492">
        <f t="shared" si="46"/>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52"/>
        <v>319.87748030386797</v>
      </c>
      <c r="C18" s="1480">
        <f t="shared" si="52"/>
        <v>269.60135833173649</v>
      </c>
      <c r="D18" s="1480">
        <f t="shared" si="49"/>
        <v>269.60135833173649</v>
      </c>
      <c r="E18" s="1480">
        <f t="shared" si="53"/>
        <v>439.18089823583784</v>
      </c>
      <c r="F18" s="1480">
        <f t="shared" si="53"/>
        <v>239.23503918706311</v>
      </c>
      <c r="G18" s="3298"/>
      <c r="H18" s="1467">
        <v>1</v>
      </c>
      <c r="I18" s="1467">
        <v>0.51</v>
      </c>
      <c r="J18" s="1467">
        <v>0.54</v>
      </c>
      <c r="K18" s="1467">
        <v>0.48</v>
      </c>
      <c r="L18" s="1481">
        <v>0.93</v>
      </c>
      <c r="N18" s="1483">
        <f t="shared" si="51"/>
        <v>5.1000000000000004E-3</v>
      </c>
      <c r="O18" s="1484">
        <f t="shared" si="46"/>
        <v>5.4000000000000003E-3</v>
      </c>
      <c r="P18" s="1484">
        <f t="shared" si="46"/>
        <v>4.7999999999999996E-3</v>
      </c>
      <c r="Q18" s="1484">
        <f t="shared" si="46"/>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9"/>
        <v>268</v>
      </c>
      <c r="E19" s="1493">
        <v>437</v>
      </c>
      <c r="F19" s="1494">
        <v>237</v>
      </c>
      <c r="G19" s="3296">
        <v>2014</v>
      </c>
      <c r="H19" s="1485">
        <v>4</v>
      </c>
      <c r="I19" s="1485">
        <v>0.21</v>
      </c>
      <c r="J19" s="1485">
        <v>0.41</v>
      </c>
      <c r="K19" s="1485">
        <v>0.12</v>
      </c>
      <c r="L19" s="1486">
        <v>0.89</v>
      </c>
      <c r="N19" s="1475">
        <f t="shared" si="51"/>
        <v>2.0999999999999999E-3</v>
      </c>
      <c r="O19" s="1476">
        <f t="shared" si="46"/>
        <v>4.0999999999999995E-3</v>
      </c>
      <c r="P19" s="1476">
        <f t="shared" si="46"/>
        <v>1.1999999999999999E-3</v>
      </c>
      <c r="Q19" s="1476">
        <f t="shared" si="46"/>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54">B19/(1+N19)</f>
        <v>317.33359944117353</v>
      </c>
      <c r="C20" s="1480">
        <f t="shared" si="54"/>
        <v>266.90568668459315</v>
      </c>
      <c r="D20" s="1480">
        <f t="shared" si="49"/>
        <v>266.90568668459315</v>
      </c>
      <c r="E20" s="1480">
        <f t="shared" ref="E20:F22" si="55">E19/(1+P19)</f>
        <v>436.47622852576905</v>
      </c>
      <c r="F20" s="1480">
        <f t="shared" si="55"/>
        <v>234.90930716622066</v>
      </c>
      <c r="G20" s="3297"/>
      <c r="H20" s="1495">
        <v>3</v>
      </c>
      <c r="I20" s="1495">
        <v>0.83</v>
      </c>
      <c r="J20" s="1495">
        <v>1.47</v>
      </c>
      <c r="K20" s="1495">
        <v>0.65</v>
      </c>
      <c r="L20" s="1496">
        <v>0.72</v>
      </c>
      <c r="N20" s="1475">
        <f t="shared" si="51"/>
        <v>8.3000000000000001E-3</v>
      </c>
      <c r="O20" s="1476">
        <f t="shared" si="46"/>
        <v>1.47E-2</v>
      </c>
      <c r="P20" s="1476">
        <f t="shared" si="46"/>
        <v>6.5000000000000006E-3</v>
      </c>
      <c r="Q20" s="1476">
        <f t="shared" si="46"/>
        <v>7.1999999999999998E-3</v>
      </c>
      <c r="R20" s="1477"/>
      <c r="S20" s="1475"/>
      <c r="T20" s="1476"/>
      <c r="U20" s="1476"/>
      <c r="V20" s="1476"/>
      <c r="X20" s="1462">
        <f>ROUND(SUMPRODUCT(PRODUCT(1+N20:N$21)),4)</f>
        <v>1.0325</v>
      </c>
      <c r="Y20" s="1462">
        <f>ROUND(SUMPRODUCT(PRODUCT(1+O20:O$21)),4)</f>
        <v>1.0353000000000001</v>
      </c>
      <c r="Z20" s="1462">
        <f t="shared" ref="Z20:Z21" si="56">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54"/>
        <v>314.72141172386546</v>
      </c>
      <c r="C21" s="1480">
        <f t="shared" si="54"/>
        <v>263.03901319069001</v>
      </c>
      <c r="D21" s="1480">
        <f t="shared" si="49"/>
        <v>263.03901319069001</v>
      </c>
      <c r="E21" s="1480">
        <f t="shared" si="55"/>
        <v>433.65745506782821</v>
      </c>
      <c r="F21" s="1480">
        <f t="shared" si="55"/>
        <v>233.23005080045735</v>
      </c>
      <c r="G21" s="3297"/>
      <c r="H21" s="1485">
        <v>2</v>
      </c>
      <c r="I21" s="1485">
        <v>2.4</v>
      </c>
      <c r="J21" s="1485">
        <v>2.0299999999999998</v>
      </c>
      <c r="K21" s="1485">
        <v>2.59</v>
      </c>
      <c r="L21" s="1486">
        <v>1.52</v>
      </c>
      <c r="N21" s="1475">
        <f t="shared" si="51"/>
        <v>2.4E-2</v>
      </c>
      <c r="O21" s="1476">
        <f t="shared" si="46"/>
        <v>2.0299999999999999E-2</v>
      </c>
      <c r="P21" s="1476">
        <f t="shared" si="46"/>
        <v>2.5899999999999999E-2</v>
      </c>
      <c r="Q21" s="1476">
        <f t="shared" si="46"/>
        <v>1.52E-2</v>
      </c>
      <c r="R21" s="1477"/>
      <c r="S21" s="1475"/>
      <c r="T21" s="1476"/>
      <c r="U21" s="1476"/>
      <c r="V21" s="1476"/>
      <c r="X21" s="1462">
        <f>1+N21</f>
        <v>1.024</v>
      </c>
      <c r="Y21" s="1462">
        <f>1+O21</f>
        <v>1.0203</v>
      </c>
      <c r="Z21" s="1462">
        <f t="shared" si="56"/>
        <v>1.0203</v>
      </c>
      <c r="AA21" s="1462">
        <f>1+P21</f>
        <v>1.0259</v>
      </c>
      <c r="AB21" s="1462">
        <f>1+Q21</f>
        <v>1.0152000000000001</v>
      </c>
      <c r="AD21" s="1463">
        <f>ROUND(AVERAGE(I21:I$22)/100,4)</f>
        <v>2.69E-2</v>
      </c>
      <c r="AE21" s="1463">
        <f>ROUND(AVERAGE(J21:J$22)/100,4)</f>
        <v>2.1899999999999999E-2</v>
      </c>
      <c r="AF21" s="1463">
        <f t="shared" ref="AF21" si="57">AE21</f>
        <v>2.1899999999999999E-2</v>
      </c>
      <c r="AG21" s="1463">
        <f>ROUND(AVERAGE(K21:K$22)/100,4)</f>
        <v>2.9399999999999999E-2</v>
      </c>
      <c r="AH21" s="1463">
        <f>ROUND(AVERAGE(L21:L$22)/100,4)</f>
        <v>1.44E-2</v>
      </c>
    </row>
    <row r="22" spans="1:34" s="1501" customFormat="1" ht="13.5" thickBot="1">
      <c r="A22" s="1497" t="s">
        <v>144</v>
      </c>
      <c r="B22" s="1498">
        <f t="shared" si="54"/>
        <v>307.34512863658733</v>
      </c>
      <c r="C22" s="1498">
        <f t="shared" si="54"/>
        <v>257.80556031626975</v>
      </c>
      <c r="D22" s="1498">
        <f t="shared" si="49"/>
        <v>257.80556031626975</v>
      </c>
      <c r="E22" s="1498">
        <f t="shared" si="55"/>
        <v>422.70928459677179</v>
      </c>
      <c r="F22" s="1498">
        <f t="shared" si="55"/>
        <v>229.73803270336617</v>
      </c>
      <c r="G22" s="3298"/>
      <c r="H22" s="1499">
        <v>1</v>
      </c>
      <c r="I22" s="1499">
        <v>2.97</v>
      </c>
      <c r="J22" s="1499">
        <v>2.34</v>
      </c>
      <c r="K22" s="1499">
        <v>3.28</v>
      </c>
      <c r="L22" s="1500">
        <v>1.36</v>
      </c>
      <c r="N22" s="1502">
        <f t="shared" si="51"/>
        <v>2.9700000000000001E-2</v>
      </c>
      <c r="O22" s="1503">
        <f t="shared" si="46"/>
        <v>2.3399999999999997E-2</v>
      </c>
      <c r="P22" s="1503">
        <f t="shared" si="46"/>
        <v>3.2799999999999996E-2</v>
      </c>
      <c r="Q22" s="1503">
        <f t="shared" si="46"/>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9"/>
        <v>252</v>
      </c>
      <c r="E23" s="1472">
        <v>409</v>
      </c>
      <c r="F23" s="1473">
        <v>227</v>
      </c>
      <c r="G23" s="3301">
        <v>2013</v>
      </c>
      <c r="H23" s="1509">
        <v>4</v>
      </c>
      <c r="I23" s="1509">
        <v>1.83</v>
      </c>
      <c r="J23" s="1509">
        <v>1.68</v>
      </c>
      <c r="K23" s="1509">
        <v>1.97</v>
      </c>
      <c r="L23" s="1510">
        <v>0.87</v>
      </c>
      <c r="N23" s="1487">
        <f t="shared" si="51"/>
        <v>1.83E-2</v>
      </c>
      <c r="O23" s="1488">
        <f t="shared" si="46"/>
        <v>1.6799999999999999E-2</v>
      </c>
      <c r="P23" s="1488">
        <f t="shared" si="46"/>
        <v>1.9699999999999999E-2</v>
      </c>
      <c r="Q23" s="1488">
        <f t="shared" si="46"/>
        <v>8.6999999999999994E-3</v>
      </c>
      <c r="R23" s="1477"/>
      <c r="S23" s="1478"/>
      <c r="T23" s="1479"/>
      <c r="U23" s="1479"/>
      <c r="V23" s="1479"/>
      <c r="X23" s="1479"/>
      <c r="Y23" s="1479"/>
      <c r="Z23" s="1479"/>
    </row>
    <row r="24" spans="1:34">
      <c r="A24" s="1464" t="s">
        <v>1164</v>
      </c>
      <c r="B24" s="1480">
        <f t="shared" ref="B24:C26" si="58">B23/(1+N23)</f>
        <v>293.62663262299913</v>
      </c>
      <c r="C24" s="1480">
        <f t="shared" si="58"/>
        <v>247.83634933123525</v>
      </c>
      <c r="D24" s="1480">
        <f t="shared" si="49"/>
        <v>247.83634933123525</v>
      </c>
      <c r="E24" s="1480">
        <f t="shared" ref="E24:F26" si="59">E23/(1+P23)</f>
        <v>401.09836226341076</v>
      </c>
      <c r="F24" s="1480">
        <f t="shared" si="59"/>
        <v>225.04213343908003</v>
      </c>
      <c r="G24" s="3302"/>
      <c r="H24" s="1490">
        <v>3</v>
      </c>
      <c r="I24" s="1490">
        <v>1.86</v>
      </c>
      <c r="J24" s="1490">
        <v>1.72</v>
      </c>
      <c r="K24" s="1490">
        <v>1.98</v>
      </c>
      <c r="L24" s="1491">
        <v>0.88</v>
      </c>
      <c r="N24" s="1475">
        <f t="shared" si="51"/>
        <v>1.8600000000000002E-2</v>
      </c>
      <c r="O24" s="1492">
        <f t="shared" si="46"/>
        <v>1.72E-2</v>
      </c>
      <c r="P24" s="1492">
        <f t="shared" si="46"/>
        <v>1.9799999999999998E-2</v>
      </c>
      <c r="Q24" s="1492">
        <f t="shared" si="46"/>
        <v>8.8000000000000005E-3</v>
      </c>
      <c r="R24" s="1477"/>
      <c r="S24" s="1475"/>
      <c r="T24" s="1476"/>
      <c r="U24" s="1476"/>
      <c r="V24" s="1476"/>
    </row>
    <row r="25" spans="1:34">
      <c r="A25" s="1464" t="s">
        <v>1165</v>
      </c>
      <c r="B25" s="1480">
        <f t="shared" si="58"/>
        <v>288.2649053828776</v>
      </c>
      <c r="C25" s="1480">
        <f t="shared" si="58"/>
        <v>243.64564425013293</v>
      </c>
      <c r="D25" s="1480">
        <f t="shared" si="49"/>
        <v>243.64564425013293</v>
      </c>
      <c r="E25" s="1480">
        <f t="shared" si="59"/>
        <v>393.31080825986544</v>
      </c>
      <c r="F25" s="1480">
        <f t="shared" si="59"/>
        <v>223.07903790551154</v>
      </c>
      <c r="G25" s="3302"/>
      <c r="H25" s="1468">
        <v>2</v>
      </c>
      <c r="I25" s="1468">
        <v>2.04</v>
      </c>
      <c r="J25" s="1468">
        <v>2.33</v>
      </c>
      <c r="K25" s="1468">
        <v>2.0699999999999998</v>
      </c>
      <c r="L25" s="1482">
        <v>0.69</v>
      </c>
      <c r="N25" s="1475">
        <f t="shared" si="51"/>
        <v>2.0400000000000001E-2</v>
      </c>
      <c r="O25" s="1492">
        <f t="shared" si="46"/>
        <v>2.3300000000000001E-2</v>
      </c>
      <c r="P25" s="1492">
        <f t="shared" si="46"/>
        <v>2.07E-2</v>
      </c>
      <c r="Q25" s="1492">
        <f t="shared" si="46"/>
        <v>6.8999999999999999E-3</v>
      </c>
      <c r="R25" s="1477"/>
      <c r="S25" s="1475"/>
      <c r="T25" s="1476"/>
      <c r="U25" s="1476"/>
      <c r="V25" s="1476"/>
      <c r="X25" s="1511"/>
      <c r="Y25" s="1512"/>
    </row>
    <row r="26" spans="1:34">
      <c r="A26" s="1464" t="s">
        <v>1166</v>
      </c>
      <c r="B26" s="1480">
        <f t="shared" si="58"/>
        <v>282.50186729015837</v>
      </c>
      <c r="C26" s="1480">
        <f t="shared" si="58"/>
        <v>238.09796174155468</v>
      </c>
      <c r="D26" s="1480">
        <f t="shared" si="49"/>
        <v>238.09796174155468</v>
      </c>
      <c r="E26" s="1480">
        <f t="shared" si="59"/>
        <v>385.33438646014054</v>
      </c>
      <c r="F26" s="1480">
        <f t="shared" si="59"/>
        <v>221.55034055567739</v>
      </c>
      <c r="G26" s="3303"/>
      <c r="H26" s="1467">
        <v>1</v>
      </c>
      <c r="I26" s="1467">
        <v>1.67</v>
      </c>
      <c r="J26" s="1467">
        <v>1.31</v>
      </c>
      <c r="K26" s="1467">
        <v>1.85</v>
      </c>
      <c r="L26" s="1481">
        <v>0.96</v>
      </c>
      <c r="N26" s="1483">
        <f t="shared" si="51"/>
        <v>1.67E-2</v>
      </c>
      <c r="O26" s="1484">
        <f t="shared" si="51"/>
        <v>1.3100000000000001E-2</v>
      </c>
      <c r="P26" s="1484">
        <f t="shared" si="51"/>
        <v>1.8500000000000003E-2</v>
      </c>
      <c r="Q26" s="1484">
        <f t="shared" si="51"/>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9"/>
        <v>234</v>
      </c>
      <c r="E27" s="1514">
        <v>379</v>
      </c>
      <c r="F27" s="1515">
        <v>220</v>
      </c>
      <c r="G27" s="3296">
        <v>2012</v>
      </c>
      <c r="H27" s="1485">
        <v>4</v>
      </c>
      <c r="I27" s="1485">
        <v>0.91</v>
      </c>
      <c r="J27" s="1485">
        <v>0.68</v>
      </c>
      <c r="K27" s="1485">
        <v>0.98</v>
      </c>
      <c r="L27" s="1486">
        <v>0.9</v>
      </c>
      <c r="N27" s="1475">
        <f t="shared" si="51"/>
        <v>9.1000000000000004E-3</v>
      </c>
      <c r="O27" s="1476">
        <f t="shared" si="51"/>
        <v>6.8000000000000005E-3</v>
      </c>
      <c r="P27" s="1476">
        <f t="shared" si="51"/>
        <v>9.7999999999999997E-3</v>
      </c>
      <c r="Q27" s="1476">
        <f t="shared" si="51"/>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9"/>
        <v>232.41954707985698</v>
      </c>
      <c r="E28" s="1480">
        <f t="shared" ref="E28:F30" si="60">E27/(1+P27)</f>
        <v>375.32184591008121</v>
      </c>
      <c r="F28" s="1480">
        <f t="shared" si="60"/>
        <v>218.03766105054513</v>
      </c>
      <c r="G28" s="3297"/>
      <c r="H28" s="1490">
        <v>3</v>
      </c>
      <c r="I28" s="1490">
        <v>0.09</v>
      </c>
      <c r="J28" s="1490">
        <v>0.28999999999999998</v>
      </c>
      <c r="K28" s="1490">
        <v>-0.01</v>
      </c>
      <c r="L28" s="1491">
        <v>0.57999999999999996</v>
      </c>
      <c r="N28" s="1475">
        <f t="shared" si="51"/>
        <v>8.9999999999999998E-4</v>
      </c>
      <c r="O28" s="1476">
        <f t="shared" si="51"/>
        <v>2.8999999999999998E-3</v>
      </c>
      <c r="P28" s="1476">
        <f t="shared" si="51"/>
        <v>-1E-4</v>
      </c>
      <c r="Q28" s="1476">
        <f t="shared" si="51"/>
        <v>5.7999999999999996E-3</v>
      </c>
      <c r="R28" s="1477"/>
      <c r="S28" s="1475"/>
      <c r="T28" s="1476"/>
      <c r="U28" s="1476"/>
      <c r="V28" s="1476"/>
    </row>
    <row r="29" spans="1:34">
      <c r="A29" s="1464" t="s">
        <v>1169</v>
      </c>
      <c r="B29" s="1480">
        <f>B28/(1+N28)</f>
        <v>275.24529281292263</v>
      </c>
      <c r="C29" s="1480">
        <f>C28/(1+O28)</f>
        <v>231.74747938962707</v>
      </c>
      <c r="D29" s="1480">
        <f t="shared" si="49"/>
        <v>231.74747938962707</v>
      </c>
      <c r="E29" s="1480">
        <f t="shared" si="60"/>
        <v>375.35938184826603</v>
      </c>
      <c r="F29" s="1480">
        <f t="shared" si="60"/>
        <v>216.78033510692495</v>
      </c>
      <c r="G29" s="3297"/>
      <c r="H29" s="1468">
        <v>2</v>
      </c>
      <c r="I29" s="1468">
        <v>0.02</v>
      </c>
      <c r="J29" s="1468">
        <v>0.12</v>
      </c>
      <c r="K29" s="1468">
        <v>-0.08</v>
      </c>
      <c r="L29" s="1482">
        <v>1.24</v>
      </c>
      <c r="N29" s="1475">
        <f t="shared" si="51"/>
        <v>2.0000000000000001E-4</v>
      </c>
      <c r="O29" s="1476">
        <f t="shared" si="51"/>
        <v>1.1999999999999999E-3</v>
      </c>
      <c r="P29" s="1476">
        <f t="shared" si="51"/>
        <v>-8.0000000000000004E-4</v>
      </c>
      <c r="Q29" s="1476">
        <f t="shared" si="51"/>
        <v>1.24E-2</v>
      </c>
      <c r="R29" s="1477"/>
      <c r="S29" s="1475"/>
      <c r="T29" s="1476"/>
      <c r="U29" s="1476"/>
      <c r="V29" s="1476"/>
    </row>
    <row r="30" spans="1:34" ht="13.5" thickBot="1">
      <c r="A30" s="1464" t="s">
        <v>1170</v>
      </c>
      <c r="B30" s="1480">
        <f>B29/(1+N29)</f>
        <v>275.19025476197027</v>
      </c>
      <c r="C30" s="1516">
        <v>232</v>
      </c>
      <c r="D30" s="1516">
        <f t="shared" si="49"/>
        <v>232</v>
      </c>
      <c r="E30" s="1480">
        <f t="shared" si="60"/>
        <v>375.65990977608692</v>
      </c>
      <c r="F30" s="1480">
        <f t="shared" si="60"/>
        <v>214.12518283971252</v>
      </c>
      <c r="G30" s="3298"/>
      <c r="H30" s="1467">
        <v>1</v>
      </c>
      <c r="I30" s="1467">
        <v>0.02</v>
      </c>
      <c r="J30" s="1467">
        <v>0.13</v>
      </c>
      <c r="K30" s="1467">
        <v>-0.04</v>
      </c>
      <c r="L30" s="1481">
        <v>0.46</v>
      </c>
      <c r="N30" s="1475">
        <f t="shared" si="51"/>
        <v>2.0000000000000001E-4</v>
      </c>
      <c r="O30" s="1476">
        <f t="shared" si="51"/>
        <v>1.2999999999999999E-3</v>
      </c>
      <c r="P30" s="1476">
        <f t="shared" si="51"/>
        <v>-4.0000000000000002E-4</v>
      </c>
      <c r="Q30" s="1476">
        <f t="shared" si="51"/>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9"/>
        <v>232</v>
      </c>
      <c r="E31" s="1472">
        <v>376</v>
      </c>
      <c r="F31" s="1473">
        <v>213</v>
      </c>
      <c r="G31" s="3296">
        <v>2011</v>
      </c>
      <c r="H31" s="1485">
        <v>4</v>
      </c>
      <c r="I31" s="1485">
        <v>-0.2</v>
      </c>
      <c r="J31" s="1485">
        <v>0.04</v>
      </c>
      <c r="K31" s="1485">
        <v>-0.34</v>
      </c>
      <c r="L31" s="1486">
        <v>0.46</v>
      </c>
      <c r="N31" s="1487">
        <f t="shared" si="51"/>
        <v>-2E-3</v>
      </c>
      <c r="O31" s="1488">
        <f t="shared" si="51"/>
        <v>4.0000000000000002E-4</v>
      </c>
      <c r="P31" s="1488">
        <f t="shared" si="51"/>
        <v>-3.4000000000000002E-3</v>
      </c>
      <c r="Q31" s="1488">
        <f t="shared" si="51"/>
        <v>4.5999999999999999E-3</v>
      </c>
      <c r="R31" s="1477"/>
      <c r="S31" s="1478"/>
      <c r="T31" s="1479"/>
      <c r="U31" s="1479"/>
      <c r="V31" s="1479"/>
      <c r="X31" s="1479"/>
      <c r="Y31" s="1479"/>
      <c r="Z31" s="1479"/>
    </row>
    <row r="32" spans="1:34">
      <c r="A32" s="1464" t="s">
        <v>1172</v>
      </c>
      <c r="B32" s="1480">
        <f t="shared" ref="B32:C34" si="61">B31/(1+N31)</f>
        <v>275.55110220440883</v>
      </c>
      <c r="C32" s="1480">
        <f t="shared" si="61"/>
        <v>231.90723710515795</v>
      </c>
      <c r="D32" s="1480">
        <f t="shared" si="49"/>
        <v>231.90723710515795</v>
      </c>
      <c r="E32" s="1480">
        <f t="shared" ref="E32:F34" si="62">E31/(1+P31)</f>
        <v>377.28276138872161</v>
      </c>
      <c r="F32" s="1480">
        <f t="shared" si="62"/>
        <v>212.02468644236512</v>
      </c>
      <c r="G32" s="3297">
        <v>2011</v>
      </c>
      <c r="H32" s="1490">
        <v>3</v>
      </c>
      <c r="I32" s="1490">
        <v>0.13</v>
      </c>
      <c r="J32" s="1490">
        <v>0.75</v>
      </c>
      <c r="K32" s="1490">
        <v>-0.08</v>
      </c>
      <c r="L32" s="1491">
        <v>0.53</v>
      </c>
      <c r="N32" s="1475">
        <f t="shared" si="51"/>
        <v>1.2999999999999999E-3</v>
      </c>
      <c r="O32" s="1492">
        <f t="shared" si="51"/>
        <v>7.4999999999999997E-3</v>
      </c>
      <c r="P32" s="1492">
        <f t="shared" si="51"/>
        <v>-8.0000000000000004E-4</v>
      </c>
      <c r="Q32" s="1492">
        <f t="shared" si="51"/>
        <v>5.3E-3</v>
      </c>
      <c r="R32" s="1477"/>
      <c r="S32" s="1475"/>
      <c r="T32" s="1476"/>
      <c r="U32" s="1476"/>
      <c r="V32" s="1476"/>
    </row>
    <row r="33" spans="1:26">
      <c r="A33" s="1464" t="s">
        <v>1173</v>
      </c>
      <c r="B33" s="1480">
        <f t="shared" si="61"/>
        <v>275.19335084830601</v>
      </c>
      <c r="C33" s="1480">
        <f t="shared" si="61"/>
        <v>230.18088050139744</v>
      </c>
      <c r="D33" s="1480">
        <f t="shared" si="49"/>
        <v>230.18088050139744</v>
      </c>
      <c r="E33" s="1480">
        <f t="shared" si="62"/>
        <v>377.58482925212331</v>
      </c>
      <c r="F33" s="1480">
        <f t="shared" si="62"/>
        <v>210.90687997847917</v>
      </c>
      <c r="G33" s="3297">
        <v>2011</v>
      </c>
      <c r="H33" s="1468">
        <v>2</v>
      </c>
      <c r="I33" s="1468">
        <v>-0.4</v>
      </c>
      <c r="J33" s="1468">
        <v>0.17</v>
      </c>
      <c r="K33" s="1468">
        <v>-0.57999999999999996</v>
      </c>
      <c r="L33" s="1482">
        <v>-0.2</v>
      </c>
      <c r="N33" s="1475">
        <f t="shared" si="51"/>
        <v>-4.0000000000000001E-3</v>
      </c>
      <c r="O33" s="1492">
        <f t="shared" si="51"/>
        <v>1.7000000000000001E-3</v>
      </c>
      <c r="P33" s="1492">
        <f t="shared" si="51"/>
        <v>-5.7999999999999996E-3</v>
      </c>
      <c r="Q33" s="1492">
        <f t="shared" si="51"/>
        <v>-2E-3</v>
      </c>
      <c r="R33" s="1477"/>
      <c r="S33" s="1475"/>
      <c r="T33" s="1476"/>
      <c r="U33" s="1476"/>
      <c r="V33" s="1476"/>
    </row>
    <row r="34" spans="1:26" ht="13.5" thickBot="1">
      <c r="A34" s="1464" t="s">
        <v>1174</v>
      </c>
      <c r="B34" s="1480">
        <f t="shared" si="61"/>
        <v>276.29854502841971</v>
      </c>
      <c r="C34" s="1480">
        <f t="shared" si="61"/>
        <v>229.79023709833027</v>
      </c>
      <c r="D34" s="1480">
        <f t="shared" si="49"/>
        <v>229.79023709833027</v>
      </c>
      <c r="E34" s="1480">
        <f t="shared" si="62"/>
        <v>379.78759731655936</v>
      </c>
      <c r="F34" s="1480">
        <f t="shared" si="62"/>
        <v>211.32953905659235</v>
      </c>
      <c r="G34" s="3298">
        <v>2011</v>
      </c>
      <c r="H34" s="1467">
        <v>1</v>
      </c>
      <c r="I34" s="1467">
        <v>2.65</v>
      </c>
      <c r="J34" s="1467">
        <v>3.76</v>
      </c>
      <c r="K34" s="1467">
        <v>1.89</v>
      </c>
      <c r="L34" s="1481">
        <v>7.95</v>
      </c>
      <c r="N34" s="1483">
        <f t="shared" si="51"/>
        <v>2.6499999999999999E-2</v>
      </c>
      <c r="O34" s="1484">
        <f t="shared" si="51"/>
        <v>3.7599999999999995E-2</v>
      </c>
      <c r="P34" s="1484">
        <f t="shared" si="51"/>
        <v>1.89E-2</v>
      </c>
      <c r="Q34" s="1484">
        <f t="shared" si="51"/>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9"/>
        <v>221</v>
      </c>
      <c r="E35" s="1472">
        <v>373</v>
      </c>
      <c r="F35" s="1473">
        <v>196</v>
      </c>
      <c r="G35" s="3296">
        <v>2010</v>
      </c>
      <c r="H35" s="1485">
        <v>4</v>
      </c>
      <c r="I35" s="1485">
        <v>5.72</v>
      </c>
      <c r="J35" s="1485">
        <v>6.57</v>
      </c>
      <c r="K35" s="1485">
        <v>5.72</v>
      </c>
      <c r="L35" s="1486">
        <v>2.72</v>
      </c>
      <c r="N35" s="1475">
        <f t="shared" si="51"/>
        <v>5.7200000000000001E-2</v>
      </c>
      <c r="O35" s="1476">
        <f t="shared" si="51"/>
        <v>6.5700000000000008E-2</v>
      </c>
      <c r="P35" s="1476">
        <f t="shared" si="51"/>
        <v>5.7200000000000001E-2</v>
      </c>
      <c r="Q35" s="1476">
        <f t="shared" si="51"/>
        <v>2.7200000000000002E-2</v>
      </c>
      <c r="R35" s="1477"/>
      <c r="S35" s="1478"/>
      <c r="T35" s="1479"/>
      <c r="U35" s="1479"/>
      <c r="V35" s="1479"/>
      <c r="X35" s="1479"/>
      <c r="Y35" s="1479"/>
      <c r="Z35" s="1479"/>
    </row>
    <row r="36" spans="1:26">
      <c r="A36" s="1464" t="s">
        <v>1176</v>
      </c>
      <c r="B36" s="1480">
        <f t="shared" ref="B36:C38" si="63">B35/(1+N35)</f>
        <v>254.44570563753314</v>
      </c>
      <c r="C36" s="1480">
        <f t="shared" si="63"/>
        <v>207.37543398705074</v>
      </c>
      <c r="D36" s="1480">
        <f t="shared" si="49"/>
        <v>207.37543398705074</v>
      </c>
      <c r="E36" s="1480">
        <f t="shared" ref="E36:F38" si="64">E35/(1+P35)</f>
        <v>352.81876655315932</v>
      </c>
      <c r="F36" s="1480">
        <f t="shared" si="64"/>
        <v>190.809968847352</v>
      </c>
      <c r="G36" s="3297">
        <v>2010</v>
      </c>
      <c r="H36" s="1490">
        <v>3</v>
      </c>
      <c r="I36" s="1490">
        <v>4.7300000000000004</v>
      </c>
      <c r="J36" s="1490">
        <v>3.9</v>
      </c>
      <c r="K36" s="1490">
        <v>5.03</v>
      </c>
      <c r="L36" s="1491">
        <v>4.21</v>
      </c>
      <c r="N36" s="1475">
        <f t="shared" si="51"/>
        <v>4.7300000000000002E-2</v>
      </c>
      <c r="O36" s="1476">
        <f t="shared" si="51"/>
        <v>3.9E-2</v>
      </c>
      <c r="P36" s="1476">
        <f t="shared" si="51"/>
        <v>5.0300000000000004E-2</v>
      </c>
      <c r="Q36" s="1476">
        <f t="shared" si="51"/>
        <v>4.2099999999999999E-2</v>
      </c>
      <c r="R36" s="1477"/>
      <c r="S36" s="1475"/>
      <c r="T36" s="1476"/>
      <c r="U36" s="1476"/>
      <c r="V36" s="1476"/>
    </row>
    <row r="37" spans="1:26">
      <c r="A37" s="1464" t="s">
        <v>1177</v>
      </c>
      <c r="B37" s="1480">
        <f t="shared" si="63"/>
        <v>242.95398227588385</v>
      </c>
      <c r="C37" s="1480">
        <f t="shared" si="63"/>
        <v>199.59137053614126</v>
      </c>
      <c r="D37" s="1480">
        <f t="shared" si="49"/>
        <v>199.59137053614126</v>
      </c>
      <c r="E37" s="1480">
        <f t="shared" si="64"/>
        <v>335.92189522342125</v>
      </c>
      <c r="F37" s="1480">
        <f t="shared" si="64"/>
        <v>183.10139991109489</v>
      </c>
      <c r="G37" s="3297">
        <v>2010</v>
      </c>
      <c r="H37" s="1468">
        <v>2</v>
      </c>
      <c r="I37" s="1468">
        <v>4.6900000000000004</v>
      </c>
      <c r="J37" s="1468">
        <v>3.55</v>
      </c>
      <c r="K37" s="1468">
        <v>5.07</v>
      </c>
      <c r="L37" s="1482">
        <v>4.2300000000000004</v>
      </c>
      <c r="N37" s="1475">
        <f t="shared" si="51"/>
        <v>4.6900000000000004E-2</v>
      </c>
      <c r="O37" s="1476">
        <f t="shared" si="51"/>
        <v>3.5499999999999997E-2</v>
      </c>
      <c r="P37" s="1476">
        <f t="shared" si="51"/>
        <v>5.0700000000000002E-2</v>
      </c>
      <c r="Q37" s="1476">
        <f t="shared" si="51"/>
        <v>4.2300000000000004E-2</v>
      </c>
      <c r="R37" s="1477"/>
      <c r="S37" s="1475"/>
      <c r="T37" s="1476"/>
      <c r="U37" s="1476"/>
      <c r="V37" s="1476"/>
    </row>
    <row r="38" spans="1:26" ht="13.5" thickBot="1">
      <c r="A38" s="1464" t="s">
        <v>1178</v>
      </c>
      <c r="B38" s="1480">
        <f t="shared" si="63"/>
        <v>232.06990378821649</v>
      </c>
      <c r="C38" s="1480">
        <f t="shared" si="63"/>
        <v>192.74878854286936</v>
      </c>
      <c r="D38" s="1480">
        <f t="shared" si="49"/>
        <v>192.74878854286936</v>
      </c>
      <c r="E38" s="1480">
        <f t="shared" si="64"/>
        <v>319.71247284992984</v>
      </c>
      <c r="F38" s="1480">
        <f t="shared" si="64"/>
        <v>175.67053622862409</v>
      </c>
      <c r="G38" s="3298">
        <v>2010</v>
      </c>
      <c r="H38" s="1467">
        <v>1</v>
      </c>
      <c r="I38" s="1467">
        <v>5.4</v>
      </c>
      <c r="J38" s="1467">
        <v>3.2</v>
      </c>
      <c r="K38" s="1467">
        <v>6.16</v>
      </c>
      <c r="L38" s="1481">
        <v>4.51</v>
      </c>
      <c r="N38" s="1475">
        <f t="shared" si="51"/>
        <v>5.4000000000000006E-2</v>
      </c>
      <c r="O38" s="1476">
        <f t="shared" si="51"/>
        <v>3.2000000000000001E-2</v>
      </c>
      <c r="P38" s="1476">
        <f t="shared" si="51"/>
        <v>6.1600000000000002E-2</v>
      </c>
      <c r="Q38" s="1476">
        <f t="shared" si="51"/>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9"/>
        <v>187</v>
      </c>
      <c r="E39" s="1472">
        <v>301</v>
      </c>
      <c r="F39" s="1473">
        <v>168</v>
      </c>
      <c r="G39" s="3296">
        <v>2009</v>
      </c>
      <c r="H39" s="1485">
        <v>4</v>
      </c>
      <c r="I39" s="1485">
        <v>2.2999999999999998</v>
      </c>
      <c r="J39" s="1485">
        <v>1.04</v>
      </c>
      <c r="K39" s="1485">
        <v>2.84</v>
      </c>
      <c r="L39" s="1486">
        <v>0.67</v>
      </c>
      <c r="N39" s="1487">
        <f t="shared" si="51"/>
        <v>2.3E-2</v>
      </c>
      <c r="O39" s="1488">
        <f t="shared" si="51"/>
        <v>1.04E-2</v>
      </c>
      <c r="P39" s="1488">
        <f t="shared" si="51"/>
        <v>2.8399999999999998E-2</v>
      </c>
      <c r="Q39" s="1488">
        <f t="shared" si="51"/>
        <v>6.7000000000000002E-3</v>
      </c>
      <c r="R39" s="1477"/>
      <c r="S39" s="1478"/>
      <c r="T39" s="1479"/>
      <c r="U39" s="1479"/>
      <c r="V39" s="1479"/>
      <c r="X39" s="1479"/>
      <c r="Y39" s="1479"/>
      <c r="Z39" s="1479"/>
    </row>
    <row r="40" spans="1:26">
      <c r="A40" s="1464" t="s">
        <v>1180</v>
      </c>
      <c r="B40" s="1480">
        <f t="shared" ref="B40:C42" si="65">B39/(1+N39)</f>
        <v>215.05376344086022</v>
      </c>
      <c r="C40" s="1480">
        <f t="shared" si="65"/>
        <v>185.0752177355503</v>
      </c>
      <c r="D40" s="1480">
        <f t="shared" si="49"/>
        <v>185.0752177355503</v>
      </c>
      <c r="E40" s="1480">
        <f t="shared" ref="E40:F42" si="66">E39/(1+P39)</f>
        <v>292.68767016725008</v>
      </c>
      <c r="F40" s="1480">
        <f t="shared" si="66"/>
        <v>166.88189132810174</v>
      </c>
      <c r="G40" s="3297">
        <v>2009</v>
      </c>
      <c r="H40" s="1490">
        <v>3</v>
      </c>
      <c r="I40" s="1490">
        <v>2.1</v>
      </c>
      <c r="J40" s="1490">
        <v>1.86</v>
      </c>
      <c r="K40" s="1490">
        <v>2.29</v>
      </c>
      <c r="L40" s="1491">
        <v>0.85</v>
      </c>
      <c r="N40" s="1475">
        <f t="shared" si="51"/>
        <v>2.1000000000000001E-2</v>
      </c>
      <c r="O40" s="1492">
        <f t="shared" si="51"/>
        <v>1.8600000000000002E-2</v>
      </c>
      <c r="P40" s="1492">
        <f t="shared" si="51"/>
        <v>2.29E-2</v>
      </c>
      <c r="Q40" s="1492">
        <f t="shared" si="51"/>
        <v>8.5000000000000006E-3</v>
      </c>
      <c r="R40" s="1477"/>
      <c r="S40" s="1475"/>
      <c r="T40" s="1476"/>
      <c r="U40" s="1476"/>
      <c r="V40" s="1476"/>
    </row>
    <row r="41" spans="1:26">
      <c r="A41" s="1464" t="s">
        <v>1181</v>
      </c>
      <c r="B41" s="1480">
        <f t="shared" si="65"/>
        <v>210.630522469011</v>
      </c>
      <c r="C41" s="1480">
        <f t="shared" si="65"/>
        <v>181.69567812247232</v>
      </c>
      <c r="D41" s="1480">
        <f t="shared" si="49"/>
        <v>181.69567812247232</v>
      </c>
      <c r="E41" s="1480">
        <f t="shared" si="66"/>
        <v>286.13517466736738</v>
      </c>
      <c r="F41" s="1480">
        <f t="shared" si="66"/>
        <v>165.47535084591149</v>
      </c>
      <c r="G41" s="3297">
        <v>2009</v>
      </c>
      <c r="H41" s="1468">
        <v>2</v>
      </c>
      <c r="I41" s="1468">
        <v>0.86</v>
      </c>
      <c r="J41" s="1468">
        <v>-1.1299999999999999</v>
      </c>
      <c r="K41" s="1468">
        <v>1.79</v>
      </c>
      <c r="L41" s="1482">
        <v>-2.0699999999999998</v>
      </c>
      <c r="N41" s="1475">
        <f t="shared" si="51"/>
        <v>8.6E-3</v>
      </c>
      <c r="O41" s="1492">
        <f t="shared" si="51"/>
        <v>-1.1299999999999999E-2</v>
      </c>
      <c r="P41" s="1492">
        <f t="shared" si="51"/>
        <v>1.7899999999999999E-2</v>
      </c>
      <c r="Q41" s="1492">
        <f t="shared" si="51"/>
        <v>-2.07E-2</v>
      </c>
      <c r="R41" s="1477"/>
      <c r="S41" s="1475"/>
      <c r="T41" s="1476"/>
      <c r="U41" s="1476"/>
      <c r="V41" s="1476"/>
    </row>
    <row r="42" spans="1:26">
      <c r="A42" s="1464" t="s">
        <v>1182</v>
      </c>
      <c r="B42" s="1480">
        <f t="shared" si="65"/>
        <v>208.83454537875372</v>
      </c>
      <c r="C42" s="1480">
        <f t="shared" si="65"/>
        <v>183.77230517090351</v>
      </c>
      <c r="D42" s="1480">
        <f t="shared" si="49"/>
        <v>183.77230517090351</v>
      </c>
      <c r="E42" s="1480">
        <f t="shared" si="66"/>
        <v>281.10342338870947</v>
      </c>
      <c r="F42" s="1480">
        <f t="shared" si="66"/>
        <v>168.97309388942256</v>
      </c>
      <c r="G42" s="3298">
        <v>2009</v>
      </c>
      <c r="H42" s="1467">
        <v>1</v>
      </c>
      <c r="I42" s="1467">
        <v>-2.64</v>
      </c>
      <c r="J42" s="1467">
        <v>-2.5299999999999998</v>
      </c>
      <c r="K42" s="1467">
        <v>-3.02</v>
      </c>
      <c r="L42" s="1481">
        <v>1.52</v>
      </c>
      <c r="N42" s="1483">
        <f t="shared" si="51"/>
        <v>-2.64E-2</v>
      </c>
      <c r="O42" s="1484">
        <f t="shared" si="51"/>
        <v>-2.53E-2</v>
      </c>
      <c r="P42" s="1484">
        <f t="shared" si="51"/>
        <v>-3.0200000000000001E-2</v>
      </c>
      <c r="Q42" s="1484">
        <f t="shared" si="51"/>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9"/>
        <v>188</v>
      </c>
      <c r="E43" s="1514">
        <v>289</v>
      </c>
      <c r="F43" s="1515">
        <v>166</v>
      </c>
      <c r="G43" s="3296">
        <v>2008</v>
      </c>
      <c r="H43" s="1485">
        <v>4</v>
      </c>
      <c r="I43" s="1485">
        <v>1.73</v>
      </c>
      <c r="J43" s="1485">
        <v>0.03</v>
      </c>
      <c r="K43" s="1485">
        <v>2.59</v>
      </c>
      <c r="L43" s="1486">
        <v>-1.66</v>
      </c>
      <c r="N43" s="1475">
        <f t="shared" si="51"/>
        <v>1.7299999999999999E-2</v>
      </c>
      <c r="O43" s="1476">
        <f t="shared" si="51"/>
        <v>2.9999999999999997E-4</v>
      </c>
      <c r="P43" s="1476">
        <f t="shared" si="51"/>
        <v>2.5899999999999999E-2</v>
      </c>
      <c r="Q43" s="1476">
        <f t="shared" si="51"/>
        <v>-1.66E-2</v>
      </c>
      <c r="R43" s="1477"/>
      <c r="S43" s="1478"/>
      <c r="T43" s="1479"/>
      <c r="U43" s="1479"/>
      <c r="V43" s="1479"/>
      <c r="X43" s="1479"/>
      <c r="Y43" s="1479"/>
      <c r="Z43" s="1479"/>
    </row>
    <row r="44" spans="1:26">
      <c r="A44" s="1464" t="s">
        <v>1184</v>
      </c>
      <c r="B44" s="1480">
        <f t="shared" ref="B44:C46" si="67">B43/(1+N43)</f>
        <v>210.36075887152265</v>
      </c>
      <c r="C44" s="1480">
        <f t="shared" si="67"/>
        <v>187.94361691492554</v>
      </c>
      <c r="D44" s="1480">
        <f t="shared" si="49"/>
        <v>187.94361691492554</v>
      </c>
      <c r="E44" s="1480">
        <f t="shared" ref="E44:F46" si="68">E43/(1+P43)</f>
        <v>281.70386977288234</v>
      </c>
      <c r="F44" s="1480">
        <f t="shared" si="68"/>
        <v>168.80211511083994</v>
      </c>
      <c r="G44" s="3297">
        <v>2008</v>
      </c>
      <c r="H44" s="1490">
        <v>3</v>
      </c>
      <c r="I44" s="1490">
        <v>1.96</v>
      </c>
      <c r="J44" s="1490">
        <v>2.36</v>
      </c>
      <c r="K44" s="1490">
        <v>1.82</v>
      </c>
      <c r="L44" s="1491">
        <v>2.2200000000000002</v>
      </c>
      <c r="N44" s="1475">
        <f t="shared" si="51"/>
        <v>1.9599999999999999E-2</v>
      </c>
      <c r="O44" s="1476">
        <f t="shared" si="51"/>
        <v>2.3599999999999999E-2</v>
      </c>
      <c r="P44" s="1476">
        <f t="shared" si="51"/>
        <v>1.8200000000000001E-2</v>
      </c>
      <c r="Q44" s="1476">
        <f t="shared" si="51"/>
        <v>2.2200000000000001E-2</v>
      </c>
      <c r="R44" s="1477"/>
      <c r="S44" s="1475"/>
      <c r="T44" s="1476"/>
      <c r="U44" s="1476"/>
      <c r="V44" s="1476"/>
    </row>
    <row r="45" spans="1:26">
      <c r="A45" s="1464" t="s">
        <v>1185</v>
      </c>
      <c r="B45" s="1480">
        <f t="shared" si="67"/>
        <v>206.31694671589116</v>
      </c>
      <c r="C45" s="1480">
        <f t="shared" si="67"/>
        <v>183.61041121036101</v>
      </c>
      <c r="D45" s="1480">
        <f t="shared" si="49"/>
        <v>183.61041121036101</v>
      </c>
      <c r="E45" s="1480">
        <f t="shared" si="68"/>
        <v>276.66850301795557</v>
      </c>
      <c r="F45" s="1480">
        <f t="shared" si="68"/>
        <v>165.1360938278614</v>
      </c>
      <c r="G45" s="3297">
        <v>2008</v>
      </c>
      <c r="H45" s="1468">
        <v>2</v>
      </c>
      <c r="I45" s="1468">
        <v>4.93</v>
      </c>
      <c r="J45" s="1468">
        <v>7.38</v>
      </c>
      <c r="K45" s="1468">
        <v>3.98</v>
      </c>
      <c r="L45" s="1482">
        <v>6.86</v>
      </c>
      <c r="N45" s="1475">
        <f t="shared" si="51"/>
        <v>4.9299999999999997E-2</v>
      </c>
      <c r="O45" s="1476">
        <f t="shared" si="51"/>
        <v>7.3800000000000004E-2</v>
      </c>
      <c r="P45" s="1476">
        <f t="shared" si="51"/>
        <v>3.9800000000000002E-2</v>
      </c>
      <c r="Q45" s="1476">
        <f t="shared" si="51"/>
        <v>6.8600000000000008E-2</v>
      </c>
      <c r="R45" s="1477"/>
      <c r="S45" s="1475"/>
      <c r="T45" s="1476"/>
      <c r="U45" s="1476"/>
      <c r="V45" s="1476"/>
    </row>
    <row r="46" spans="1:26" s="1520" customFormat="1" ht="13.5" thickBot="1">
      <c r="A46" s="1464" t="s">
        <v>1186</v>
      </c>
      <c r="B46" s="1517">
        <f t="shared" si="67"/>
        <v>196.62341248059772</v>
      </c>
      <c r="C46" s="1517">
        <f t="shared" si="67"/>
        <v>170.99125648199012</v>
      </c>
      <c r="D46" s="1517">
        <f t="shared" si="49"/>
        <v>170.99125648199012</v>
      </c>
      <c r="E46" s="1517">
        <f t="shared" si="68"/>
        <v>266.07857570490052</v>
      </c>
      <c r="F46" s="1517">
        <f t="shared" si="68"/>
        <v>154.53499328828505</v>
      </c>
      <c r="G46" s="3298">
        <v>2008</v>
      </c>
      <c r="H46" s="1518">
        <v>1</v>
      </c>
      <c r="I46" s="1518">
        <v>4.1399999999999997</v>
      </c>
      <c r="J46" s="1518">
        <v>3.45</v>
      </c>
      <c r="K46" s="1518">
        <v>4.95</v>
      </c>
      <c r="L46" s="1519">
        <v>4.82</v>
      </c>
      <c r="N46" s="1521">
        <f t="shared" si="51"/>
        <v>4.1399999999999999E-2</v>
      </c>
      <c r="O46" s="1522">
        <f t="shared" si="51"/>
        <v>3.4500000000000003E-2</v>
      </c>
      <c r="P46" s="1522">
        <f t="shared" si="51"/>
        <v>4.9500000000000002E-2</v>
      </c>
      <c r="Q46" s="1522">
        <f t="shared" si="51"/>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9"/>
        <v>165</v>
      </c>
      <c r="E47" s="1472">
        <v>254</v>
      </c>
      <c r="F47" s="1473">
        <v>148</v>
      </c>
      <c r="G47" s="3296">
        <v>2007</v>
      </c>
      <c r="H47" s="1525">
        <v>4</v>
      </c>
      <c r="I47" s="1525">
        <v>5.51</v>
      </c>
      <c r="J47" s="1525">
        <v>4.8899999999999997</v>
      </c>
      <c r="K47" s="1525">
        <v>6.43</v>
      </c>
      <c r="L47" s="1526">
        <v>5.36</v>
      </c>
      <c r="N47" s="1527">
        <f t="shared" ref="N47:O50" si="69">B47/B48-1</f>
        <v>4.1339718365245526E-2</v>
      </c>
      <c r="O47" s="1528">
        <f t="shared" si="69"/>
        <v>4.0324492593776018E-2</v>
      </c>
      <c r="P47" s="1528">
        <f t="shared" ref="P47:Q50" si="70">E47/E48-1</f>
        <v>6.1625555347990968E-2</v>
      </c>
      <c r="Q47" s="1528">
        <f t="shared" si="70"/>
        <v>4.6757569250590603E-2</v>
      </c>
      <c r="R47" s="1477"/>
      <c r="S47" s="1478"/>
      <c r="T47" s="1479"/>
      <c r="U47" s="1479"/>
      <c r="V47" s="1479"/>
      <c r="X47" s="1479"/>
      <c r="Y47" s="1479"/>
      <c r="Z47" s="1479"/>
    </row>
    <row r="48" spans="1:26">
      <c r="A48" s="1464" t="s">
        <v>1188</v>
      </c>
      <c r="B48" s="1480">
        <f t="shared" ref="B48:C50" si="71">B49+(B$47-B$51)*I48/SUM(I$47:I$50)</f>
        <v>180.5366651097618</v>
      </c>
      <c r="C48" s="1480">
        <f t="shared" si="71"/>
        <v>158.60435967302453</v>
      </c>
      <c r="D48" s="1480">
        <f t="shared" si="49"/>
        <v>158.60435967302453</v>
      </c>
      <c r="E48" s="1480">
        <f t="shared" ref="E48:F50" si="72">E49+(E$47-E$51)*K48/SUM(K$47:K$50)</f>
        <v>239.25573260785075</v>
      </c>
      <c r="F48" s="1480">
        <f t="shared" si="72"/>
        <v>141.38899430740037</v>
      </c>
      <c r="G48" s="3297">
        <v>2007</v>
      </c>
      <c r="H48" s="1490">
        <v>3</v>
      </c>
      <c r="I48" s="1490">
        <v>8.65</v>
      </c>
      <c r="J48" s="1490">
        <v>8.06</v>
      </c>
      <c r="K48" s="1490">
        <v>9.94</v>
      </c>
      <c r="L48" s="1491">
        <v>5.8</v>
      </c>
      <c r="N48" s="1527">
        <f t="shared" si="69"/>
        <v>6.940217571740015E-2</v>
      </c>
      <c r="O48" s="1528">
        <f t="shared" si="69"/>
        <v>7.1197482471153428E-2</v>
      </c>
      <c r="P48" s="1528">
        <f t="shared" si="70"/>
        <v>0.10529679922579582</v>
      </c>
      <c r="Q48" s="1528">
        <f t="shared" si="70"/>
        <v>5.3292245059512133E-2</v>
      </c>
      <c r="R48" s="1477"/>
      <c r="S48" s="1475"/>
      <c r="T48" s="1476"/>
      <c r="U48" s="1476"/>
      <c r="V48" s="1476"/>
      <c r="X48" s="1529"/>
      <c r="Y48" s="1529"/>
      <c r="Z48" s="1529"/>
    </row>
    <row r="49" spans="1:26">
      <c r="A49" s="1464" t="s">
        <v>1189</v>
      </c>
      <c r="B49" s="1480">
        <f t="shared" si="71"/>
        <v>168.82017748715555</v>
      </c>
      <c r="C49" s="1480">
        <f t="shared" si="71"/>
        <v>148.06267029972753</v>
      </c>
      <c r="D49" s="1480">
        <f t="shared" si="49"/>
        <v>148.06267029972753</v>
      </c>
      <c r="E49" s="1480">
        <f t="shared" si="72"/>
        <v>216.46288379323747</v>
      </c>
      <c r="F49" s="1480">
        <f t="shared" si="72"/>
        <v>134.23529411764704</v>
      </c>
      <c r="G49" s="3297">
        <v>2007</v>
      </c>
      <c r="H49" s="1468">
        <v>2</v>
      </c>
      <c r="I49" s="1468">
        <v>3.67</v>
      </c>
      <c r="J49" s="1468">
        <v>2.3199999999999998</v>
      </c>
      <c r="K49" s="1468">
        <v>5.0199999999999996</v>
      </c>
      <c r="L49" s="1482">
        <v>6.71</v>
      </c>
      <c r="N49" s="1527">
        <f t="shared" si="69"/>
        <v>3.0339138143848032E-2</v>
      </c>
      <c r="O49" s="1528">
        <f t="shared" si="69"/>
        <v>2.0922341588790472E-2</v>
      </c>
      <c r="P49" s="1528">
        <f t="shared" si="70"/>
        <v>5.6164796592717003E-2</v>
      </c>
      <c r="Q49" s="1528">
        <f t="shared" si="70"/>
        <v>6.5704536723887319E-2</v>
      </c>
      <c r="R49" s="1477"/>
      <c r="S49" s="1475"/>
      <c r="T49" s="1476"/>
      <c r="U49" s="1476"/>
      <c r="V49" s="1476"/>
      <c r="X49" s="1529"/>
      <c r="Y49" s="1529"/>
      <c r="Z49" s="1529"/>
    </row>
    <row r="50" spans="1:26">
      <c r="A50" s="1464" t="s">
        <v>1190</v>
      </c>
      <c r="B50" s="1480">
        <f t="shared" si="71"/>
        <v>163.84913591779542</v>
      </c>
      <c r="C50" s="1480">
        <f t="shared" si="71"/>
        <v>145.0283378746594</v>
      </c>
      <c r="D50" s="1480">
        <f t="shared" si="49"/>
        <v>145.0283378746594</v>
      </c>
      <c r="E50" s="1480">
        <f t="shared" si="72"/>
        <v>204.95180722891567</v>
      </c>
      <c r="F50" s="1480">
        <f t="shared" si="72"/>
        <v>125.95920303605313</v>
      </c>
      <c r="G50" s="3298">
        <v>2007</v>
      </c>
      <c r="H50" s="1467">
        <v>1</v>
      </c>
      <c r="I50" s="1467">
        <v>3.58</v>
      </c>
      <c r="J50" s="1467">
        <v>3.08</v>
      </c>
      <c r="K50" s="1467">
        <v>4.34</v>
      </c>
      <c r="L50" s="1481">
        <v>3.21</v>
      </c>
      <c r="N50" s="1530">
        <f t="shared" si="69"/>
        <v>3.0497710174814063E-2</v>
      </c>
      <c r="O50" s="1531">
        <f t="shared" si="69"/>
        <v>2.8569772160704998E-2</v>
      </c>
      <c r="P50" s="1531">
        <f t="shared" si="70"/>
        <v>5.1034908866234296E-2</v>
      </c>
      <c r="Q50" s="1531">
        <f t="shared" si="70"/>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9"/>
        <v>141</v>
      </c>
      <c r="E51" s="1493">
        <v>195</v>
      </c>
      <c r="F51" s="1494">
        <v>122</v>
      </c>
      <c r="G51" s="3296">
        <v>2006</v>
      </c>
      <c r="H51" s="1485">
        <v>4</v>
      </c>
      <c r="I51" s="1485">
        <v>3.79</v>
      </c>
      <c r="J51" s="1485">
        <v>2.21</v>
      </c>
      <c r="K51" s="1485">
        <v>5.65</v>
      </c>
      <c r="L51" s="1486">
        <v>5.41</v>
      </c>
      <c r="N51" s="1527">
        <f t="shared" ref="N51:O54" si="73">I51/SUM(I$51:I$54)*(B$51/B$55-1)</f>
        <v>7.245466462748526E-2</v>
      </c>
      <c r="O51" s="1528">
        <f t="shared" si="73"/>
        <v>2.3237230038062766E-2</v>
      </c>
      <c r="P51" s="1528">
        <f t="shared" ref="P51:Q54" si="74">K51/SUM(K$51:K$54)*(E$51/E$55-1)</f>
        <v>0.16146893866323722</v>
      </c>
      <c r="Q51" s="1528">
        <f t="shared" si="74"/>
        <v>5.0755230321793784E-2</v>
      </c>
      <c r="R51" s="1477"/>
      <c r="S51" s="1478"/>
      <c r="T51" s="1479"/>
      <c r="U51" s="1479"/>
      <c r="V51" s="1479"/>
      <c r="X51" s="1529"/>
      <c r="Y51" s="1529"/>
      <c r="Z51" s="1529"/>
    </row>
    <row r="52" spans="1:26">
      <c r="A52" s="1464" t="s">
        <v>1192</v>
      </c>
      <c r="B52" s="1480">
        <f t="shared" ref="B52:C54" si="75">B53+(B$51-B$55)*I52/SUM(I$51:I$54)</f>
        <v>149.00125628140702</v>
      </c>
      <c r="C52" s="1480">
        <f t="shared" si="75"/>
        <v>137.95592286501378</v>
      </c>
      <c r="D52" s="1480">
        <f t="shared" si="49"/>
        <v>137.95592286501378</v>
      </c>
      <c r="E52" s="1480">
        <f t="shared" ref="E52:F54" si="76">E53+(E$51-E$55)*K52/SUM(K$51:K$54)</f>
        <v>169.97231450719823</v>
      </c>
      <c r="F52" s="1480">
        <f t="shared" si="76"/>
        <v>116.21390374331551</v>
      </c>
      <c r="G52" s="3297">
        <v>2006</v>
      </c>
      <c r="H52" s="1490">
        <v>3</v>
      </c>
      <c r="I52" s="1490">
        <v>0.92</v>
      </c>
      <c r="J52" s="1490">
        <v>1.08</v>
      </c>
      <c r="K52" s="1490">
        <v>0.73</v>
      </c>
      <c r="L52" s="1491">
        <v>1.08</v>
      </c>
      <c r="N52" s="1527">
        <f t="shared" si="73"/>
        <v>1.7587939698492462E-2</v>
      </c>
      <c r="O52" s="1528">
        <f t="shared" si="73"/>
        <v>1.1355750425840628E-2</v>
      </c>
      <c r="P52" s="1528">
        <f t="shared" si="74"/>
        <v>2.0862358446754544E-2</v>
      </c>
      <c r="Q52" s="1528">
        <f t="shared" si="74"/>
        <v>1.0132282578103011E-2</v>
      </c>
      <c r="R52" s="1477"/>
      <c r="S52" s="1475"/>
      <c r="T52" s="1476"/>
      <c r="U52" s="1476"/>
      <c r="V52" s="1476"/>
      <c r="X52" s="1529"/>
      <c r="Y52" s="1529"/>
      <c r="Z52" s="1529"/>
    </row>
    <row r="53" spans="1:26">
      <c r="A53" s="1464" t="s">
        <v>1193</v>
      </c>
      <c r="B53" s="1480">
        <f t="shared" si="75"/>
        <v>146.57412060301507</v>
      </c>
      <c r="C53" s="1480">
        <f t="shared" si="75"/>
        <v>136.46831955922866</v>
      </c>
      <c r="D53" s="1480">
        <f t="shared" si="49"/>
        <v>136.46831955922866</v>
      </c>
      <c r="E53" s="1480">
        <f t="shared" si="76"/>
        <v>166.73864894795128</v>
      </c>
      <c r="F53" s="1480">
        <f t="shared" si="76"/>
        <v>115.05882352941177</v>
      </c>
      <c r="G53" s="3297">
        <v>2006</v>
      </c>
      <c r="H53" s="1468">
        <v>2</v>
      </c>
      <c r="I53" s="1468">
        <v>0.96</v>
      </c>
      <c r="J53" s="1468">
        <v>0.25</v>
      </c>
      <c r="K53" s="1468">
        <v>1.9</v>
      </c>
      <c r="L53" s="1482">
        <v>0.95</v>
      </c>
      <c r="N53" s="1527">
        <f t="shared" si="73"/>
        <v>1.8352632728861701E-2</v>
      </c>
      <c r="O53" s="1528">
        <f t="shared" si="73"/>
        <v>2.6286459319075526E-3</v>
      </c>
      <c r="P53" s="1528">
        <f t="shared" si="74"/>
        <v>5.4299289107991269E-2</v>
      </c>
      <c r="Q53" s="1528">
        <f t="shared" si="74"/>
        <v>8.9126559714794995E-3</v>
      </c>
      <c r="R53" s="1477"/>
      <c r="S53" s="1475"/>
      <c r="T53" s="1476"/>
      <c r="U53" s="1476"/>
      <c r="V53" s="1476"/>
      <c r="X53" s="1529"/>
      <c r="Y53" s="1529"/>
      <c r="Z53" s="1529"/>
    </row>
    <row r="54" spans="1:26">
      <c r="A54" s="1464" t="s">
        <v>1194</v>
      </c>
      <c r="B54" s="1480">
        <f t="shared" si="75"/>
        <v>144.04145728643215</v>
      </c>
      <c r="C54" s="1480">
        <f t="shared" si="75"/>
        <v>136.12396694214877</v>
      </c>
      <c r="D54" s="1480">
        <f t="shared" si="49"/>
        <v>136.12396694214877</v>
      </c>
      <c r="E54" s="1480">
        <f t="shared" si="76"/>
        <v>158.32225913621264</v>
      </c>
      <c r="F54" s="1480">
        <f t="shared" si="76"/>
        <v>114.04278074866311</v>
      </c>
      <c r="G54" s="3298">
        <v>2006</v>
      </c>
      <c r="H54" s="1467">
        <v>1</v>
      </c>
      <c r="I54" s="1467">
        <v>2.29</v>
      </c>
      <c r="J54" s="1467">
        <v>3.72</v>
      </c>
      <c r="K54" s="1467">
        <v>0.75</v>
      </c>
      <c r="L54" s="1481">
        <v>0.04</v>
      </c>
      <c r="N54" s="1530">
        <f t="shared" si="73"/>
        <v>4.3778675988638847E-2</v>
      </c>
      <c r="O54" s="1531">
        <f t="shared" si="73"/>
        <v>3.9114251466784385E-2</v>
      </c>
      <c r="P54" s="1531">
        <f t="shared" si="74"/>
        <v>2.1433929911049188E-2</v>
      </c>
      <c r="Q54" s="1531">
        <f t="shared" si="74"/>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9"/>
        <v>131</v>
      </c>
      <c r="E55" s="1493">
        <v>155</v>
      </c>
      <c r="F55" s="1494">
        <v>114</v>
      </c>
      <c r="G55" s="3296">
        <v>2005</v>
      </c>
      <c r="H55" s="1485">
        <v>4</v>
      </c>
      <c r="I55" s="1485">
        <v>3.29</v>
      </c>
      <c r="J55" s="1485">
        <v>1.44</v>
      </c>
      <c r="K55" s="1485">
        <v>0.66</v>
      </c>
      <c r="L55" s="1486">
        <v>7.78</v>
      </c>
      <c r="N55" s="1527">
        <f t="shared" ref="N55:O58" si="77">I55/SUM(I$55:I$58)*(B$55/B$59-1)</f>
        <v>9.9404603216919935E-2</v>
      </c>
      <c r="O55" s="1528">
        <f t="shared" si="77"/>
        <v>4.7636550760861554E-2</v>
      </c>
      <c r="P55" s="1528">
        <f t="shared" ref="P55:Q58" si="78">K55/SUM(K$55:K$58)*(E$55/E$59-1)</f>
        <v>8.3756345177664976E-2</v>
      </c>
      <c r="Q55" s="1528">
        <f t="shared" si="78"/>
        <v>5.2148766661559584E-2</v>
      </c>
      <c r="R55" s="1477"/>
      <c r="S55" s="1478"/>
      <c r="T55" s="1479"/>
      <c r="U55" s="1479"/>
      <c r="V55" s="1479"/>
      <c r="X55" s="1529"/>
      <c r="Y55" s="1529"/>
      <c r="Z55" s="1529"/>
    </row>
    <row r="56" spans="1:26">
      <c r="A56" s="1464" t="s">
        <v>1196</v>
      </c>
      <c r="B56" s="1480">
        <f t="shared" ref="B56:C58" si="79">B57+(B$55-B$59)*I56/SUM(I$55:I$58)</f>
        <v>125.9720430107527</v>
      </c>
      <c r="C56" s="1480">
        <f t="shared" si="79"/>
        <v>125.1883408071749</v>
      </c>
      <c r="D56" s="1480">
        <f t="shared" si="49"/>
        <v>125.1883408071749</v>
      </c>
      <c r="E56" s="1480">
        <f t="shared" ref="E56:F58" si="80">E57+(E$55-E$59)*K56/SUM(K$55:K$58)</f>
        <v>144.61421319796952</v>
      </c>
      <c r="F56" s="1480">
        <f t="shared" si="80"/>
        <v>108.42008196721311</v>
      </c>
      <c r="G56" s="3297">
        <v>2005</v>
      </c>
      <c r="H56" s="1490">
        <v>3</v>
      </c>
      <c r="I56" s="1490">
        <v>0.46</v>
      </c>
      <c r="J56" s="1490">
        <v>0.32</v>
      </c>
      <c r="K56" s="1490">
        <v>0.42</v>
      </c>
      <c r="L56" s="1491">
        <v>0.64</v>
      </c>
      <c r="N56" s="1527">
        <f t="shared" si="77"/>
        <v>1.3898515951301874E-2</v>
      </c>
      <c r="O56" s="1528">
        <f t="shared" si="77"/>
        <v>1.0585900169080346E-2</v>
      </c>
      <c r="P56" s="1528">
        <f t="shared" si="78"/>
        <v>5.3299492385786795E-2</v>
      </c>
      <c r="Q56" s="1528">
        <f t="shared" si="78"/>
        <v>4.2898728359123568E-3</v>
      </c>
      <c r="R56" s="1477"/>
      <c r="S56" s="1475"/>
      <c r="T56" s="1476"/>
      <c r="U56" s="1476"/>
      <c r="V56" s="1476"/>
      <c r="X56" s="1529"/>
      <c r="Y56" s="1529"/>
      <c r="Z56" s="1529"/>
    </row>
    <row r="57" spans="1:26">
      <c r="A57" s="1464" t="s">
        <v>1197</v>
      </c>
      <c r="B57" s="1480">
        <f t="shared" si="79"/>
        <v>124.29032258064517</v>
      </c>
      <c r="C57" s="1480">
        <f t="shared" si="79"/>
        <v>123.8968609865471</v>
      </c>
      <c r="D57" s="1480">
        <f t="shared" si="49"/>
        <v>123.8968609865471</v>
      </c>
      <c r="E57" s="1480">
        <f t="shared" si="80"/>
        <v>138.00507614213197</v>
      </c>
      <c r="F57" s="1480">
        <f t="shared" si="80"/>
        <v>107.96106557377048</v>
      </c>
      <c r="G57" s="3297">
        <v>2005</v>
      </c>
      <c r="H57" s="1468">
        <v>2</v>
      </c>
      <c r="I57" s="1468">
        <v>0.47</v>
      </c>
      <c r="J57" s="1468">
        <v>0.1</v>
      </c>
      <c r="K57" s="1468">
        <v>0.52</v>
      </c>
      <c r="L57" s="1482">
        <v>0.79</v>
      </c>
      <c r="N57" s="1527">
        <f t="shared" si="77"/>
        <v>1.420065760241713E-2</v>
      </c>
      <c r="O57" s="1528">
        <f t="shared" si="77"/>
        <v>3.3080938028376083E-3</v>
      </c>
      <c r="P57" s="1528">
        <f t="shared" si="78"/>
        <v>6.598984771573603E-2</v>
      </c>
      <c r="Q57" s="1528">
        <f t="shared" si="78"/>
        <v>5.2953117818293153E-3</v>
      </c>
      <c r="R57" s="1477"/>
      <c r="S57" s="1475"/>
      <c r="T57" s="1476"/>
      <c r="U57" s="1476"/>
      <c r="V57" s="1476"/>
      <c r="X57" s="1529"/>
      <c r="Y57" s="1529"/>
      <c r="Z57" s="1529"/>
    </row>
    <row r="58" spans="1:26">
      <c r="A58" s="1464" t="s">
        <v>1198</v>
      </c>
      <c r="B58" s="1480">
        <f t="shared" si="79"/>
        <v>122.57204301075269</v>
      </c>
      <c r="C58" s="1480">
        <f t="shared" si="79"/>
        <v>123.4932735426009</v>
      </c>
      <c r="D58" s="1480">
        <f t="shared" si="49"/>
        <v>123.4932735426009</v>
      </c>
      <c r="E58" s="1480">
        <f t="shared" si="80"/>
        <v>129.82233502538071</v>
      </c>
      <c r="F58" s="1480">
        <f t="shared" si="80"/>
        <v>107.39446721311475</v>
      </c>
      <c r="G58" s="3298">
        <v>2005</v>
      </c>
      <c r="H58" s="1467">
        <v>1</v>
      </c>
      <c r="I58" s="1467">
        <v>0.43</v>
      </c>
      <c r="J58" s="1467">
        <v>0.37</v>
      </c>
      <c r="K58" s="1467">
        <v>0.37</v>
      </c>
      <c r="L58" s="1481">
        <v>0.55000000000000004</v>
      </c>
      <c r="N58" s="1530">
        <f t="shared" si="77"/>
        <v>1.2992090997956099E-2</v>
      </c>
      <c r="O58" s="1531">
        <f t="shared" si="77"/>
        <v>1.2239947070499151E-2</v>
      </c>
      <c r="P58" s="1531">
        <f t="shared" si="78"/>
        <v>4.6954314720812178E-2</v>
      </c>
      <c r="Q58" s="1531">
        <f t="shared" si="78"/>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9"/>
        <v>122</v>
      </c>
      <c r="E59" s="1514">
        <v>124</v>
      </c>
      <c r="F59" s="1515">
        <v>107</v>
      </c>
      <c r="G59" s="3296">
        <v>2004</v>
      </c>
      <c r="H59" s="1485">
        <v>4</v>
      </c>
      <c r="I59" s="1485">
        <v>0.33</v>
      </c>
      <c r="J59" s="1485">
        <v>0.5</v>
      </c>
      <c r="K59" s="1485">
        <v>0.5</v>
      </c>
      <c r="L59" s="1486">
        <v>0</v>
      </c>
      <c r="N59" s="1527">
        <f t="shared" ref="N59:O62" si="81">I59/SUM(I$59:I$62)*(B$59/B$63-1)</f>
        <v>1.3391770148526898E-2</v>
      </c>
      <c r="O59" s="1528">
        <f t="shared" si="81"/>
        <v>1.063264221158958E-2</v>
      </c>
      <c r="P59" s="1528">
        <f t="shared" ref="P59:Q62" si="82">K59/SUM(K$59:K$62)*(E$59/E$63-1)</f>
        <v>2.2244466688911134E-2</v>
      </c>
      <c r="Q59" s="1528">
        <f t="shared" si="82"/>
        <v>0</v>
      </c>
      <c r="R59" s="1477"/>
      <c r="S59" s="1478"/>
      <c r="T59" s="1479"/>
      <c r="U59" s="1479"/>
      <c r="V59" s="1479"/>
      <c r="X59" s="1529"/>
      <c r="Y59" s="1529"/>
      <c r="Z59" s="1529"/>
    </row>
    <row r="60" spans="1:26">
      <c r="A60" s="1464" t="s">
        <v>1200</v>
      </c>
      <c r="B60" s="1480">
        <f t="shared" ref="B60:C62" si="83">B61+(B$59-B$63)*I60/SUM(I$59:I$62)</f>
        <v>119.51351351351352</v>
      </c>
      <c r="C60" s="1480">
        <f t="shared" si="83"/>
        <v>120.7878787878788</v>
      </c>
      <c r="D60" s="1480">
        <f t="shared" si="49"/>
        <v>120.7878787878788</v>
      </c>
      <c r="E60" s="1480">
        <f t="shared" ref="E60:F62" si="84">E61+(E$59-E$63)*K60/SUM(K$59:K$62)</f>
        <v>121.5975975975976</v>
      </c>
      <c r="F60" s="1480">
        <f t="shared" si="84"/>
        <v>107</v>
      </c>
      <c r="G60" s="3297">
        <v>2004</v>
      </c>
      <c r="H60" s="1490">
        <v>3</v>
      </c>
      <c r="I60" s="1490">
        <v>0.56000000000000005</v>
      </c>
      <c r="J60" s="1490">
        <v>0.8</v>
      </c>
      <c r="K60" s="1490">
        <v>0.83</v>
      </c>
      <c r="L60" s="1491">
        <v>0.06</v>
      </c>
      <c r="N60" s="1527">
        <f t="shared" si="81"/>
        <v>2.2725428130833527E-2</v>
      </c>
      <c r="O60" s="1528">
        <f t="shared" si="81"/>
        <v>1.7012227538543329E-2</v>
      </c>
      <c r="P60" s="1528">
        <f t="shared" si="82"/>
        <v>3.6925814703592477E-2</v>
      </c>
      <c r="Q60" s="1528">
        <f t="shared" si="82"/>
        <v>2.8846153846153744E-2</v>
      </c>
      <c r="R60" s="1477"/>
      <c r="S60" s="1475"/>
      <c r="T60" s="1476"/>
      <c r="U60" s="1476"/>
      <c r="V60" s="1476"/>
      <c r="X60" s="1529"/>
      <c r="Y60" s="1529"/>
      <c r="Z60" s="1529"/>
    </row>
    <row r="61" spans="1:26">
      <c r="A61" s="1464" t="s">
        <v>1201</v>
      </c>
      <c r="B61" s="1480">
        <f t="shared" si="83"/>
        <v>116.99099099099099</v>
      </c>
      <c r="C61" s="1480">
        <f t="shared" si="83"/>
        <v>118.84848484848486</v>
      </c>
      <c r="D61" s="1480">
        <f t="shared" si="49"/>
        <v>118.84848484848486</v>
      </c>
      <c r="E61" s="1480">
        <f t="shared" si="84"/>
        <v>117.60960960960961</v>
      </c>
      <c r="F61" s="1480">
        <f t="shared" si="84"/>
        <v>104</v>
      </c>
      <c r="G61" s="3297">
        <v>2004</v>
      </c>
      <c r="H61" s="1468">
        <v>2</v>
      </c>
      <c r="I61" s="1468">
        <v>1</v>
      </c>
      <c r="J61" s="1468">
        <v>1.5</v>
      </c>
      <c r="K61" s="1468">
        <v>1.5</v>
      </c>
      <c r="L61" s="1482">
        <v>0</v>
      </c>
      <c r="N61" s="1527">
        <f t="shared" si="81"/>
        <v>4.0581121662202721E-2</v>
      </c>
      <c r="O61" s="1528">
        <f t="shared" si="81"/>
        <v>3.1897926634768738E-2</v>
      </c>
      <c r="P61" s="1528">
        <f t="shared" si="82"/>
        <v>6.6733400066733395E-2</v>
      </c>
      <c r="Q61" s="1528">
        <f t="shared" si="82"/>
        <v>0</v>
      </c>
      <c r="R61" s="1477"/>
      <c r="S61" s="1475"/>
      <c r="T61" s="1476"/>
      <c r="U61" s="1476"/>
      <c r="V61" s="1476"/>
      <c r="X61" s="1529"/>
      <c r="Y61" s="1529"/>
      <c r="Z61" s="1529"/>
    </row>
    <row r="62" spans="1:26" s="1520" customFormat="1" ht="13.5" thickBot="1">
      <c r="A62" s="1464" t="s">
        <v>1202</v>
      </c>
      <c r="B62" s="1517">
        <f t="shared" si="83"/>
        <v>112.48648648648648</v>
      </c>
      <c r="C62" s="1517">
        <f t="shared" si="83"/>
        <v>115.21212121212122</v>
      </c>
      <c r="D62" s="1517">
        <f t="shared" si="49"/>
        <v>115.21212121212122</v>
      </c>
      <c r="E62" s="1517">
        <f t="shared" si="84"/>
        <v>110.4024024024024</v>
      </c>
      <c r="F62" s="1517">
        <f t="shared" si="84"/>
        <v>104</v>
      </c>
      <c r="G62" s="3298">
        <v>2004</v>
      </c>
      <c r="H62" s="1518">
        <v>1</v>
      </c>
      <c r="I62" s="1518">
        <v>0.33</v>
      </c>
      <c r="J62" s="1518">
        <v>0.5</v>
      </c>
      <c r="K62" s="1518">
        <v>0.5</v>
      </c>
      <c r="L62" s="1519">
        <v>0</v>
      </c>
      <c r="N62" s="1532">
        <f t="shared" si="81"/>
        <v>1.3391770148526898E-2</v>
      </c>
      <c r="O62" s="1533">
        <f t="shared" si="81"/>
        <v>1.063264221158958E-2</v>
      </c>
      <c r="P62" s="1533">
        <f t="shared" si="82"/>
        <v>2.2244466688911134E-2</v>
      </c>
      <c r="Q62" s="1533">
        <f t="shared" si="82"/>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9"/>
        <v>114</v>
      </c>
      <c r="E63" s="1535">
        <v>108</v>
      </c>
      <c r="F63" s="1536">
        <v>104</v>
      </c>
      <c r="G63" s="3296">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5">B65+(B$63-B$67)/4</f>
        <v>109.75</v>
      </c>
      <c r="C64" s="1539">
        <f t="shared" si="85"/>
        <v>112.25</v>
      </c>
      <c r="D64" s="1539">
        <f t="shared" si="49"/>
        <v>112.25</v>
      </c>
      <c r="E64" s="1539">
        <f t="shared" ref="E64:F66" si="86">E65+(E$63-E$67)/4</f>
        <v>107.25</v>
      </c>
      <c r="F64" s="1539">
        <f t="shared" si="86"/>
        <v>103.5</v>
      </c>
      <c r="G64" s="3297">
        <v>2003</v>
      </c>
      <c r="H64" s="1490">
        <v>3</v>
      </c>
      <c r="I64" s="1537"/>
      <c r="J64" s="1537"/>
      <c r="K64" s="1537"/>
      <c r="L64" s="1537"/>
      <c r="X64" s="1529"/>
      <c r="Y64" s="1529"/>
      <c r="Z64" s="1529"/>
    </row>
    <row r="65" spans="1:26">
      <c r="A65" s="1464" t="s">
        <v>1205</v>
      </c>
      <c r="B65" s="1539">
        <f t="shared" si="85"/>
        <v>108.5</v>
      </c>
      <c r="C65" s="1539">
        <f t="shared" si="85"/>
        <v>110.5</v>
      </c>
      <c r="D65" s="1539">
        <f t="shared" si="49"/>
        <v>110.5</v>
      </c>
      <c r="E65" s="1539">
        <f t="shared" si="86"/>
        <v>106.5</v>
      </c>
      <c r="F65" s="1539">
        <f t="shared" si="86"/>
        <v>103</v>
      </c>
      <c r="G65" s="3297">
        <v>2003</v>
      </c>
      <c r="H65" s="1468">
        <v>2</v>
      </c>
      <c r="I65" s="1537"/>
      <c r="J65" s="1537"/>
      <c r="K65" s="1537"/>
      <c r="L65" s="1537"/>
      <c r="X65" s="1529"/>
      <c r="Y65" s="1529"/>
      <c r="Z65" s="1529"/>
    </row>
    <row r="66" spans="1:26" ht="13.5" thickBot="1">
      <c r="A66" s="1464" t="s">
        <v>1206</v>
      </c>
      <c r="B66" s="1539">
        <f t="shared" si="85"/>
        <v>107.25</v>
      </c>
      <c r="C66" s="1539">
        <f t="shared" si="85"/>
        <v>108.75</v>
      </c>
      <c r="D66" s="1539">
        <f t="shared" si="49"/>
        <v>108.75</v>
      </c>
      <c r="E66" s="1539">
        <f t="shared" si="86"/>
        <v>105.75</v>
      </c>
      <c r="F66" s="1539">
        <f t="shared" si="86"/>
        <v>102.5</v>
      </c>
      <c r="G66" s="3298">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9"/>
        <v>107</v>
      </c>
      <c r="E67" s="1541">
        <v>105</v>
      </c>
      <c r="F67" s="1542">
        <v>102</v>
      </c>
      <c r="G67" s="3296">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7">B69+(B$67-B$71)/4</f>
        <v>105</v>
      </c>
      <c r="C68" s="1539">
        <f t="shared" si="87"/>
        <v>106</v>
      </c>
      <c r="D68" s="1539">
        <f t="shared" si="49"/>
        <v>106</v>
      </c>
      <c r="E68" s="1539">
        <f t="shared" ref="E68:F70" si="88">E69+(E$67-E$71)/4</f>
        <v>104.5</v>
      </c>
      <c r="F68" s="1539">
        <f t="shared" si="88"/>
        <v>101.5</v>
      </c>
      <c r="G68" s="3297">
        <v>2002</v>
      </c>
      <c r="H68" s="1490">
        <v>3</v>
      </c>
      <c r="I68" s="1537"/>
      <c r="J68" s="1537"/>
      <c r="K68" s="1537"/>
      <c r="L68" s="1537"/>
      <c r="X68" s="1529"/>
      <c r="Y68" s="1529"/>
      <c r="Z68" s="1529"/>
    </row>
    <row r="69" spans="1:26">
      <c r="A69" s="1464" t="s">
        <v>1209</v>
      </c>
      <c r="B69" s="1539">
        <f t="shared" si="87"/>
        <v>104</v>
      </c>
      <c r="C69" s="1539">
        <f t="shared" si="87"/>
        <v>105</v>
      </c>
      <c r="D69" s="1539">
        <f t="shared" si="49"/>
        <v>105</v>
      </c>
      <c r="E69" s="1539">
        <f t="shared" si="88"/>
        <v>104</v>
      </c>
      <c r="F69" s="1539">
        <f t="shared" si="88"/>
        <v>101</v>
      </c>
      <c r="G69" s="3297">
        <v>2002</v>
      </c>
      <c r="H69" s="1468">
        <v>2</v>
      </c>
      <c r="I69" s="1537"/>
      <c r="J69" s="1537"/>
      <c r="K69" s="1537"/>
      <c r="L69" s="1537"/>
      <c r="X69" s="1529"/>
      <c r="Y69" s="1529"/>
      <c r="Z69" s="1529"/>
    </row>
    <row r="70" spans="1:26" s="1501" customFormat="1" ht="13.5" thickBot="1">
      <c r="A70" s="1497" t="s">
        <v>1210</v>
      </c>
      <c r="B70" s="1543">
        <f t="shared" si="87"/>
        <v>103</v>
      </c>
      <c r="C70" s="1543">
        <f t="shared" si="87"/>
        <v>104</v>
      </c>
      <c r="D70" s="1543">
        <f t="shared" si="49"/>
        <v>104</v>
      </c>
      <c r="E70" s="1543">
        <f t="shared" si="88"/>
        <v>103.5</v>
      </c>
      <c r="F70" s="1543">
        <f t="shared" si="88"/>
        <v>100.5</v>
      </c>
      <c r="G70" s="3298">
        <v>2002</v>
      </c>
      <c r="H70" s="1544">
        <v>1</v>
      </c>
      <c r="I70" s="1545"/>
      <c r="J70" s="1545"/>
      <c r="K70" s="1545"/>
      <c r="L70" s="1545"/>
      <c r="N70" s="1546"/>
      <c r="S70" s="1546"/>
      <c r="X70" s="1547"/>
      <c r="Y70" s="1547"/>
      <c r="Z70" s="1547"/>
    </row>
    <row r="71" spans="1:26" ht="13.5" thickBot="1">
      <c r="B71" s="1548">
        <v>102</v>
      </c>
      <c r="C71" s="1549">
        <v>103</v>
      </c>
      <c r="D71" s="1549">
        <f t="shared" si="49"/>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3008</v>
      </c>
      <c r="C1" s="3305" t="s">
        <v>3009</v>
      </c>
      <c r="D1" s="3306"/>
      <c r="E1" s="3306"/>
      <c r="F1" s="3306"/>
      <c r="G1" s="3306"/>
      <c r="H1" s="3306"/>
      <c r="I1" s="3306"/>
      <c r="J1" s="3306"/>
      <c r="K1" s="3306"/>
      <c r="L1" s="3306"/>
      <c r="M1" s="3306"/>
      <c r="N1" s="3306"/>
      <c r="O1" s="3306"/>
      <c r="P1" s="3306"/>
      <c r="Q1" s="3306"/>
      <c r="R1" s="3306"/>
      <c r="S1" s="3307"/>
      <c r="T1" s="1207" t="s">
        <v>3010</v>
      </c>
    </row>
    <row r="2" spans="1:45" s="707" customFormat="1">
      <c r="A2" s="1208"/>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3012</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3013</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3014</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3015</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3016</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3017</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3018</v>
      </c>
      <c r="B17" s="2919" t="s">
        <v>3019</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3020</v>
      </c>
      <c r="E19" s="1795"/>
      <c r="F19" s="1795"/>
      <c r="G19" s="1795"/>
      <c r="H19" s="1283"/>
      <c r="I19" s="168"/>
      <c r="J19" s="168"/>
      <c r="K19" s="168"/>
      <c r="L19" s="168"/>
      <c r="M19" s="168"/>
      <c r="N19" s="168"/>
      <c r="O19" s="168"/>
      <c r="P19" s="168"/>
      <c r="Q19" s="168"/>
      <c r="R19" s="788"/>
      <c r="S19" s="138"/>
    </row>
    <row r="20" spans="1:45" ht="16.5" thickBot="1">
      <c r="A20" s="715" t="s">
        <v>3021</v>
      </c>
      <c r="B20" s="338" t="e">
        <f ca="1">IF(D20="——",S22,S22-F20)</f>
        <v>#REF!</v>
      </c>
      <c r="C20" s="168"/>
      <c r="D20" s="2921" t="s">
        <v>3022</v>
      </c>
      <c r="E20" s="1796"/>
      <c r="F20" s="1207" t="e">
        <f ca="1">SUMIF(INDIRECT("'"&amp;H20&amp;"'"&amp;"!A:A"),"承租人权益价值",INDIRECT("'"&amp;H20&amp;"'"&amp;"!c:c"))</f>
        <v>#REF!</v>
      </c>
      <c r="G20" s="1207" t="s">
        <v>3023</v>
      </c>
      <c r="H20" s="2922"/>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086" t="s">
        <v>33</v>
      </c>
      <c r="D22" s="3087"/>
      <c r="E22" s="3087"/>
      <c r="F22" s="3087"/>
      <c r="G22" s="3087"/>
      <c r="H22" s="3087"/>
      <c r="I22" s="3087"/>
      <c r="J22" s="3087"/>
      <c r="K22" s="3087"/>
      <c r="L22" s="3087"/>
      <c r="M22" s="3087"/>
      <c r="N22" s="3087"/>
      <c r="O22" s="3087"/>
      <c r="P22" s="3087"/>
      <c r="Q22" s="3304"/>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55465</v>
      </c>
      <c r="C2" s="2" t="s">
        <v>133</v>
      </c>
      <c r="D2" s="243"/>
      <c r="E2" s="243"/>
      <c r="F2" s="243"/>
      <c r="G2" s="243"/>
    </row>
    <row r="3" spans="1:7" s="244" customFormat="1" ht="18" customHeight="1" thickBot="1">
      <c r="A3" s="247" t="s">
        <v>85</v>
      </c>
      <c r="B3" s="248">
        <f ca="1">ROUND(B2*10000/'数据-汇总表'!E3,0)</f>
        <v>2964</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5187</v>
      </c>
      <c r="D9" s="1035">
        <f>'数据-汇总表'!E5</f>
        <v>120626.62</v>
      </c>
      <c r="E9" s="269">
        <f>'数据-取费表'!B27</f>
        <v>430</v>
      </c>
      <c r="F9" s="265"/>
      <c r="G9" s="270"/>
    </row>
    <row r="10" spans="1:7" s="258" customFormat="1" ht="13.5" customHeight="1">
      <c r="A10" s="953" t="s">
        <v>801</v>
      </c>
      <c r="B10" s="268" t="s">
        <v>94</v>
      </c>
      <c r="C10" s="269">
        <f>ROUND(D10*E10/10000,0)</f>
        <v>0</v>
      </c>
      <c r="D10" s="1035">
        <f>'数据-汇总表'!E6</f>
        <v>66471.74000000002</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3742</v>
      </c>
      <c r="D19" s="1039">
        <f>'数据-汇总表'!E3</f>
        <v>187098.36000000002</v>
      </c>
      <c r="E19" s="255">
        <f>'数据-取费表'!B31</f>
        <v>200</v>
      </c>
      <c r="F19" s="275"/>
      <c r="G19" s="1" t="s">
        <v>1074</v>
      </c>
    </row>
    <row r="20" spans="1:7" s="258" customFormat="1" ht="13.5" customHeight="1">
      <c r="A20" s="951" t="s">
        <v>1057</v>
      </c>
      <c r="B20" s="254" t="s">
        <v>104</v>
      </c>
      <c r="C20" s="276">
        <f>ROUND((C5+C19)*F20,0)</f>
        <v>487</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1168</v>
      </c>
      <c r="D22" s="279">
        <f ca="1">C26</f>
        <v>5.0000000000000001E-4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979</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178</v>
      </c>
      <c r="D24" s="282"/>
      <c r="E24" s="282"/>
      <c r="F24" s="283"/>
      <c r="G24" s="284" t="s">
        <v>109</v>
      </c>
    </row>
    <row r="25" spans="1:7" s="258" customFormat="1" ht="24">
      <c r="A25" s="954" t="s">
        <v>793</v>
      </c>
      <c r="B25" s="259" t="s">
        <v>1058</v>
      </c>
      <c r="C25" s="1358">
        <f ca="1">ROUND(IF('数据-取费表'!B22&lt;=1,C20*F22*'数据-取费表'!B23/2,C20*(POWER((1+F22),'数据-取费表'!B23/2)-1)),0)</f>
        <v>11</v>
      </c>
      <c r="D25" s="282"/>
      <c r="E25" s="285"/>
      <c r="F25" s="283"/>
      <c r="G25" s="286" t="s">
        <v>110</v>
      </c>
    </row>
    <row r="26" spans="1:7" s="258" customFormat="1">
      <c r="A26" s="954" t="s">
        <v>795</v>
      </c>
      <c r="B26" s="259" t="s">
        <v>1060</v>
      </c>
      <c r="C26" s="282">
        <f ca="1">ROUND(IF('数据-取费表'!B22&lt;=1,F21*F22*'数据-取费表'!B23/2,F21*(POWER((1+F22),'数据-取费表'!B23/2)-1)),4)</f>
        <v>5.0000000000000001E-4</v>
      </c>
      <c r="D26" s="282"/>
      <c r="E26" s="285"/>
      <c r="F26" s="283"/>
      <c r="G26" s="287"/>
    </row>
    <row r="27" spans="1:7" s="258" customFormat="1" ht="24.75">
      <c r="A27" s="951" t="s">
        <v>787</v>
      </c>
      <c r="B27" s="288" t="s">
        <v>112</v>
      </c>
      <c r="C27" s="289">
        <f>C28</f>
        <v>1987</v>
      </c>
      <c r="D27" s="279">
        <f>C29</f>
        <v>1.6000000000000001E-3</v>
      </c>
      <c r="E27" s="280" t="s">
        <v>126</v>
      </c>
      <c r="F27" s="290">
        <f>'数据-取费表'!Q16</f>
        <v>0.16</v>
      </c>
      <c r="G27" s="291" t="s">
        <v>1069</v>
      </c>
    </row>
    <row r="28" spans="1:7" s="258" customFormat="1" ht="13.5" customHeight="1">
      <c r="A28" s="954" t="s">
        <v>794</v>
      </c>
      <c r="B28" s="292" t="s">
        <v>1062</v>
      </c>
      <c r="C28" s="293">
        <f>ROUND((C5+C19+C20)*F27*'数据-取费表'!B21/'数据-取费表'!B20,0)</f>
        <v>1987</v>
      </c>
      <c r="D28" s="279"/>
      <c r="E28" s="280"/>
      <c r="F28" s="290"/>
      <c r="G28" s="291"/>
    </row>
    <row r="29" spans="1:7" s="258" customFormat="1" ht="13.5" customHeight="1">
      <c r="A29" s="954" t="s">
        <v>792</v>
      </c>
      <c r="B29" s="292" t="s">
        <v>1063</v>
      </c>
      <c r="C29" s="282">
        <f>ROUND(C21*F27*'数据-取费表'!B21/'数据-取费表'!B20,4)</f>
        <v>1.6000000000000001E-3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30278</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19258</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16866</v>
      </c>
      <c r="D34" s="261"/>
      <c r="E34" s="264"/>
      <c r="F34" s="301">
        <f>IF('数据-取费表'!B24=0,1,'数据-取费表'!N16)</f>
        <v>0.27600000000000002</v>
      </c>
      <c r="G34" s="263" t="s">
        <v>116</v>
      </c>
    </row>
    <row r="35" spans="1:7" ht="13.5" customHeight="1">
      <c r="A35" s="954" t="s">
        <v>796</v>
      </c>
      <c r="B35" s="259" t="s">
        <v>60</v>
      </c>
      <c r="C35" s="264">
        <f>ROUND(C34*F35,0)</f>
        <v>506</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600</v>
      </c>
      <c r="D36" s="264"/>
      <c r="E36" s="264"/>
      <c r="F36" s="303">
        <f>'数据-取费表'!B34</f>
        <v>0.05</v>
      </c>
      <c r="G36" s="304" t="s">
        <v>62</v>
      </c>
    </row>
    <row r="37" spans="1:7" s="302" customFormat="1" ht="13.5" customHeight="1">
      <c r="A37" s="954" t="s">
        <v>798</v>
      </c>
      <c r="B37" s="259" t="s">
        <v>118</v>
      </c>
      <c r="C37" s="293">
        <f>ROUND(E37*D37*F34/10000,0)</f>
        <v>1033</v>
      </c>
      <c r="D37" s="261">
        <f>'数据-汇总表'!E3</f>
        <v>187098.36000000002</v>
      </c>
      <c r="E37" s="293">
        <f>'数据-取费表'!B35</f>
        <v>200</v>
      </c>
      <c r="F37" s="303"/>
      <c r="G37" s="305" t="s">
        <v>119</v>
      </c>
    </row>
    <row r="38" spans="1:7" ht="13.5" customHeight="1">
      <c r="A38" s="954" t="s">
        <v>799</v>
      </c>
      <c r="B38" s="259" t="s">
        <v>63</v>
      </c>
      <c r="C38" s="264">
        <f>ROUND(C34*F38,0)</f>
        <v>253</v>
      </c>
      <c r="D38" s="264"/>
      <c r="E38" s="264"/>
      <c r="F38" s="303">
        <f>'数据-取费表'!B36</f>
        <v>1.4999999999999999E-2</v>
      </c>
      <c r="G38" s="263" t="s">
        <v>117</v>
      </c>
    </row>
    <row r="39" spans="1:7" s="258" customFormat="1" ht="13.5" customHeight="1">
      <c r="A39" s="951" t="s">
        <v>783</v>
      </c>
      <c r="B39" s="254" t="s">
        <v>104</v>
      </c>
      <c r="C39" s="276">
        <f>ROUND(C33*F20,0)</f>
        <v>385</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461</v>
      </c>
      <c r="D41" s="279">
        <f ca="1">C44</f>
        <v>5.0000000000000001E-4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452</v>
      </c>
      <c r="D42" s="282"/>
      <c r="E42" s="282"/>
      <c r="F42" s="283"/>
      <c r="G42" s="3171" t="s">
        <v>121</v>
      </c>
    </row>
    <row r="43" spans="1:7" ht="13.5" customHeight="1">
      <c r="A43" s="954" t="s">
        <v>792</v>
      </c>
      <c r="B43" s="259" t="s">
        <v>1064</v>
      </c>
      <c r="C43" s="282">
        <f ca="1">ROUND(IF('数据-取费表'!B22&lt;=1,C39*F22*'数据-取费表'!B21/2,C39*(POWER((1+F22),'数据-取费表'!B21/2)-1)),0)</f>
        <v>9</v>
      </c>
      <c r="D43" s="282"/>
      <c r="E43" s="282"/>
      <c r="F43" s="283"/>
      <c r="G43" s="3172"/>
    </row>
    <row r="44" spans="1:7" ht="13.5" customHeight="1">
      <c r="A44" s="954" t="s">
        <v>793</v>
      </c>
      <c r="B44" s="259" t="s">
        <v>1066</v>
      </c>
      <c r="C44" s="282">
        <f ca="1">ROUND(IF('数据-取费表'!B22&lt;=1,C40*F22*'数据-取费表'!B21/2,C40*(POWER((1+F22),'数据-取费表'!B21/2)-1)),4)</f>
        <v>5.0000000000000001E-4</v>
      </c>
      <c r="D44" s="282"/>
      <c r="E44" s="282"/>
      <c r="F44" s="283"/>
      <c r="G44" s="3173"/>
    </row>
    <row r="45" spans="1:7" s="258" customFormat="1" ht="13.5" customHeight="1">
      <c r="A45" s="951" t="s">
        <v>786</v>
      </c>
      <c r="B45" s="288" t="s">
        <v>112</v>
      </c>
      <c r="C45" s="289">
        <f>C46</f>
        <v>3143</v>
      </c>
      <c r="D45" s="279">
        <f>C47</f>
        <v>3.2000000000000002E-3</v>
      </c>
      <c r="E45" s="280" t="s">
        <v>129</v>
      </c>
      <c r="F45" s="290"/>
      <c r="G45" s="291" t="s">
        <v>1072</v>
      </c>
    </row>
    <row r="46" spans="1:7" s="258" customFormat="1" ht="13.5" customHeight="1">
      <c r="A46" s="954" t="s">
        <v>794</v>
      </c>
      <c r="B46" s="292" t="s">
        <v>1065</v>
      </c>
      <c r="C46" s="293">
        <f>ROUND((C33+C39)*F27,0)</f>
        <v>3143</v>
      </c>
      <c r="D46" s="307"/>
      <c r="E46" s="280"/>
      <c r="F46" s="290"/>
      <c r="G46" s="291"/>
    </row>
    <row r="47" spans="1:7" s="258" customFormat="1" ht="13.5" customHeight="1">
      <c r="A47" s="954" t="s">
        <v>792</v>
      </c>
      <c r="B47" s="292" t="s">
        <v>1067</v>
      </c>
      <c r="C47" s="282">
        <f>ROUND(C40*F27,4)</f>
        <v>3.2000000000000002E-3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25187</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25187</v>
      </c>
      <c r="D51" s="276"/>
      <c r="E51" s="276"/>
      <c r="F51" s="308"/>
      <c r="G51" s="278" t="s">
        <v>64</v>
      </c>
    </row>
    <row r="52" spans="1:7" s="252" customFormat="1" ht="16.5" thickBot="1">
      <c r="A52" s="309" t="s">
        <v>65</v>
      </c>
      <c r="B52" s="310"/>
      <c r="C52" s="311">
        <f ca="1">C31+C51</f>
        <v>55465</v>
      </c>
      <c r="D52" s="310"/>
      <c r="E52" s="310"/>
      <c r="F52" s="310"/>
      <c r="G52" s="312"/>
    </row>
    <row r="55" spans="1:7" ht="15">
      <c r="B55" s="314" t="s">
        <v>66</v>
      </c>
      <c r="C55" s="315"/>
    </row>
    <row r="56" spans="1:7">
      <c r="B56" s="317" t="s">
        <v>67</v>
      </c>
      <c r="C56" s="318">
        <f ca="1">ROUND(C51/C52,3)</f>
        <v>0.45400000000000001</v>
      </c>
    </row>
    <row r="57" spans="1:7">
      <c r="B57" s="317" t="s">
        <v>68</v>
      </c>
      <c r="C57" s="319">
        <f ca="1">1-C56</f>
        <v>0.54600000000000004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08" t="s">
        <v>156</v>
      </c>
      <c r="B1" s="3308"/>
      <c r="C1" s="3308"/>
      <c r="D1" s="3308"/>
      <c r="E1" s="3308"/>
      <c r="F1" s="330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9" t="s">
        <v>169</v>
      </c>
      <c r="B2" s="3309"/>
      <c r="C2" s="3309"/>
      <c r="D2" s="3309"/>
      <c r="E2" s="3309"/>
      <c r="F2" s="330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8" t="s">
        <v>871</v>
      </c>
      <c r="B1" s="3308"/>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43202</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96" t="str">
        <f>IF(项目基本情况!B9="房地产市场价值","估价结果一览表","结果表-2")</f>
        <v>结果表-2</v>
      </c>
      <c r="B1" s="2996"/>
      <c r="C1" s="2996"/>
      <c r="D1" s="2996"/>
      <c r="E1" s="2996"/>
      <c r="F1" s="2996"/>
      <c r="G1" s="2996"/>
      <c r="H1" s="2996"/>
      <c r="I1" s="2996"/>
    </row>
    <row r="2" spans="1:9" ht="30" customHeight="1" thickTop="1">
      <c r="A2" s="2997" t="s">
        <v>1641</v>
      </c>
      <c r="B2" s="2997" t="s">
        <v>1642</v>
      </c>
      <c r="C2" s="2997" t="s">
        <v>1643</v>
      </c>
      <c r="D2" s="2997" t="str">
        <f>结果表!D116</f>
        <v>出让国有建设用地使用权价值</v>
      </c>
      <c r="E2" s="2997"/>
      <c r="F2" s="2997" t="str">
        <f>结果表!F116</f>
        <v>在建建筑物价值</v>
      </c>
      <c r="G2" s="2997"/>
      <c r="H2" s="2997" t="str">
        <f>IF(项目基本情况!B9="房地产市场价值","房地产市场价值","房地产价值")</f>
        <v>房地产价值</v>
      </c>
      <c r="I2" s="2997"/>
    </row>
    <row r="3" spans="1:9" ht="15">
      <c r="A3" s="2998"/>
      <c r="B3" s="2998"/>
      <c r="C3" s="2998"/>
      <c r="D3" s="1047" t="s">
        <v>1638</v>
      </c>
      <c r="E3" s="1047" t="s">
        <v>1644</v>
      </c>
      <c r="F3" s="1047" t="s">
        <v>1638</v>
      </c>
      <c r="G3" s="1047" t="s">
        <v>1639</v>
      </c>
      <c r="H3" s="1047" t="s">
        <v>1638</v>
      </c>
      <c r="I3" s="1047" t="s">
        <v>1639</v>
      </c>
    </row>
    <row r="4" spans="1:9" ht="45">
      <c r="A4" s="1976" t="str">
        <f>项目基本情况!S2</f>
        <v>上海市崇明区长兴镇14街坊82/4丘出让国有建设用地使用权及在建建筑物房地产</v>
      </c>
      <c r="B4" s="1047">
        <f>项目基本情况!C17</f>
        <v>187098.36000000002</v>
      </c>
      <c r="C4" s="1047">
        <f>项目基本情况!C18</f>
        <v>87410.87</v>
      </c>
      <c r="D4" s="1047" t="e">
        <f ca="1">结果表!D118</f>
        <v>#REF!</v>
      </c>
      <c r="E4" s="1047" t="e">
        <f ca="1">结果表!E118</f>
        <v>#REF!</v>
      </c>
      <c r="F4" s="1047" t="e">
        <f ca="1">结果表!F118</f>
        <v>#REF!</v>
      </c>
      <c r="G4" s="1047" t="e">
        <f ca="1">结果表!G118</f>
        <v>#REF!</v>
      </c>
      <c r="H4" s="1047">
        <f ca="1">结果表!H118</f>
        <v>300998</v>
      </c>
      <c r="I4" s="1047">
        <f ca="1">结果表!I118</f>
        <v>16088</v>
      </c>
    </row>
    <row r="5" spans="1:9" ht="30" customHeight="1">
      <c r="A5" s="2998" t="s">
        <v>1640</v>
      </c>
      <c r="B5" s="2998"/>
      <c r="C5" s="2998"/>
      <c r="D5" s="2999" t="e">
        <f ca="1">结果表!D119</f>
        <v>#REF!</v>
      </c>
      <c r="E5" s="2999"/>
      <c r="F5" s="2999" t="e">
        <f ca="1">结果表!F119</f>
        <v>#REF!</v>
      </c>
      <c r="G5" s="2999"/>
      <c r="H5" s="2999" t="str">
        <f ca="1">结果表!H119</f>
        <v>叁拾亿零玖佰玖拾捌万元整</v>
      </c>
      <c r="I5" s="2999"/>
    </row>
    <row r="6" spans="1:9" ht="15.75">
      <c r="A6" s="3000" t="str">
        <f>结果表!A120</f>
        <v>估价师知悉的法定优先受偿款</v>
      </c>
      <c r="B6" s="3000"/>
      <c r="C6" s="3000"/>
      <c r="D6" s="3000">
        <f>结果表!D120</f>
        <v>0</v>
      </c>
      <c r="E6" s="3000"/>
      <c r="F6" s="3000"/>
      <c r="G6" s="3000"/>
      <c r="H6" s="3000"/>
      <c r="I6" s="3000"/>
    </row>
    <row r="7" spans="1:9" ht="15">
      <c r="A7" s="2998" t="s">
        <v>1640</v>
      </c>
      <c r="B7" s="2998"/>
      <c r="C7" s="2998"/>
      <c r="D7" s="3001" t="str">
        <f>结果表!D121</f>
        <v>零元整</v>
      </c>
      <c r="E7" s="3002"/>
      <c r="F7" s="3002"/>
      <c r="G7" s="3002"/>
      <c r="H7" s="3002"/>
      <c r="I7" s="3003"/>
    </row>
    <row r="8" spans="1:9" ht="15.75">
      <c r="A8" s="3000" t="str">
        <f>结果表!A122</f>
        <v>房地产抵押价值</v>
      </c>
      <c r="B8" s="3000"/>
      <c r="C8" s="3000"/>
      <c r="D8" s="3000">
        <f ca="1">结果表!D122</f>
        <v>300998</v>
      </c>
      <c r="E8" s="3000"/>
      <c r="F8" s="3000"/>
      <c r="G8" s="3000"/>
      <c r="H8" s="3000"/>
      <c r="I8" s="3000"/>
    </row>
    <row r="9" spans="1:9" ht="15">
      <c r="A9" s="2998" t="s">
        <v>1640</v>
      </c>
      <c r="B9" s="2998"/>
      <c r="C9" s="2998"/>
      <c r="D9" s="2999" t="str">
        <f ca="1">结果表!D123</f>
        <v>叁拾亿零玖佰玖拾捌万元整</v>
      </c>
      <c r="E9" s="2999"/>
      <c r="F9" s="2999"/>
      <c r="G9" s="2999"/>
      <c r="H9" s="2999"/>
      <c r="I9" s="2999"/>
    </row>
    <row r="10" spans="1:9" ht="15.75">
      <c r="A10" s="3000" t="str">
        <f>结果表!A124</f>
        <v/>
      </c>
      <c r="B10" s="3000"/>
      <c r="C10" s="3000"/>
      <c r="D10" s="3000" t="str">
        <f>结果表!D124</f>
        <v>——</v>
      </c>
      <c r="E10" s="3000"/>
      <c r="F10" s="3000"/>
      <c r="G10" s="3000"/>
      <c r="H10" s="3000"/>
      <c r="I10" s="3000"/>
    </row>
    <row r="11" spans="1:9" ht="15">
      <c r="A11" s="2998" t="s">
        <v>1640</v>
      </c>
      <c r="B11" s="2998"/>
      <c r="C11" s="2998"/>
      <c r="D11" s="2999" t="e">
        <f>结果表!D125</f>
        <v>#VALUE!</v>
      </c>
      <c r="E11" s="2999"/>
      <c r="F11" s="2999"/>
      <c r="G11" s="2999"/>
      <c r="H11" s="2999"/>
      <c r="I11" s="2999"/>
    </row>
    <row r="12" spans="1:9" ht="15.75">
      <c r="A12" s="3000" t="str">
        <f>结果表!A126</f>
        <v/>
      </c>
      <c r="B12" s="3000"/>
      <c r="C12" s="3000"/>
      <c r="D12" s="3000" t="str">
        <f>结果表!D126</f>
        <v>——</v>
      </c>
      <c r="E12" s="3000"/>
      <c r="F12" s="3000"/>
      <c r="G12" s="3000"/>
      <c r="H12" s="3000"/>
      <c r="I12" s="3000"/>
    </row>
    <row r="13" spans="1:9" ht="15.75" thickBot="1">
      <c r="A13" s="3004" t="s">
        <v>1640</v>
      </c>
      <c r="B13" s="3004"/>
      <c r="C13" s="3004"/>
      <c r="D13" s="3005" t="e">
        <f>结果表!D127</f>
        <v>#VALUE!</v>
      </c>
      <c r="E13" s="3005"/>
      <c r="F13" s="3005"/>
      <c r="G13" s="3005"/>
      <c r="H13" s="3005"/>
      <c r="I13" s="3005"/>
    </row>
    <row r="14" spans="1:9" ht="15" thickTop="1">
      <c r="A14" s="3006" t="s">
        <v>1645</v>
      </c>
      <c r="B14" s="3006"/>
      <c r="C14" s="3006"/>
      <c r="D14" s="3006"/>
      <c r="E14" s="3006"/>
      <c r="F14" s="3006"/>
      <c r="G14" s="3006"/>
      <c r="H14" s="3006"/>
      <c r="I14" s="3006"/>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07" t="s">
        <v>1662</v>
      </c>
      <c r="B1" s="3007"/>
      <c r="C1" s="3007"/>
      <c r="D1" s="3007"/>
    </row>
    <row r="2" spans="1:4" ht="18">
      <c r="A2" s="3008" t="s">
        <v>1646</v>
      </c>
      <c r="B2" s="3008"/>
      <c r="C2" s="3008"/>
      <c r="D2" s="3008"/>
    </row>
    <row r="3" spans="1:4" ht="18.75">
      <c r="A3" s="1980" t="s">
        <v>1647</v>
      </c>
      <c r="B3" s="1980" t="s">
        <v>1648</v>
      </c>
      <c r="C3" s="1980" t="s">
        <v>1649</v>
      </c>
      <c r="D3" s="1980" t="s">
        <v>1650</v>
      </c>
    </row>
    <row r="4" spans="1:4" ht="56.25" customHeight="1">
      <c r="A4" s="1981" t="str">
        <f>项目基本情况!B4</f>
        <v>郑燚</v>
      </c>
      <c r="B4" s="1982">
        <f ca="1">项目基本情况!C4</f>
        <v>1120070131</v>
      </c>
      <c r="C4" s="1983"/>
      <c r="D4" s="1984" t="s">
        <v>1651</v>
      </c>
    </row>
    <row r="5" spans="1:4" ht="56.25" customHeight="1">
      <c r="A5" s="1981" t="str">
        <f>项目基本情况!D4</f>
        <v>王鹏</v>
      </c>
      <c r="B5" s="1982">
        <f ca="1">项目基本情况!E4</f>
        <v>1120050019</v>
      </c>
      <c r="C5" s="1985"/>
      <c r="D5" s="1984" t="s">
        <v>1651</v>
      </c>
    </row>
    <row r="6" spans="1:4" ht="18">
      <c r="A6" s="3008" t="s">
        <v>1652</v>
      </c>
      <c r="B6" s="3008"/>
      <c r="C6" s="3008"/>
      <c r="D6" s="3008"/>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09" t="s">
        <v>1655</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1"/>
      <c r="C12" s="3011"/>
      <c r="D12" s="3011"/>
    </row>
    <row r="13" spans="1:4" ht="30" customHeight="1">
      <c r="A13" s="30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1"/>
      <c r="C13" s="3011"/>
      <c r="D13" s="3011"/>
    </row>
    <row r="14" spans="1:4" ht="15.75" customHeight="1">
      <c r="A14" s="3010" t="str">
        <f>IF(项目基本情况!B8="抵押","4.本次评估估价师所知悉的法定优先受偿款情况说明如下：","——")</f>
        <v>4.本次评估估价师所知悉的法定优先受偿款情况说明如下：</v>
      </c>
      <c r="B14" s="3011"/>
      <c r="C14" s="3011"/>
      <c r="D14" s="3011"/>
    </row>
    <row r="15" spans="1:4" ht="42" customHeight="1">
      <c r="A15" s="301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0"/>
      <c r="C15" s="3010"/>
      <c r="D15" s="3010"/>
    </row>
    <row r="16" spans="1:4" ht="30" customHeight="1">
      <c r="A16" s="3013" t="s">
        <v>1656</v>
      </c>
      <c r="B16" s="3013"/>
      <c r="C16" s="3013"/>
      <c r="D16" s="3013"/>
    </row>
    <row r="17" spans="1:4" ht="144" customHeight="1">
      <c r="A17" s="3013" t="s">
        <v>1657</v>
      </c>
      <c r="B17" s="3013"/>
      <c r="C17" s="3013"/>
      <c r="D17" s="3013"/>
    </row>
    <row r="18" spans="1:4" ht="15.75" customHeight="1">
      <c r="A18" s="3010" t="str">
        <f>IF(项目基本情况!B8="抵押",结果表!K120,"——")</f>
        <v>故，本次评估不存在估价师知悉的法定优先受偿款</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0"/>
      <c r="C20" s="3010"/>
      <c r="D20" s="3010"/>
    </row>
    <row r="21" spans="1:4" ht="57.75" customHeight="1">
      <c r="A21" s="30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4"/>
      <c r="C21" s="3014"/>
      <c r="D21" s="3014"/>
    </row>
    <row r="22" spans="1:4" ht="18.75" customHeight="1">
      <c r="A22" s="3015" t="s">
        <v>1658</v>
      </c>
      <c r="B22" s="3015"/>
      <c r="C22" s="3015"/>
      <c r="D22" s="3015"/>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12">
        <v>42551</v>
      </c>
      <c r="D31" s="30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21" t="s">
        <v>1669</v>
      </c>
      <c r="B15" s="3016" t="s">
        <v>136</v>
      </c>
      <c r="C15" s="3017"/>
    </row>
    <row r="16" spans="1:7" ht="13.5">
      <c r="A16" s="3022"/>
      <c r="B16" s="3016" t="s">
        <v>69</v>
      </c>
      <c r="C16" s="3017"/>
    </row>
    <row r="17" spans="1:3" ht="13.5">
      <c r="A17" s="3022"/>
      <c r="B17" s="3019" t="s">
        <v>1670</v>
      </c>
      <c r="C17" s="2003" t="s">
        <v>1669</v>
      </c>
    </row>
    <row r="18" spans="1:3" ht="13.5">
      <c r="A18" s="3022"/>
      <c r="B18" s="3019"/>
      <c r="C18" s="2003" t="s">
        <v>1671</v>
      </c>
    </row>
    <row r="19" spans="1:3" ht="13.5">
      <c r="A19" s="3022"/>
      <c r="B19" s="3019"/>
      <c r="C19" s="2003" t="s">
        <v>1672</v>
      </c>
    </row>
    <row r="20" spans="1:3" ht="13.5">
      <c r="A20" s="3023"/>
      <c r="B20" s="3018" t="s">
        <v>1673</v>
      </c>
      <c r="C20" s="3017"/>
    </row>
    <row r="21" spans="1:3" ht="13.5">
      <c r="A21" s="2004" t="s">
        <v>1674</v>
      </c>
      <c r="B21" s="2005"/>
      <c r="C21" s="2006"/>
    </row>
    <row r="22" spans="1:3" ht="13.5">
      <c r="A22" s="3020" t="s">
        <v>1675</v>
      </c>
      <c r="B22" s="3018" t="s">
        <v>1676</v>
      </c>
      <c r="C22" s="3017"/>
    </row>
    <row r="23" spans="1:3" ht="13.5">
      <c r="A23" s="3020"/>
      <c r="B23" s="3018" t="s">
        <v>1677</v>
      </c>
      <c r="C23" s="3017"/>
    </row>
    <row r="24" spans="1:3" ht="13.5">
      <c r="A24" s="3020"/>
      <c r="B24" s="3018" t="s">
        <v>1678</v>
      </c>
      <c r="C24" s="3017"/>
    </row>
    <row r="25" spans="1:3" ht="13.5">
      <c r="A25" s="3020"/>
      <c r="B25" s="3019" t="s">
        <v>1679</v>
      </c>
      <c r="C25" s="2003" t="s">
        <v>1680</v>
      </c>
    </row>
    <row r="26" spans="1:3" ht="13.5">
      <c r="A26" s="3020"/>
      <c r="B26" s="3019"/>
      <c r="C26" s="2003" t="s">
        <v>1681</v>
      </c>
    </row>
    <row r="27" spans="1:3" ht="13.5">
      <c r="A27" s="3020"/>
      <c r="B27" s="3019"/>
      <c r="C27" s="2003" t="s">
        <v>1682</v>
      </c>
    </row>
    <row r="28" spans="1:3" ht="13.5">
      <c r="A28" s="3020"/>
      <c r="B28" s="3019"/>
      <c r="C28" s="2003" t="s">
        <v>1683</v>
      </c>
    </row>
    <row r="29" spans="1:3" ht="13.5">
      <c r="A29" s="3020"/>
      <c r="B29" s="3019"/>
      <c r="C29" s="2003" t="s">
        <v>1684</v>
      </c>
    </row>
    <row r="30" spans="1:3" ht="13.5">
      <c r="A30" s="3020"/>
      <c r="B30" s="3019"/>
      <c r="C30" s="2003" t="s">
        <v>1685</v>
      </c>
    </row>
    <row r="31" spans="1:3" ht="13.5">
      <c r="A31" s="3020"/>
      <c r="B31" s="3019"/>
      <c r="C31" s="2003" t="s">
        <v>1686</v>
      </c>
    </row>
    <row r="32" spans="1:3" ht="13.5">
      <c r="A32" s="3020"/>
      <c r="B32" s="3019"/>
      <c r="C32" s="2003" t="s">
        <v>1687</v>
      </c>
    </row>
    <row r="33" spans="1:3" ht="13.5">
      <c r="A33" s="3020"/>
      <c r="B33" s="3019"/>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43209</v>
      </c>
      <c r="C2" s="1022" t="s">
        <v>826</v>
      </c>
      <c r="D2" s="1022"/>
    </row>
    <row r="3" spans="1:6" ht="24" customHeight="1">
      <c r="A3" s="1023" t="s">
        <v>827</v>
      </c>
      <c r="B3" s="1024" t="s">
        <v>828</v>
      </c>
      <c r="C3" s="2346" t="s">
        <v>829</v>
      </c>
      <c r="D3" s="2349" t="s">
        <v>830</v>
      </c>
      <c r="E3" s="1025" t="s">
        <v>831</v>
      </c>
      <c r="F3" s="1024" t="s">
        <v>829</v>
      </c>
    </row>
    <row r="4" spans="1:6" ht="24" customHeight="1">
      <c r="A4" s="1705" t="s">
        <v>832</v>
      </c>
      <c r="B4" s="1025">
        <f ca="1">IF(C4&lt;B2,"已过期",1119970066)</f>
        <v>1119970066</v>
      </c>
      <c r="C4" s="2347">
        <v>43849</v>
      </c>
      <c r="D4" s="2350" t="s">
        <v>832</v>
      </c>
      <c r="E4" s="1025">
        <f ca="1">IF(F4&lt;B2,"已过期",96010014)</f>
        <v>96010014</v>
      </c>
      <c r="F4" s="1033">
        <v>47118</v>
      </c>
    </row>
    <row r="5" spans="1:6" ht="24" customHeight="1">
      <c r="A5" s="1705" t="s">
        <v>833</v>
      </c>
      <c r="B5" s="1025">
        <f ca="1">IF(C5&lt;B2,"已过期",1119970074)</f>
        <v>1119970074</v>
      </c>
      <c r="C5" s="2347">
        <v>43849</v>
      </c>
      <c r="D5" s="2350" t="s">
        <v>833</v>
      </c>
      <c r="E5" s="1025">
        <f ca="1">IF(F5&lt;B2,"已过期",2002110027)</f>
        <v>2002110027</v>
      </c>
      <c r="F5" s="1033">
        <v>46752</v>
      </c>
    </row>
    <row r="6" spans="1:6" ht="24" customHeight="1">
      <c r="A6" s="1705" t="s">
        <v>834</v>
      </c>
      <c r="B6" s="1025">
        <f ca="1">IF(C6&lt;B2,"已过期",1119970111)</f>
        <v>1119970111</v>
      </c>
      <c r="C6" s="2347">
        <v>43849</v>
      </c>
      <c r="D6" s="2350" t="s">
        <v>834</v>
      </c>
      <c r="E6" s="1025">
        <f ca="1">IF(F6&lt;B2,"已过期",94010078)</f>
        <v>94010078</v>
      </c>
      <c r="F6" s="1033">
        <v>46387</v>
      </c>
    </row>
    <row r="7" spans="1:6" ht="24" customHeight="1">
      <c r="A7" s="1705" t="s">
        <v>835</v>
      </c>
      <c r="B7" s="1025">
        <f ca="1">IF(C7&lt;B2,"已过期",1120050019)</f>
        <v>1120050019</v>
      </c>
      <c r="C7" s="2347">
        <v>43359</v>
      </c>
      <c r="D7" s="2350" t="s">
        <v>835</v>
      </c>
      <c r="E7" s="1025">
        <f ca="1">IF(F7&lt;B2,"已过期",2002110030)</f>
        <v>2002110030</v>
      </c>
      <c r="F7" s="1033">
        <v>46387</v>
      </c>
    </row>
    <row r="8" spans="1:6" ht="24" customHeight="1">
      <c r="A8" s="1705" t="s">
        <v>836</v>
      </c>
      <c r="B8" s="1025">
        <f ca="1">IF(C8&lt;B2,"已过期",1120000080)</f>
        <v>1120000080</v>
      </c>
      <c r="C8" s="2347">
        <v>43849</v>
      </c>
      <c r="D8" s="2350" t="s">
        <v>836</v>
      </c>
      <c r="E8" s="1025">
        <f ca="1">IF(F8&lt;B2,"已过期",2000110082)</f>
        <v>2000110082</v>
      </c>
      <c r="F8" s="1033">
        <v>46387</v>
      </c>
    </row>
    <row r="9" spans="1:6" ht="24" customHeight="1">
      <c r="A9" s="1705" t="s">
        <v>837</v>
      </c>
      <c r="B9" s="1025">
        <f ca="1">IF(C9&lt;B2,"已过期",1419970001)</f>
        <v>1419970001</v>
      </c>
      <c r="C9" s="2347">
        <v>43867</v>
      </c>
      <c r="D9" s="2350" t="s">
        <v>837</v>
      </c>
      <c r="E9" s="1025">
        <f ca="1">IF(F9&lt;B2,"已过期",2002110125)</f>
        <v>2002110125</v>
      </c>
      <c r="F9" s="1033">
        <v>47118</v>
      </c>
    </row>
    <row r="10" spans="1:6" ht="24" customHeight="1">
      <c r="A10" s="1705" t="s">
        <v>838</v>
      </c>
      <c r="B10" s="1025">
        <f ca="1">IF(C10&lt;B2,"已过期",1120060040)</f>
        <v>1120060040</v>
      </c>
      <c r="C10" s="2347">
        <v>43483</v>
      </c>
      <c r="D10" s="2350" t="s">
        <v>838</v>
      </c>
      <c r="E10" s="1025">
        <f ca="1">IF(F10&lt;B2,"已过期",2004110096)</f>
        <v>2004110096</v>
      </c>
      <c r="F10" s="1033">
        <v>47118</v>
      </c>
    </row>
    <row r="11" spans="1:6" ht="24" customHeight="1">
      <c r="A11" s="1705" t="s">
        <v>839</v>
      </c>
      <c r="B11" s="1025">
        <f ca="1">IF(C11&lt;B2,"已过期",1120100036)</f>
        <v>1120100036</v>
      </c>
      <c r="C11" s="2347">
        <v>43622</v>
      </c>
      <c r="D11" s="2350" t="s">
        <v>839</v>
      </c>
      <c r="E11" s="1025">
        <f ca="1">IF(F11&lt;B2,"已过期",2010110070)</f>
        <v>2010110070</v>
      </c>
      <c r="F11" s="1033">
        <v>47907</v>
      </c>
    </row>
    <row r="12" spans="1:6" ht="24" customHeight="1">
      <c r="A12" s="1705"/>
      <c r="B12" s="1025"/>
      <c r="C12" s="2347"/>
      <c r="D12" s="2350"/>
      <c r="E12" s="1025"/>
      <c r="F12" s="1025"/>
    </row>
    <row r="13" spans="1:6" ht="24" customHeight="1">
      <c r="A13" s="1705" t="s">
        <v>840</v>
      </c>
      <c r="B13" s="1025">
        <f ca="1">IF(C13&lt;B2,"已过期",1120070131)</f>
        <v>1120070131</v>
      </c>
      <c r="C13" s="2347">
        <v>43814</v>
      </c>
      <c r="D13" s="2350" t="s">
        <v>840</v>
      </c>
      <c r="E13" s="1025">
        <v>2014110011</v>
      </c>
      <c r="F13" s="1033">
        <v>49302</v>
      </c>
    </row>
    <row r="14" spans="1:6" ht="24" customHeight="1">
      <c r="A14" s="1705" t="s">
        <v>841</v>
      </c>
      <c r="B14" s="1025">
        <f ca="1">IF(C14&lt;B2,"已过期",1120130020)</f>
        <v>1120130020</v>
      </c>
      <c r="C14" s="2347">
        <v>43622</v>
      </c>
      <c r="D14" s="2350"/>
      <c r="E14" s="1025"/>
      <c r="F14" s="1025"/>
    </row>
    <row r="15" spans="1:6" ht="24" customHeight="1">
      <c r="A15" s="1706" t="s">
        <v>1149</v>
      </c>
      <c r="B15" s="1025">
        <v>1120070085</v>
      </c>
      <c r="C15" s="2347">
        <v>43814</v>
      </c>
      <c r="D15" s="2351" t="s">
        <v>1149</v>
      </c>
      <c r="E15" s="1025">
        <v>2004110128</v>
      </c>
      <c r="F15" s="1026">
        <v>47118</v>
      </c>
    </row>
    <row r="16" spans="1:6" ht="24" customHeight="1">
      <c r="A16" s="1705" t="s">
        <v>842</v>
      </c>
      <c r="B16" s="1025">
        <f ca="1">IF(C16&lt;B2,"已过期",1120140022)</f>
        <v>1120140022</v>
      </c>
      <c r="C16" s="2347">
        <v>44029</v>
      </c>
      <c r="D16" s="2350" t="s">
        <v>842</v>
      </c>
      <c r="E16" s="1025">
        <f ca="1">IF(F16&lt;B2,"已过期",2008110059)</f>
        <v>2008110059</v>
      </c>
      <c r="F16" s="1033">
        <v>47177</v>
      </c>
    </row>
    <row r="17" spans="1:7" ht="24" customHeight="1">
      <c r="A17" s="1705"/>
      <c r="B17" s="1025"/>
      <c r="C17" s="2347"/>
      <c r="D17" s="2350"/>
      <c r="E17" s="1025"/>
      <c r="F17" s="1033"/>
    </row>
    <row r="18" spans="1:7" ht="24" customHeight="1">
      <c r="A18" s="1705"/>
      <c r="B18" s="1025"/>
      <c r="C18" s="2347"/>
      <c r="D18" s="2350"/>
      <c r="E18" s="1025"/>
      <c r="F18" s="1033"/>
    </row>
    <row r="19" spans="1:7" ht="24" customHeight="1">
      <c r="A19" s="1705"/>
      <c r="B19" s="1025"/>
      <c r="C19" s="2347"/>
      <c r="D19" s="2350"/>
      <c r="E19" s="1025"/>
      <c r="F19" s="1025"/>
    </row>
    <row r="20" spans="1:7" ht="24" customHeight="1">
      <c r="A20" s="1705"/>
      <c r="B20" s="1025"/>
      <c r="C20" s="2347"/>
      <c r="D20" s="2350"/>
      <c r="E20" s="1025"/>
      <c r="F20" s="1025"/>
    </row>
    <row r="21" spans="1:7" ht="24" customHeight="1">
      <c r="A21" s="1705"/>
      <c r="B21" s="1025"/>
      <c r="C21" s="2347"/>
      <c r="D21" s="2350" t="s">
        <v>843</v>
      </c>
      <c r="E21" s="1025">
        <f ca="1">IF(F21&lt;B2,"已过期",2011110090)</f>
        <v>2011110090</v>
      </c>
      <c r="F21" s="1033">
        <v>48302</v>
      </c>
    </row>
    <row r="22" spans="1:7" ht="24" customHeight="1">
      <c r="A22" s="1705" t="s">
        <v>844</v>
      </c>
      <c r="B22" s="1025">
        <f ca="1">IF(C22&lt;B2,"已过期",1120020033)</f>
        <v>1120020033</v>
      </c>
      <c r="C22" s="2347">
        <v>43304</v>
      </c>
      <c r="D22" s="2350" t="s">
        <v>844</v>
      </c>
      <c r="E22" s="1025">
        <f ca="1">IF(F22&lt;B2,"已过期",2000110137)</f>
        <v>2000110137</v>
      </c>
      <c r="F22" s="1033">
        <v>46387</v>
      </c>
    </row>
    <row r="23" spans="1:7" ht="24" customHeight="1">
      <c r="A23" s="1705" t="s">
        <v>845</v>
      </c>
      <c r="B23" s="1025">
        <f ca="1">IF(C23&lt;B2,"已过期",1120130048)</f>
        <v>1120130048</v>
      </c>
      <c r="C23" s="2347">
        <v>43686</v>
      </c>
      <c r="D23" s="2350"/>
      <c r="E23" s="1025"/>
      <c r="F23" s="1025"/>
    </row>
    <row r="24" spans="1:7" s="1027" customFormat="1" ht="24" customHeight="1">
      <c r="A24" s="1706" t="s">
        <v>1333</v>
      </c>
      <c r="B24" s="1706" t="s">
        <v>1333</v>
      </c>
      <c r="C24" s="2348" t="s">
        <v>1333</v>
      </c>
      <c r="D24" s="2351" t="s">
        <v>1333</v>
      </c>
      <c r="E24" s="1706" t="s">
        <v>1333</v>
      </c>
      <c r="F24" s="1706" t="s">
        <v>1333</v>
      </c>
    </row>
    <row r="25" spans="1:7" ht="24" customHeight="1">
      <c r="A25" s="3024" t="s">
        <v>846</v>
      </c>
      <c r="B25" s="3024"/>
      <c r="C25" s="3024"/>
      <c r="D25" s="3024"/>
      <c r="E25" s="3024"/>
      <c r="F25" s="3024"/>
      <c r="G25" s="3024"/>
    </row>
    <row r="26" spans="1:7" s="1028" customFormat="1" ht="24" customHeight="1">
      <c r="A26" s="3025" t="s">
        <v>847</v>
      </c>
      <c r="B26" s="3025"/>
      <c r="C26" s="3026"/>
      <c r="D26" s="3027" t="s">
        <v>848</v>
      </c>
      <c r="E26" s="3025"/>
      <c r="F26" s="3025"/>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24" priority="55">
      <formula>AND($C28-TODAY()&lt;30,TODAY()&lt;$C28)</formula>
    </cfRule>
  </conditionalFormatting>
  <conditionalFormatting sqref="C28 F4">
    <cfRule type="cellIs" dxfId="223" priority="57" stopIfTrue="1" operator="lessThan">
      <formula>$B$2</formula>
    </cfRule>
  </conditionalFormatting>
  <conditionalFormatting sqref="C5">
    <cfRule type="expression" dxfId="222" priority="52">
      <formula>AND($C5-TODAY()&lt;30,TODAY()&lt;$C5)</formula>
    </cfRule>
  </conditionalFormatting>
  <conditionalFormatting sqref="C5 F5">
    <cfRule type="cellIs" dxfId="221" priority="53" stopIfTrue="1" operator="lessThan">
      <formula>$B$2</formula>
    </cfRule>
  </conditionalFormatting>
  <conditionalFormatting sqref="F6 F8 F10">
    <cfRule type="cellIs" dxfId="220" priority="51" stopIfTrue="1" operator="lessThan">
      <formula>$B$2</formula>
    </cfRule>
  </conditionalFormatting>
  <conditionalFormatting sqref="C4:C23">
    <cfRule type="expression" dxfId="219" priority="49">
      <formula>AND($C4-TODAY()&lt;30,TODAY()&lt;$C4)</formula>
    </cfRule>
  </conditionalFormatting>
  <conditionalFormatting sqref="F7 F9 F11 C4:C23">
    <cfRule type="cellIs" dxfId="218" priority="50" stopIfTrue="1" operator="lessThan">
      <formula>$B$2</formula>
    </cfRule>
  </conditionalFormatting>
  <conditionalFormatting sqref="C12">
    <cfRule type="expression" dxfId="217" priority="47">
      <formula>AND($C12-TODAY()&lt;30,TODAY()&lt;$C12)</formula>
    </cfRule>
  </conditionalFormatting>
  <conditionalFormatting sqref="C12">
    <cfRule type="cellIs" dxfId="216" priority="48" stopIfTrue="1" operator="lessThan">
      <formula>$B$2</formula>
    </cfRule>
  </conditionalFormatting>
  <conditionalFormatting sqref="C14">
    <cfRule type="expression" dxfId="215" priority="43">
      <formula>AND($C14-TODAY()&lt;30,TODAY()&lt;$C14)</formula>
    </cfRule>
  </conditionalFormatting>
  <conditionalFormatting sqref="C14">
    <cfRule type="cellIs" dxfId="214" priority="44" stopIfTrue="1" operator="lessThan">
      <formula>$B$2</formula>
    </cfRule>
  </conditionalFormatting>
  <conditionalFormatting sqref="C16">
    <cfRule type="expression" dxfId="213" priority="41">
      <formula>AND($C16-TODAY()&lt;30,TODAY()&lt;$C16)</formula>
    </cfRule>
  </conditionalFormatting>
  <conditionalFormatting sqref="C16">
    <cfRule type="cellIs" dxfId="212" priority="42" stopIfTrue="1" operator="lessThan">
      <formula>$B$2</formula>
    </cfRule>
  </conditionalFormatting>
  <conditionalFormatting sqref="C18">
    <cfRule type="expression" dxfId="211" priority="39">
      <formula>AND($C18-TODAY()&lt;30,TODAY()&lt;$C18)</formula>
    </cfRule>
  </conditionalFormatting>
  <conditionalFormatting sqref="C18">
    <cfRule type="cellIs" dxfId="210" priority="40" stopIfTrue="1" operator="lessThan">
      <formula>$B$2</formula>
    </cfRule>
  </conditionalFormatting>
  <conditionalFormatting sqref="C20">
    <cfRule type="expression" dxfId="209" priority="37">
      <formula>AND($C20-TODAY()&lt;30,TODAY()&lt;$C20)</formula>
    </cfRule>
  </conditionalFormatting>
  <conditionalFormatting sqref="C20">
    <cfRule type="cellIs" dxfId="208" priority="38" stopIfTrue="1" operator="lessThan">
      <formula>$B$2</formula>
    </cfRule>
  </conditionalFormatting>
  <conditionalFormatting sqref="C22">
    <cfRule type="expression" dxfId="207" priority="35">
      <formula>AND($C22-TODAY()&lt;30,TODAY()&lt;$C22)</formula>
    </cfRule>
  </conditionalFormatting>
  <conditionalFormatting sqref="C22">
    <cfRule type="cellIs" dxfId="206" priority="36" stopIfTrue="1" operator="lessThan">
      <formula>$B$2</formula>
    </cfRule>
  </conditionalFormatting>
  <conditionalFormatting sqref="C15">
    <cfRule type="expression" dxfId="205" priority="33">
      <formula>AND($C15-TODAY()&lt;30,TODAY()&lt;$C15)</formula>
    </cfRule>
  </conditionalFormatting>
  <conditionalFormatting sqref="C15">
    <cfRule type="cellIs" dxfId="204" priority="34" stopIfTrue="1" operator="lessThan">
      <formula>$B$2</formula>
    </cfRule>
  </conditionalFormatting>
  <conditionalFormatting sqref="C17">
    <cfRule type="expression" dxfId="203" priority="31">
      <formula>AND($C17-TODAY()&lt;30,TODAY()&lt;$C17)</formula>
    </cfRule>
  </conditionalFormatting>
  <conditionalFormatting sqref="C17">
    <cfRule type="cellIs" dxfId="202" priority="32" stopIfTrue="1" operator="lessThan">
      <formula>$B$2</formula>
    </cfRule>
  </conditionalFormatting>
  <conditionalFormatting sqref="C19">
    <cfRule type="expression" dxfId="201" priority="29">
      <formula>AND($C19-TODAY()&lt;30,TODAY()&lt;$C19)</formula>
    </cfRule>
  </conditionalFormatting>
  <conditionalFormatting sqref="C19">
    <cfRule type="cellIs" dxfId="200" priority="30" stopIfTrue="1" operator="lessThan">
      <formula>$B$2</formula>
    </cfRule>
  </conditionalFormatting>
  <conditionalFormatting sqref="C21">
    <cfRule type="expression" dxfId="199" priority="27">
      <formula>AND($C21-TODAY()&lt;30,TODAY()&lt;$C21)</formula>
    </cfRule>
  </conditionalFormatting>
  <conditionalFormatting sqref="C21">
    <cfRule type="cellIs" dxfId="198" priority="28" stopIfTrue="1" operator="lessThan">
      <formula>$B$2</formula>
    </cfRule>
  </conditionalFormatting>
  <conditionalFormatting sqref="C23">
    <cfRule type="expression" dxfId="197" priority="25">
      <formula>AND($C23-TODAY()&lt;30,TODAY()&lt;$C23)</formula>
    </cfRule>
  </conditionalFormatting>
  <conditionalFormatting sqref="C23">
    <cfRule type="cellIs" dxfId="196" priority="26" stopIfTrue="1" operator="lessThan">
      <formula>$B$2</formula>
    </cfRule>
  </conditionalFormatting>
  <conditionalFormatting sqref="F16">
    <cfRule type="cellIs" dxfId="195" priority="23" stopIfTrue="1" operator="lessThan">
      <formula>$B$2</formula>
    </cfRule>
  </conditionalFormatting>
  <conditionalFormatting sqref="F18">
    <cfRule type="cellIs" dxfId="194" priority="22" stopIfTrue="1" operator="lessThan">
      <formula>$B$2</formula>
    </cfRule>
  </conditionalFormatting>
  <conditionalFormatting sqref="F22">
    <cfRule type="cellIs" dxfId="193" priority="21" stopIfTrue="1" operator="lessThan">
      <formula>$B$2</formula>
    </cfRule>
  </conditionalFormatting>
  <conditionalFormatting sqref="F21">
    <cfRule type="cellIs" dxfId="192" priority="20" stopIfTrue="1" operator="lessThan">
      <formula>$B$2</formula>
    </cfRule>
  </conditionalFormatting>
  <conditionalFormatting sqref="F17">
    <cfRule type="cellIs" dxfId="191" priority="19" stopIfTrue="1" operator="lessThan">
      <formula>$B$2</formula>
    </cfRule>
  </conditionalFormatting>
  <conditionalFormatting sqref="B4:B14 E4:E14 B16:B23 E16:E23">
    <cfRule type="cellIs" dxfId="190" priority="18" stopIfTrue="1" operator="equal">
      <formula>"已过期"</formula>
    </cfRule>
  </conditionalFormatting>
  <conditionalFormatting sqref="A24:F24">
    <cfRule type="cellIs" dxfId="189" priority="14" stopIfTrue="1" operator="equal">
      <formula>"已过期"</formula>
    </cfRule>
  </conditionalFormatting>
  <conditionalFormatting sqref="F28">
    <cfRule type="expression" dxfId="188" priority="12">
      <formula>AND($E28-TODAY()&lt;30,TODAY()&lt;$E28)</formula>
    </cfRule>
  </conditionalFormatting>
  <conditionalFormatting sqref="F28">
    <cfRule type="cellIs" dxfId="187" priority="13" stopIfTrue="1" operator="lessThan">
      <formula>$B$2</formula>
    </cfRule>
  </conditionalFormatting>
  <conditionalFormatting sqref="F29">
    <cfRule type="expression" dxfId="186" priority="8" stopIfTrue="1">
      <formula>AND($E29-TODAY()&lt;30,TODAY()&lt;$E29)</formula>
    </cfRule>
  </conditionalFormatting>
  <conditionalFormatting sqref="F29">
    <cfRule type="cellIs" dxfId="185" priority="9" stopIfTrue="1" operator="lessThan">
      <formula>$B$2</formula>
    </cfRule>
  </conditionalFormatting>
  <conditionalFormatting sqref="B15">
    <cfRule type="cellIs" dxfId="184" priority="6" stopIfTrue="1" operator="equal">
      <formula>"已过期"</formula>
    </cfRule>
  </conditionalFormatting>
  <conditionalFormatting sqref="A15">
    <cfRule type="cellIs" dxfId="183" priority="5" stopIfTrue="1" operator="equal">
      <formula>"已过期"</formula>
    </cfRule>
  </conditionalFormatting>
  <conditionalFormatting sqref="C15">
    <cfRule type="expression" dxfId="182" priority="4">
      <formula>AND($C15-TODAY()&lt;30,TODAY()&lt;$C15)</formula>
    </cfRule>
  </conditionalFormatting>
  <conditionalFormatting sqref="E15">
    <cfRule type="cellIs" dxfId="181" priority="3" stopIfTrue="1" operator="equal">
      <formula>"已过期"</formula>
    </cfRule>
  </conditionalFormatting>
  <conditionalFormatting sqref="D15">
    <cfRule type="cellIs" dxfId="180" priority="2" stopIfTrue="1" operator="equal">
      <formula>"已过期"</formula>
    </cfRule>
  </conditionalFormatting>
  <conditionalFormatting sqref="F13">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161</vt:i4>
      </vt:variant>
    </vt:vector>
  </HeadingPairs>
  <TitlesOfParts>
    <vt:vector size="20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Sheet1</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假设开发法</vt:lpstr>
      <vt:lpstr>比较法-住宅 (联排)</vt:lpstr>
      <vt:lpstr>比较法-住宅 (叠拼)</vt:lpstr>
      <vt:lpstr>比较法-住宅</vt:lpstr>
      <vt:lpstr>成本法 (元)</vt:lpstr>
      <vt:lpstr>收益法 (车位)</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(车位)'!Print_Area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'比较法-住宅 (叠拼)'!住宅朝向</vt:lpstr>
      <vt:lpstr>'比较法-住宅 (联排)'!住宅朝向</vt:lpstr>
      <vt:lpstr>住宅朝向</vt:lpstr>
      <vt:lpstr>'比较法-住宅 (叠拼)'!住宅房型</vt:lpstr>
      <vt:lpstr>'比较法-住宅 (联排)'!住宅房型</vt:lpstr>
      <vt:lpstr>住宅房型</vt:lpstr>
      <vt:lpstr>'比较法-住宅 (叠拼)'!住宅公共部分装修</vt:lpstr>
      <vt:lpstr>'比较法-住宅 (联排)'!住宅公共部分装修</vt:lpstr>
      <vt:lpstr>住宅公共部分装修</vt:lpstr>
      <vt:lpstr>'比较法-住宅 (叠拼)'!住宅基础设施水平</vt:lpstr>
      <vt:lpstr>'比较法-住宅 (联排)'!住宅基础设施水平</vt:lpstr>
      <vt:lpstr>住宅基础设施水平</vt:lpstr>
      <vt:lpstr>'比较法-住宅 (叠拼)'!住宅建筑结构</vt:lpstr>
      <vt:lpstr>'比较法-住宅 (联排)'!住宅建筑结构</vt:lpstr>
      <vt:lpstr>住宅建筑结构</vt:lpstr>
      <vt:lpstr>'比较法-住宅 (叠拼)'!住宅建筑类型</vt:lpstr>
      <vt:lpstr>'比较法-住宅 (联排)'!住宅建筑类型</vt:lpstr>
      <vt:lpstr>住宅建筑类型</vt:lpstr>
      <vt:lpstr>'比较法-住宅 (叠拼)'!住宅建筑品质</vt:lpstr>
      <vt:lpstr>'比较法-住宅 (联排)'!住宅建筑品质</vt:lpstr>
      <vt:lpstr>住宅建筑品质</vt:lpstr>
      <vt:lpstr>'比较法-住宅 (叠拼)'!住宅交易情况</vt:lpstr>
      <vt:lpstr>'比较法-住宅 (联排)'!住宅交易情况</vt:lpstr>
      <vt:lpstr>住宅交易情况</vt:lpstr>
      <vt:lpstr>'比较法-住宅 (叠拼)'!住宅楼层</vt:lpstr>
      <vt:lpstr>'比较法-住宅 (联排)'!住宅楼层</vt:lpstr>
      <vt:lpstr>住宅楼层</vt:lpstr>
      <vt:lpstr>'比较法-住宅 (叠拼)'!住宅内部装修</vt:lpstr>
      <vt:lpstr>'比较法-住宅 (联排)'!住宅内部装修</vt:lpstr>
      <vt:lpstr>住宅内部装修</vt:lpstr>
      <vt:lpstr>'比较法-住宅 (叠拼)'!住宅物业管理</vt:lpstr>
      <vt:lpstr>'比较法-住宅 (联排)'!住宅物业管理</vt:lpstr>
      <vt:lpstr>住宅物业管理</vt:lpstr>
      <vt:lpstr>'比较法-住宅 (叠拼)'!住宅用途</vt:lpstr>
      <vt:lpstr>'比较法-住宅 (联排)'!住宅用途</vt:lpstr>
      <vt:lpstr>住宅用途</vt:lpstr>
      <vt:lpstr>'比较法-住宅 (叠拼)'!住宅主力户型面积</vt:lpstr>
      <vt:lpstr>'比较法-住宅 (联排)'!住宅主力户型面积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2018-04-19T06:13:29Z</dcterms:modified>
</cp:coreProperties>
</file>