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比较法-住宅" sheetId="21"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21" l="1"/>
  <c r="G5" i="21"/>
  <c r="E20" i="1"/>
  <c r="C37" i="21" s="1"/>
  <c r="B35" i="4"/>
  <c r="B28" i="4"/>
  <c r="D2" i="4"/>
  <c r="G37" i="21" l="1"/>
  <c r="I37" i="2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3" i="61"/>
  <c r="F5" i="61"/>
  <c r="F6" i="61"/>
  <c r="D4" i="61"/>
  <c r="D6" i="61"/>
  <c r="D3" i="61"/>
  <c r="F4" i="61"/>
  <c r="D7"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21" i="11" l="1"/>
  <c r="W25" i="21"/>
  <c r="U28" i="21"/>
  <c r="W43" i="21"/>
  <c r="S40" i="21"/>
  <c r="AC38" i="21"/>
  <c r="AB38" i="21"/>
  <c r="S38" i="21"/>
  <c r="W36" i="21"/>
  <c r="AC35" i="21"/>
  <c r="AB34" i="21"/>
  <c r="U42" i="21"/>
  <c r="U35" i="21"/>
  <c r="AC27" i="21"/>
  <c r="S23" i="21"/>
  <c r="S19" i="21"/>
  <c r="W17" i="21"/>
  <c r="AC15" i="21"/>
  <c r="U14" i="21"/>
  <c r="S10" i="21"/>
  <c r="AC9" i="21"/>
  <c r="F7" i="15"/>
  <c r="E5" i="1"/>
  <c r="E13" i="1"/>
  <c r="C8" i="11" s="1"/>
  <c r="C5" i="11" s="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0" i="11" l="1"/>
  <c r="C28" i="11" s="1"/>
  <c r="C33" i="21"/>
  <c r="C7" i="12"/>
  <c r="C8" i="12" s="1"/>
  <c r="C4" i="12" s="1"/>
  <c r="C23" i="12" s="1"/>
  <c r="D19" i="12"/>
  <c r="C19" i="12" s="1"/>
  <c r="D14" i="12"/>
  <c r="C14" i="12" s="1"/>
  <c r="D17" i="12"/>
  <c r="C17" i="12" s="1"/>
  <c r="B27" i="3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33" i="21" l="1"/>
  <c r="J33" i="21"/>
  <c r="F33" i="21"/>
  <c r="B25" i="31"/>
  <c r="X27" i="31"/>
  <c r="X25" i="31" s="1"/>
  <c r="C36" i="57" s="1"/>
  <c r="F124" i="57" s="1"/>
  <c r="V27" i="31"/>
  <c r="V25" i="31" s="1"/>
  <c r="S27" i="31"/>
  <c r="S25" i="31" s="1"/>
  <c r="R25" i="31" s="1"/>
  <c r="B24" i="31" s="1"/>
  <c r="B3" i="31" s="1"/>
  <c r="C34" i="57" s="1"/>
  <c r="I124" i="57" s="1"/>
  <c r="Y27" i="31"/>
  <c r="Y25" i="31" s="1"/>
  <c r="U27" i="31"/>
  <c r="U25" i="31" s="1"/>
  <c r="C35" i="57" s="1"/>
  <c r="D124" i="57" s="1"/>
  <c r="T27" i="31"/>
  <c r="T25" i="31" s="1"/>
  <c r="C31" i="12"/>
  <c r="B23" i="31"/>
  <c r="B2" i="31" s="1"/>
  <c r="C33" i="57" s="1"/>
  <c r="H124" i="57" s="1"/>
  <c r="C5"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4" i="57" l="1"/>
  <c r="C107" i="57"/>
  <c r="I103" i="57"/>
  <c r="I113" i="57" s="1"/>
  <c r="H125" i="57"/>
  <c r="C106" i="57"/>
  <c r="B124" i="57"/>
  <c r="E124" i="57" s="1"/>
  <c r="H102" i="57"/>
  <c r="W33" i="21"/>
  <c r="AC33" i="21"/>
  <c r="D125"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G124" i="57" l="1"/>
  <c r="D128" i="57"/>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C20" i="57"/>
  <c r="E2" i="34"/>
  <c r="E2" i="33"/>
  <c r="C19" i="57"/>
  <c r="E2" i="35"/>
  <c r="E2" i="36"/>
  <c r="E2" i="11"/>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C19"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8" i="52" l="1"/>
  <c r="G14" i="62"/>
  <c r="B6" i="62" s="1"/>
  <c r="D5" i="62"/>
  <c r="C5" i="62"/>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D6" i="62" l="1"/>
  <c r="C6" i="62"/>
  <c r="M69" i="9"/>
  <c r="N69" i="9" s="1"/>
  <c r="C95" i="9"/>
  <c r="C79" i="9"/>
  <c r="C80" i="9" s="1"/>
  <c r="E80" i="9" s="1"/>
  <c r="E81" i="9" s="1"/>
  <c r="D17" i="50"/>
  <c r="D126" i="9"/>
  <c r="D9" i="52" s="1"/>
  <c r="C96" i="9" l="1"/>
  <c r="E96" i="9" s="1"/>
  <c r="E97"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<sst xmlns="http://schemas.openxmlformats.org/spreadsheetml/2006/main" count="6876" uniqueCount="2902">
  <si>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</si>
  <si>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</si>
  <si>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</si>
  <si>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</si>
  <si>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</si>
  <si>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</si>
  <si>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</si>
  <si>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</si>
  <si>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</si>
  <si>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</si>
  <si>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</si>
  <si>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</si>
  <si>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</si>
  <si>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</si>
  <si>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</si>
  <si>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</si>
  <si>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</si>
  <si>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</si>
  <si>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</si>
  <si>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</si>
  <si>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</si>
  <si>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</si>
  <si>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</si>
  <si>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</si>
  <si>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</si>
  <si>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</si>
  <si>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</si>
  <si>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</si>
  <si>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</si>
  <si>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</si>
  <si>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</si>
  <si>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</si>
  <si>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</si>
  <si>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</si>
  <si>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</si>
  <si>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</si>
  <si>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</si>
  <si>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</si>
  <si>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</si>
  <si>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</si>
  <si>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</si>
  <si>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</si>
  <si>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</si>
  <si>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</si>
  <si>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</si>
  <si>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</si>
  <si>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</si>
  <si>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</si>
  <si>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</si>
  <si>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</si>
  <si>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</si>
  <si>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</si>
  <si>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</si>
  <si>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</si>
  <si>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</si>
  <si>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</si>
  <si>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</si>
  <si>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</si>
  <si>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</si>
  <si>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</si>
  <si>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</si>
  <si>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</si>
  <si>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</si>
  <si>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</si>
  <si>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</si>
  <si>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</si>
  <si>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</si>
  <si>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</si>
  <si>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</si>
  <si>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</si>
  <si>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</si>
  <si>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</si>
  <si>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</si>
  <si>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</si>
  <si>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</si>
  <si>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</si>
  <si>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</si>
  <si>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</si>
  <si>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</si>
  <si>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</si>
  <si>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</si>
  <si>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</si>
  <si>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</si>
  <si>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</si>
  <si>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</si>
  <si>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</si>
  <si>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</si>
  <si>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</si>
  <si>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</si>
  <si>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</si>
  <si>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</si>
  <si>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</si>
  <si>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</si>
  <si>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</si>
  <si>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</si>
  <si>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</si>
  <si>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</si>
  <si>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</si>
  <si>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</si>
  <si>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</si>
  <si>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</si>
  <si>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</si>
  <si>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</si>
  <si>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</si>
  <si>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</si>
  <si>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</si>
  <si>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</si>
  <si>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</si>
  <si>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</si>
  <si>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</si>
  <si>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</si>
  <si>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</si>
  <si>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</si>
  <si>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</si>
  <si>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</si>
  <si>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</si>
  <si>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</si>
  <si>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</si>
  <si>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</si>
  <si>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</si>
  <si>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</si>
  <si>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</si>
  <si>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</si>
  <si>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</si>
  <si>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</si>
  <si>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</si>
  <si>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</si>
  <si>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</si>
  <si>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</si>
  <si>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</si>
  <si>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</si>
  <si>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</si>
  <si>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</si>
  <si>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</si>
  <si>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</si>
  <si>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</si>
  <si>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</si>
  <si>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</si>
  <si>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</si>
  <si>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</si>
  <si>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</si>
  <si>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</si>
  <si>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</si>
  <si>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</si>
  <si>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</si>
  <si>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</si>
  <si>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</si>
  <si>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</si>
  <si>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</si>
  <si>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</si>
  <si>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</si>
  <si>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</si>
  <si>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</si>
  <si>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</si>
  <si>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</si>
  <si>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</si>
  <si>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</si>
  <si>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</si>
  <si>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</si>
  <si>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</si>
  <si>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</si>
  <si>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</si>
  <si>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</si>
  <si>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</si>
  <si>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</si>
  <si>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</si>
  <si>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</si>
  <si>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</si>
  <si>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</si>
  <si>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</si>
  <si>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</si>
  <si>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</si>
  <si>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</si>
  <si>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</si>
  <si>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</si>
  <si>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</si>
  <si>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</si>
  <si>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</si>
  <si>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</si>
  <si>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</si>
  <si>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</si>
  <si>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</si>
  <si>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</si>
  <si>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</si>
  <si>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</si>
  <si>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</si>
  <si>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</si>
  <si>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</si>
  <si>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</si>
  <si>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</si>
  <si>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</si>
  <si>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</si>
  <si>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</si>
  <si>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</si>
  <si>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</si>
  <si>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</si>
  <si>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</si>
  <si>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</si>
  <si>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</si>
  <si>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</si>
  <si>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</si>
  <si>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</si>
  <si>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</si>
  <si>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</si>
  <si>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</si>
  <si>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</si>
  <si>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</si>
  <si>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</si>
  <si>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</si>
  <si>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</si>
  <si>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</si>
  <si>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</si>
  <si>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</si>
  <si>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</si>
  <si>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</si>
  <si>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</si>
  <si>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</si>
  <si>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</si>
  <si>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</si>
  <si>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</si>
  <si>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</si>
  <si>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</si>
  <si>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</si>
  <si>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</si>
  <si>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</si>
  <si>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</si>
  <si>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</si>
  <si>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</si>
  <si>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</si>
  <si>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</si>
  <si>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</si>
  <si>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</si>
  <si>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</si>
  <si>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</si>
  <si>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</si>
  <si>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</si>
  <si>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</si>
  <si>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</si>
  <si>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</si>
  <si>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</si>
  <si>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</si>
  <si>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</si>
  <si>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</si>
  <si>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</si>
  <si>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</si>
  <si>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</si>
  <si>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</si>
  <si>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</si>
  <si>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</si>
  <si>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</si>
  <si>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</si>
  <si>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</si>
  <si>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</si>
  <si>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</si>
  <si>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</si>
  <si>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</si>
  <si>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</si>
  <si>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</si>
  <si>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</si>
  <si>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</si>
  <si>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</si>
  <si>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</si>
  <si>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</si>
  <si>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</si>
  <si>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</si>
  <si>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</si>
  <si>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</si>
  <si>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</si>
  <si>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</si>
  <si>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</si>
  <si>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</si>
  <si>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</si>
  <si>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</si>
  <si>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</si>
  <si>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</si>
  <si>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</si>
  <si>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</si>
  <si>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</si>
  <si>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</si>
  <si>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</si>
  <si>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</si>
  <si>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</si>
  <si>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</si>
  <si>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</si>
  <si>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</si>
  <si>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</si>
  <si>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</si>
  <si>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</si>
  <si>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</si>
  <si>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</si>
  <si>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</si>
  <si>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</si>
  <si>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</si>
  <si>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</si>
  <si>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</si>
  <si>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</si>
  <si>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</si>
  <si>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</si>
  <si>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</si>
  <si>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</si>
  <si>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</si>
  <si>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</si>
  <si>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</si>
  <si>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</si>
  <si>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</si>
  <si>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</si>
  <si>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</si>
  <si>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</si>
  <si>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</si>
  <si>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</si>
  <si>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</si>
  <si>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</si>
  <si>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</si>
  <si>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</si>
  <si>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</si>
  <si>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</si>
  <si>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</si>
  <si>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</si>
  <si>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</si>
  <si>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</si>
  <si>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</si>
  <si>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</si>
  <si>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</si>
  <si>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</si>
  <si>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</si>
  <si>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</si>
  <si>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</si>
  <si>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</si>
  <si>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</si>
  <si>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</si>
  <si>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</si>
  <si>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</si>
  <si>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</si>
  <si>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</si>
  <si>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</si>
  <si>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</si>
  <si>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</si>
  <si>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</si>
  <si>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</si>
  <si>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</si>
  <si>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</si>
  <si>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</si>
  <si>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</si>
  <si>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</si>
  <si>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</si>
  <si>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</si>
  <si>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</si>
  <si>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</si>
  <si>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</si>
  <si>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</si>
  <si>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</si>
  <si>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</si>
  <si>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</si>
  <si>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</si>
  <si>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</si>
  <si>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</si>
  <si>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</si>
  <si>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</si>
  <si>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</si>
  <si>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</si>
  <si>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</si>
  <si>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</si>
  <si>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</si>
  <si>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</si>
  <si>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</si>
  <si>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</si>
  <si>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</si>
  <si>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</si>
  <si>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</si>
  <si>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</si>
  <si>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</si>
  <si>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</si>
  <si>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</si>
  <si>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</si>
  <si>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</si>
  <si>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</si>
  <si>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</si>
  <si>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</si>
  <si>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</si>
  <si>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</si>
  <si>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</si>
  <si>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</si>
  <si>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</si>
  <si>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</si>
  <si>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</si>
  <si>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</si>
  <si>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</si>
  <si>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</si>
  <si>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</si>
  <si>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</si>
  <si>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</si>
  <si>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</si>
  <si>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</si>
  <si>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</si>
  <si>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</si>
  <si>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</si>
  <si>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</si>
  <si>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</si>
  <si>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</si>
  <si>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</si>
  <si>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</si>
  <si>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</si>
  <si>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</si>
  <si>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</si>
  <si>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</si>
  <si>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</si>
  <si>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</si>
  <si>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</si>
  <si>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</si>
  <si>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</si>
  <si>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</si>
  <si>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</si>
  <si>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</si>
  <si>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</si>
  <si>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</si>
  <si>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</si>
  <si>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</si>
  <si>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</si>
  <si>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</si>
  <si>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</si>
  <si>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</si>
  <si>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</si>
  <si>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</si>
  <si>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</si>
  <si>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</si>
  <si>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</si>
  <si>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</si>
  <si>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</si>
  <si>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</si>
  <si>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</si>
  <si>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</si>
  <si>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</si>
  <si>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</si>
  <si>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</si>
  <si>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</si>
  <si>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</si>
  <si>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</si>
  <si>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</si>
  <si>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</si>
  <si>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</si>
  <si>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</si>
  <si>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</si>
  <si>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</si>
  <si>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</si>
  <si>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</si>
  <si>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</si>
  <si>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</si>
  <si>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</si>
  <si>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</si>
  <si>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</si>
  <si>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</si>
  <si>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</si>
  <si>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</si>
  <si>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</si>
  <si>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</si>
  <si>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</si>
  <si>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</si>
  <si>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</si>
  <si>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</si>
  <si>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</si>
  <si>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</si>
  <si>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</si>
  <si>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</si>
  <si>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</si>
  <si>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</si>
  <si>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</si>
  <si>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</si>
  <si>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</si>
  <si>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</si>
  <si>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</si>
  <si>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</si>
  <si>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</si>
  <si>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</si>
  <si>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</si>
  <si>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</si>
  <si>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</si>
  <si>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</si>
  <si>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</si>
  <si>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</si>
  <si>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</si>
  <si>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</si>
  <si>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</si>
  <si>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</si>
  <si>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</si>
  <si>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</si>
  <si>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</si>
  <si>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</si>
  <si>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</si>
  <si>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</si>
  <si>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</si>
  <si>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</si>
  <si>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</si>
  <si>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</si>
  <si>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</si>
  <si>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</si>
  <si>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</si>
  <si>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</si>
  <si>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</si>
  <si>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</si>
  <si>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</si>
  <si>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</si>
  <si>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</si>
  <si>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</si>
  <si>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</si>
  <si>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</si>
  <si>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</si>
  <si>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</si>
  <si>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</si>
  <si>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</si>
  <si>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</si>
  <si>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</si>
  <si>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</si>
  <si>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</si>
  <si>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</si>
  <si>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</si>
  <si>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</si>
  <si>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</si>
  <si>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</si>
  <si>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</si>
  <si>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</si>
  <si>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</si>
  <si>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</si>
  <si>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</si>
  <si>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</si>
  <si>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</si>
  <si>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</si>
  <si>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</si>
  <si>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</si>
  <si>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</si>
  <si>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</si>
  <si>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</si>
  <si>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</si>
  <si>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</si>
  <si>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</si>
  <si>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</si>
  <si>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</si>
  <si>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</si>
  <si>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</si>
  <si>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</si>
  <si>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</si>
  <si>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</si>
  <si>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</si>
  <si>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</si>
  <si>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</si>
  <si>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</si>
  <si>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</si>
  <si>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</si>
  <si>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</si>
  <si>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</si>
  <si>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</si>
  <si>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</si>
  <si>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</si>
  <si>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</si>
  <si>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</si>
  <si>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</si>
  <si>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</si>
  <si>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</si>
  <si>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</si>
  <si>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</si>
  <si>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</si>
  <si>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</si>
  <si>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</si>
  <si>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</si>
  <si>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</si>
  <si>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</si>
  <si>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</si>
  <si>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</si>
  <si>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</si>
  <si>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</si>
  <si>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</si>
  <si>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</si>
  <si>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</si>
  <si>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</si>
  <si>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</si>
  <si>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</si>
  <si>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</si>
  <si>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</si>
  <si>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</si>
  <si>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</si>
  <si>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</si>
  <si>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</si>
  <si>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</si>
  <si>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</si>
  <si>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</si>
  <si>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</si>
  <si>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</si>
  <si>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</si>
  <si>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</si>
  <si>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</si>
  <si>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</si>
  <si>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</si>
  <si>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</si>
  <si>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</si>
  <si>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</si>
  <si>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</si>
  <si>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</si>
  <si>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</si>
  <si>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</si>
  <si>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</si>
  <si>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</si>
  <si>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</si>
  <si>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</si>
  <si>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</si>
  <si>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</si>
  <si>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</si>
  <si>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</si>
  <si>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</si>
  <si>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</si>
  <si>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</si>
  <si>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</si>
  <si>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</si>
  <si>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</si>
  <si>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</si>
  <si>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</si>
  <si>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</si>
  <si>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</si>
  <si>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</si>
  <si>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</si>
  <si>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</si>
  <si>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</si>
  <si>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</si>
  <si>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</si>
  <si>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</si>
  <si>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</si>
  <si>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</si>
  <si>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</si>
  <si>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</si>
  <si>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</si>
  <si>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</si>
  <si>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</si>
  <si>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</si>
  <si>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</si>
  <si>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</si>
  <si>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</si>
  <si>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</si>
  <si>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</si>
  <si>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</si>
  <si>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</si>
  <si>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</si>
  <si>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</si>
  <si>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</si>
  <si>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</si>
  <si>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</si>
  <si>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</si>
  <si>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</si>
  <si>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</si>
  <si>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</si>
  <si>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</si>
  <si>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</si>
  <si>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</si>
  <si>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</si>
  <si>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</si>
  <si>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</si>
  <si>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</si>
  <si>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</si>
  <si>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</si>
  <si>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</si>
  <si>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</si>
  <si>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</si>
  <si>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</si>
  <si>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</si>
  <si>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</si>
  <si>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</si>
  <si>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</si>
  <si>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</si>
  <si>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</si>
  <si>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</si>
  <si>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</si>
  <si>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</si>
  <si>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</si>
  <si>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</si>
  <si>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</si>
  <si>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</si>
  <si>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</si>
  <si>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</si>
  <si>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</si>
  <si>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</si>
  <si>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</si>
  <si>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</si>
  <si>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</si>
  <si>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</si>
  <si>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</si>
  <si>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</si>
  <si>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</si>
  <si>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</si>
  <si>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</si>
  <si>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</si>
  <si>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</si>
  <si>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</si>
  <si>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</si>
  <si>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</si>
  <si>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</si>
  <si>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</si>
  <si>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</si>
  <si>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</si>
  <si>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</si>
  <si>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</si>
  <si>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</si>
  <si>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</si>
  <si>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</si>
  <si>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</si>
  <si>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</si>
  <si>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</si>
  <si>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</si>
  <si>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</si>
  <si>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</si>
  <si>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</si>
  <si>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</si>
  <si>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</si>
  <si>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</si>
  <si>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</si>
  <si>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</si>
  <si>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</si>
  <si>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</si>
  <si>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</si>
  <si>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</si>
  <si>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</si>
  <si>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</si>
  <si>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</si>
  <si>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</si>
  <si>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</si>
  <si>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</si>
  <si>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</si>
  <si>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</si>
  <si>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</si>
  <si>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</si>
  <si>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</si>
  <si>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</si>
  <si>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</si>
  <si>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</si>
  <si>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</si>
  <si>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</si>
  <si>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</si>
  <si>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</si>
  <si>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</si>
  <si>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</si>
  <si>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</si>
  <si>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</si>
  <si>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</si>
  <si>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</si>
  <si>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</si>
  <si>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</si>
  <si>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</si>
  <si>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</si>
  <si>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</si>
  <si>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</si>
  <si>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</si>
  <si>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</si>
  <si>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</si>
  <si>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</si>
  <si>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</si>
  <si>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</si>
  <si>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</si>
  <si>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</si>
  <si>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</si>
  <si>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</si>
  <si>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</si>
  <si>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</si>
  <si>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</si>
  <si>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</si>
  <si>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</si>
  <si>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</si>
  <si>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</si>
  <si>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</si>
  <si>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</si>
  <si>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</si>
  <si>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</si>
  <si>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</si>
  <si>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</si>
  <si>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</si>
  <si>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</si>
  <si>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</si>
  <si>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</si>
  <si>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</si>
  <si>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</si>
  <si>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</si>
  <si>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</si>
  <si>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</si>
  <si>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</si>
  <si>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</si>
  <si>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</si>
  <si>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</si>
  <si>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</si>
  <si>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</si>
  <si>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</si>
  <si>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</si>
  <si>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</si>
  <si>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</si>
  <si>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</si>
  <si>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</si>
  <si>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</si>
  <si>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</si>
  <si>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</si>
  <si>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</si>
  <si>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</si>
  <si>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</si>
  <si>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</si>
  <si>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</si>
  <si>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</si>
  <si>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</si>
  <si>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</si>
  <si>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</si>
  <si>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</si>
  <si>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</si>
  <si>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</si>
  <si>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</si>
  <si>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</si>
  <si>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</si>
  <si>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</si>
  <si>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</si>
  <si>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</si>
  <si>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</si>
  <si>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</si>
  <si>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</si>
  <si>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</si>
  <si>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</si>
  <si>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</si>
  <si>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</si>
  <si>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</si>
  <si>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</si>
  <si>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</si>
  <si>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</si>
  <si>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</si>
  <si>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</si>
  <si>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</si>
  <si>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</si>
  <si>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</si>
  <si>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</si>
  <si>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</si>
  <si>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</si>
  <si>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</si>
  <si>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</si>
  <si>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</si>
  <si>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</si>
  <si>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</si>
  <si>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</si>
  <si>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</si>
  <si>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</si>
  <si>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</si>
  <si>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</si>
  <si>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</si>
  <si>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</si>
  <si>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</si>
  <si>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</si>
  <si>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</si>
  <si>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</si>
  <si>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</si>
  <si>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</si>
  <si>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</si>
  <si>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</si>
  <si>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</si>
  <si>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</si>
  <si>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</si>
  <si>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</si>
  <si>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</si>
  <si>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</si>
  <si>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</si>
  <si>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</si>
  <si>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</si>
  <si>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</si>
  <si>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</si>
  <si>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</si>
  <si>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</si>
  <si>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</si>
  <si>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</si>
  <si>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</si>
  <si>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</si>
  <si>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</si>
  <si>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</si>
  <si>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</si>
  <si>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</si>
  <si>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</si>
  <si>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</si>
  <si>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</si>
  <si>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</si>
  <si>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</si>
  <si>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</si>
  <si>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</si>
  <si>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</si>
  <si>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</si>
  <si>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</si>
  <si>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</si>
  <si>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</si>
  <si>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</si>
  <si>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</si>
  <si>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</si>
  <si>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</si>
  <si>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</si>
  <si>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</si>
  <si>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</si>
  <si>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</si>
  <si>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</si>
  <si>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</si>
  <si>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</si>
  <si>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</si>
  <si>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</si>
  <si>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</si>
  <si>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</si>
  <si>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</si>
  <si>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</si>
  <si>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</si>
  <si>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</si>
  <si>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</si>
  <si>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</si>
  <si>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</si>
  <si>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</si>
  <si>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</si>
  <si>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</si>
  <si>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</si>
  <si>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</si>
  <si>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</si>
  <si>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</si>
  <si>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</si>
  <si>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</si>
  <si>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</si>
  <si>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</si>
  <si>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</si>
  <si>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</si>
  <si>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</si>
  <si>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</si>
  <si>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</si>
  <si>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</si>
  <si>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</si>
  <si>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</si>
  <si>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</si>
  <si>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</si>
  <si>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</si>
  <si>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</si>
  <si>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</si>
  <si>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</si>
  <si>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</si>
  <si>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</si>
  <si>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</si>
  <si>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</si>
  <si>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</si>
  <si>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</si>
  <si>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</si>
  <si>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</si>
  <si>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</si>
  <si>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</si>
  <si>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</si>
  <si>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</si>
  <si>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</si>
  <si>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</si>
  <si>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</si>
  <si>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</si>
  <si>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</si>
  <si>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</si>
  <si>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</si>
  <si>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</si>
  <si>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</si>
  <si>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</si>
  <si>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</si>
  <si>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</si>
  <si>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</si>
  <si>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</si>
  <si>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</si>
  <si>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</si>
  <si>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</si>
  <si>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</si>
  <si>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</si>
  <si>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</si>
  <si>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</si>
  <si>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</si>
  <si>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</si>
  <si>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</si>
  <si>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</si>
  <si>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</si>
  <si>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</si>
  <si>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</si>
  <si>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</si>
  <si>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</si>
  <si>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</si>
  <si>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</si>
  <si>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</si>
  <si>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</si>
  <si>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</si>
  <si>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</si>
  <si>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</si>
  <si>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</si>
  <si>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</si>
  <si>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</si>
  <si>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</si>
  <si>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</si>
  <si>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</si>
  <si>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</si>
  <si>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</si>
  <si>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</si>
  <si>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</si>
  <si>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</si>
  <si>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</si>
  <si>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</si>
  <si>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</si>
  <si>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</si>
  <si>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</si>
  <si>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</si>
  <si>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</si>
  <si>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</si>
  <si>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</si>
  <si>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</si>
  <si>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</si>
  <si>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</si>
  <si>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</si>
  <si>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</si>
  <si>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</si>
  <si>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</si>
  <si>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</si>
  <si>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</si>
  <si>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</si>
  <si>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</si>
  <si>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</si>
  <si>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</si>
  <si>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</si>
  <si>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</si>
  <si>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</si>
  <si>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</si>
  <si>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</si>
  <si>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</si>
  <si>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</si>
  <si>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</si>
  <si>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</si>
  <si>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</si>
  <si>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</si>
  <si>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</si>
  <si>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</si>
  <si>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</si>
  <si>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</si>
  <si>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</si>
  <si>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</si>
  <si>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</si>
  <si>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</si>
  <si>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</si>
  <si>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</si>
  <si>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</si>
  <si>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</si>
  <si>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</si>
  <si>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</si>
  <si>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</si>
  <si>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</si>
  <si>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</si>
  <si>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</si>
  <si>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</si>
  <si>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</si>
  <si>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</si>
  <si>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</si>
  <si>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</si>
  <si>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</si>
  <si>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</si>
  <si>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</si>
  <si>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</si>
  <si>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</si>
  <si>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</si>
  <si>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</si>
  <si>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</si>
  <si>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</si>
  <si>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</si>
  <si>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</si>
  <si>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</si>
  <si>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</si>
  <si>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</si>
  <si>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</si>
  <si>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</si>
  <si>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</si>
  <si>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</si>
  <si>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</si>
  <si>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</si>
  <si>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</si>
  <si>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</si>
  <si>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</si>
  <si>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</si>
  <si>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</si>
  <si>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</si>
  <si>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</si>
  <si>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</si>
  <si>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</si>
  <si>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</si>
  <si>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</si>
  <si>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</si>
  <si>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</si>
  <si>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</si>
  <si>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</si>
  <si>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</si>
  <si>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</si>
  <si>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</si>
  <si>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</si>
  <si>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</si>
  <si>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</si>
  <si>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</si>
  <si>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</si>
  <si>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</si>
  <si>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</si>
  <si>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</si>
  <si>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</si>
  <si>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</si>
  <si>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</si>
  <si>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</si>
  <si>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</si>
  <si>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</si>
  <si>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</si>
  <si>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</si>
  <si>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</si>
  <si>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</si>
  <si>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</si>
  <si>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</si>
  <si>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</si>
  <si>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</si>
  <si>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</si>
  <si>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</si>
  <si>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</si>
  <si>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</si>
  <si>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</si>
  <si>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</si>
  <si>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</si>
  <si>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</si>
  <si>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</si>
  <si>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</si>
  <si>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</si>
  <si>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</si>
  <si>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</si>
  <si>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</si>
  <si>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</si>
  <si>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</si>
  <si>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</si>
  <si>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</si>
  <si>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</si>
  <si>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</si>
  <si>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</si>
  <si>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</si>
  <si>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</si>
  <si>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</si>
  <si>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</si>
  <si>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</si>
  <si>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</si>
  <si>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</si>
  <si>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</si>
  <si>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</si>
  <si>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</si>
  <si>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</si>
  <si>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</si>
  <si>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</si>
  <si>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</si>
  <si>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</si>
  <si>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</si>
  <si>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</si>
  <si>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</si>
  <si>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</si>
  <si>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</si>
  <si>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</si>
  <si>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</si>
  <si>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</si>
  <si>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</si>
  <si>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</si>
  <si>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</si>
  <si>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</si>
  <si>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</si>
  <si>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</si>
  <si>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</si>
  <si>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</si>
  <si>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</si>
  <si>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</si>
  <si>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</si>
  <si>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</si>
  <si>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</si>
  <si>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</si>
  <si>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</si>
  <si>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</si>
  <si>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</si>
  <si>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</si>
  <si>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</si>
  <si>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</si>
  <si>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</si>
  <si>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</si>
  <si>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</si>
  <si>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</si>
  <si>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</si>
  <si>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</si>
  <si>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</si>
  <si>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</si>
  <si>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</si>
  <si>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</si>
  <si>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</si>
  <si>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</si>
  <si>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</si>
  <si>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</si>
  <si>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</si>
  <si>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</si>
  <si>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</si>
  <si>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</si>
  <si>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</si>
  <si>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</si>
  <si>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</si>
  <si>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</si>
  <si>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</si>
  <si>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</si>
  <si>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</si>
  <si>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</si>
  <si>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</si>
  <si>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</si>
  <si>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</si>
  <si>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</si>
  <si>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</si>
  <si>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</si>
  <si>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</si>
  <si>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</si>
  <si>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</si>
  <si>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</si>
  <si>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</si>
  <si>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</si>
  <si>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</si>
  <si>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</si>
  <si>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</si>
  <si>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</si>
  <si>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</si>
  <si>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</si>
  <si>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</si>
  <si>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</si>
  <si>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</si>
  <si>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</si>
  <si>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</si>
  <si>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</si>
  <si>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</si>
  <si>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</si>
  <si>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</si>
  <si>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</si>
  <si>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</si>
  <si>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</si>
  <si>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</si>
  <si>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</si>
  <si>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</si>
  <si>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</si>
  <si>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</si>
  <si>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</si>
  <si>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</si>
  <si>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</si>
  <si>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</si>
  <si>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</si>
  <si>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</si>
  <si>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</si>
  <si>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</si>
  <si>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</si>
  <si>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</si>
  <si>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</si>
  <si>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</si>
  <si>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</si>
  <si>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</si>
  <si>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</si>
  <si>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</si>
  <si>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</si>
  <si>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</si>
  <si>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</si>
  <si>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</si>
  <si>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</si>
  <si>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</si>
  <si>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</si>
  <si>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</si>
  <si>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</si>
  <si>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</si>
  <si>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</si>
  <si>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</si>
  <si>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</si>
  <si>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</si>
  <si>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</si>
  <si>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</si>
  <si>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</si>
  <si>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</si>
  <si>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</si>
  <si>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</si>
  <si>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</si>
  <si>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</si>
  <si>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</si>
  <si>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</si>
  <si>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</si>
  <si>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</si>
  <si>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</si>
  <si>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</si>
  <si>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</si>
  <si>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</si>
  <si>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</si>
  <si>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</si>
  <si>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</si>
  <si>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</si>
  <si>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</si>
  <si>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</si>
  <si>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</si>
  <si>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</si>
  <si>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</si>
  <si>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</si>
  <si>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</si>
  <si>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</si>
  <si>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</si>
  <si>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</si>
  <si>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</si>
  <si>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</si>
  <si>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</si>
  <si>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</si>
  <si>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</si>
  <si>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</si>
  <si>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</si>
  <si>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</si>
  <si>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</si>
  <si>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</si>
  <si>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</si>
  <si>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</si>
  <si>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</si>
  <si>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</si>
  <si>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</si>
  <si>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</si>
  <si>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</si>
  <si>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</si>
  <si>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</si>
  <si>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</si>
  <si>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</si>
  <si>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</si>
  <si>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</si>
  <si>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</si>
  <si>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</si>
  <si>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</si>
  <si>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</si>
  <si>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</si>
  <si>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</si>
  <si>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</si>
  <si>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</si>
  <si>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</si>
  <si>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</si>
  <si>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</si>
  <si>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</si>
  <si>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</si>
  <si>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</si>
  <si>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</si>
  <si>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</si>
  <si>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</si>
  <si>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</si>
  <si>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</si>
  <si>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</si>
  <si>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</si>
  <si>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</si>
  <si>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</si>
  <si>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</si>
  <si>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</si>
  <si>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</si>
  <si>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</si>
  <si>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</si>
  <si>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</si>
  <si>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</si>
  <si>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</si>
  <si>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</si>
  <si>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</si>
  <si>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</si>
  <si>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</si>
  <si>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</si>
  <si>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</si>
  <si>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</si>
  <si>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</si>
  <si>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</si>
  <si>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</si>
  <si>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</si>
  <si>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</si>
  <si>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</si>
  <si>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</si>
  <si>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</si>
  <si>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</si>
  <si>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</si>
  <si>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</si>
  <si>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</si>
  <si>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</si>
  <si>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</si>
  <si>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</si>
  <si>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</si>
  <si>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</si>
  <si>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</si>
  <si>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</si>
  <si>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</si>
  <si>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</si>
  <si>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</si>
  <si>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</si>
  <si>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</si>
  <si>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</si>
  <si>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</si>
  <si>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</si>
  <si>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</si>
  <si>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</si>
  <si>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</si>
  <si>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</si>
  <si>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</si>
  <si>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</si>
  <si>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</si>
  <si>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</si>
  <si>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</si>
  <si>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</si>
  <si>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</si>
  <si>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</si>
  <si>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</si>
  <si>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</si>
  <si>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</si>
  <si>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</si>
  <si>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</si>
  <si>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</si>
  <si>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</si>
  <si>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</si>
  <si>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</si>
  <si>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</si>
  <si>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</si>
  <si>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</si>
  <si>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</si>
  <si>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</si>
  <si>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</si>
  <si>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</si>
  <si>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</si>
  <si>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</si>
  <si>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</si>
  <si>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</si>
  <si>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</si>
  <si>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</si>
  <si>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</si>
  <si>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</si>
  <si>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</si>
  <si>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</si>
  <si>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</si>
  <si>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</si>
  <si>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</si>
  <si>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</si>
  <si>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</si>
  <si>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</si>
  <si>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</si>
  <si>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</si>
  <si>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</si>
  <si>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</si>
  <si>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</si>
  <si>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</si>
  <si>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</si>
  <si>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</si>
  <si>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</si>
  <si>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</si>
  <si>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</si>
  <si>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</si>
  <si>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</si>
  <si>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</si>
  <si>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</si>
  <si>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</si>
  <si>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</si>
  <si>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</si>
  <si>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</si>
  <si>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</si>
  <si>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</si>
  <si>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</si>
  <si>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</si>
  <si>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</si>
  <si>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</si>
  <si>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</si>
  <si>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</si>
  <si>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</si>
  <si>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</si>
  <si>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</si>
  <si>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</si>
  <si>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</si>
  <si>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</si>
  <si>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</si>
  <si>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</si>
  <si>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</si>
  <si>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</si>
  <si>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</si>
  <si>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</si>
  <si>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</si>
  <si>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</si>
  <si>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</si>
  <si>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</si>
  <si>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</si>
  <si>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</si>
  <si>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</si>
  <si>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</si>
  <si>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</si>
  <si>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</si>
  <si>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</si>
  <si>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</si>
  <si>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</si>
  <si>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</si>
  <si>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</si>
  <si>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</si>
  <si>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</si>
  <si>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</si>
  <si>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</si>
  <si>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</si>
  <si>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</si>
  <si>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</si>
  <si>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</si>
  <si>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</si>
  <si>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</si>
  <si>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</si>
  <si>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</si>
  <si>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</si>
  <si>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</si>
  <si>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</si>
  <si>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</si>
  <si>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</si>
  <si>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</si>
  <si>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</si>
  <si>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</si>
  <si>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</si>
  <si>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</si>
  <si>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</si>
  <si>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</si>
  <si>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</si>
  <si>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</si>
  <si>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</si>
  <si>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</si>
  <si>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</si>
  <si>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</si>
  <si>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</si>
  <si>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</si>
  <si>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</si>
  <si>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</si>
  <si>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</si>
  <si>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</si>
  <si>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</si>
  <si>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</si>
  <si>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</si>
  <si>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</si>
  <si>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</si>
  <si>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</si>
  <si>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</si>
  <si>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</si>
  <si>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</si>
  <si>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</si>
  <si>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</si>
  <si>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</si>
  <si>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</si>
  <si>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</si>
  <si>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</si>
  <si>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</si>
  <si>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</si>
  <si>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</si>
  <si>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</si>
  <si>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</si>
  <si>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</si>
  <si>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</si>
  <si>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</si>
  <si>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</si>
  <si>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</si>
  <si>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</si>
  <si>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</si>
  <si>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</si>
  <si>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</si>
  <si>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</si>
  <si>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</si>
  <si>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</si>
  <si>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</si>
  <si>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</si>
  <si>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</si>
  <si>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</si>
  <si>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</si>
  <si>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</si>
  <si>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</si>
  <si>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</si>
  <si>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</si>
  <si>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</si>
  <si>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</si>
  <si>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</si>
  <si>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</si>
  <si>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</si>
  <si>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</si>
  <si>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</si>
  <si>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</si>
  <si>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</si>
  <si>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</si>
  <si>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</si>
  <si>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</si>
  <si>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</si>
  <si>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</si>
  <si>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</si>
  <si>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</si>
  <si>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</si>
  <si>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</si>
  <si>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</si>
  <si>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</si>
  <si>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</si>
  <si>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</si>
  <si>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</si>
  <si>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</si>
  <si>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</si>
  <si>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</si>
  <si>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</si>
  <si>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</si>
  <si>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</si>
  <si>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</si>
  <si>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</si>
  <si>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</si>
  <si>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</si>
  <si>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</si>
  <si>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</si>
  <si>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</si>
  <si>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</si>
  <si>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</si>
  <si>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</si>
  <si>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</si>
  <si>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</si>
  <si>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</si>
  <si>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</si>
  <si>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</si>
  <si>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</si>
  <si>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</si>
  <si>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</si>
  <si>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</si>
  <si>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</si>
  <si>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</si>
  <si>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</si>
  <si>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</si>
  <si>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</si>
  <si>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</si>
  <si>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</si>
  <si>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</si>
  <si>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</si>
  <si>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</si>
  <si>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</si>
  <si>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</si>
  <si>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</si>
  <si>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</si>
  <si>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</si>
  <si>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</si>
  <si>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</si>
  <si>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</si>
  <si>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</si>
  <si>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</si>
  <si>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</si>
  <si>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</si>
  <si>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</si>
  <si>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</si>
  <si>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</si>
  <si>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</si>
  <si>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</si>
  <si>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</si>
  <si>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</si>
  <si>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</si>
  <si>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</si>
  <si>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</si>
  <si>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</si>
  <si>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</si>
  <si>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</si>
  <si>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</si>
  <si>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</si>
  <si>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</si>
  <si>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</si>
  <si>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</si>
  <si>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</si>
  <si>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</si>
  <si>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</si>
  <si>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</si>
  <si>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</si>
  <si>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</si>
  <si>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</si>
  <si>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</si>
  <si>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</si>
  <si>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</si>
  <si>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</si>
  <si>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</si>
  <si>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</si>
  <si>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</si>
  <si>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</si>
  <si>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</si>
  <si>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</si>
  <si>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</si>
  <si>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</si>
  <si>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</si>
  <si>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</si>
  <si>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</si>
  <si>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</si>
  <si>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</si>
  <si>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</si>
  <si>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</si>
  <si>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</si>
  <si>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</si>
  <si>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</si>
  <si>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</si>
  <si>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</si>
  <si>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</si>
  <si>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</si>
  <si>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</si>
  <si>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</si>
  <si>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</si>
  <si>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</si>
  <si>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</si>
  <si>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</si>
  <si>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</si>
  <si>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</si>
  <si>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</si>
  <si>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</si>
  <si>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</si>
  <si>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</si>
  <si>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</si>
  <si>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</si>
  <si>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</si>
  <si>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</si>
  <si>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</si>
  <si>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</si>
  <si>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</si>
  <si>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</si>
  <si>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</si>
  <si>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</si>
  <si>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</si>
  <si>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</si>
  <si>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</si>
  <si>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</si>
  <si>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</si>
  <si>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</si>
  <si>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</si>
  <si>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</si>
  <si>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</si>
  <si>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</si>
  <si>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</si>
  <si>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</si>
  <si>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</si>
  <si>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</si>
  <si>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</si>
  <si>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</si>
  <si>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</si>
  <si>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</si>
  <si>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</si>
  <si>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</si>
  <si>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</si>
  <si>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</si>
  <si>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</si>
  <si>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</si>
  <si>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</si>
  <si>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</si>
  <si>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</si>
  <si>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</si>
  <si>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</si>
  <si>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</si>
  <si>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</si>
  <si>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</si>
  <si>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</si>
  <si>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</si>
  <si>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</si>
  <si>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</si>
  <si>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</si>
  <si>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</si>
  <si>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</si>
  <si>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</si>
  <si>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</si>
  <si>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</si>
  <si>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</si>
  <si>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</si>
  <si>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</si>
  <si>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</si>
  <si>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</si>
  <si>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</si>
  <si>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</si>
  <si>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</si>
  <si>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</si>
  <si>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</si>
  <si>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</si>
  <si>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</si>
  <si>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</si>
  <si>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</si>
  <si>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</si>
  <si>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</si>
  <si>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</si>
  <si>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</si>
  <si>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</si>
  <si>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</si>
  <si>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</si>
  <si>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</si>
  <si>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</si>
  <si>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</si>
  <si>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</si>
  <si>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</si>
  <si>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</si>
  <si>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</si>
  <si>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</si>
  <si>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</si>
  <si>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</si>
  <si>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</si>
  <si>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</si>
  <si>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</si>
  <si>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</si>
  <si>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</si>
  <si>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</si>
  <si>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</si>
  <si>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</si>
  <si>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</si>
  <si>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</si>
  <si>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</si>
  <si>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</si>
  <si>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</si>
  <si>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</si>
  <si>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</si>
  <si>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</si>
  <si>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</si>
  <si>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</si>
  <si>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</si>
  <si>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</si>
  <si>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</si>
  <si>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</si>
  <si>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</si>
  <si>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</si>
  <si>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</si>
  <si>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</si>
  <si>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</si>
  <si>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</si>
  <si>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</si>
  <si>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</si>
  <si>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</si>
  <si>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</si>
  <si>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</si>
  <si>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</si>
  <si>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</si>
  <si>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</si>
  <si>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</si>
  <si>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</si>
  <si>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</si>
  <si>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</si>
  <si>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</si>
  <si>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</si>
  <si>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</si>
  <si>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</si>
  <si>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</si>
  <si>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</si>
  <si>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</si>
  <si>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</si>
  <si>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</si>
  <si>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</si>
  <si>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</si>
  <si>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</si>
  <si>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</si>
  <si>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</si>
  <si>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</si>
  <si>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</si>
  <si>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</si>
  <si>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</si>
  <si>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</si>
  <si>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</si>
  <si>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</si>
  <si>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</si>
  <si>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</si>
  <si>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</si>
  <si>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</si>
  <si>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</si>
  <si>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</si>
  <si>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</si>
  <si>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</si>
  <si>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</si>
  <si>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</si>
  <si>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</si>
  <si>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</si>
  <si>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</si>
  <si>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</si>
  <si>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</si>
  <si>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</si>
  <si>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</si>
  <si>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</si>
  <si>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</si>
  <si>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</si>
  <si>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</si>
  <si>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</si>
  <si>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</si>
  <si>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</si>
  <si>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</si>
  <si>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</si>
  <si>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</si>
  <si>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</si>
  <si>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</si>
  <si>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</si>
  <si>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</si>
  <si>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</si>
  <si>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</si>
  <si>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</si>
  <si>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</si>
  <si>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</si>
  <si>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</si>
  <si>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</si>
  <si>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</si>
  <si>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</si>
  <si>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</si>
  <si>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</si>
  <si>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</si>
  <si>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</si>
  <si>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</si>
  <si>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</si>
  <si>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</si>
  <si>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</si>
  <si>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</si>
  <si>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</si>
  <si>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</si>
  <si>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</si>
  <si>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</si>
  <si>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</si>
  <si>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</si>
  <si>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</si>
  <si>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</si>
  <si>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</si>
  <si>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</si>
  <si>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</si>
  <si>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</si>
  <si>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</si>
  <si>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</si>
  <si>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</si>
  <si>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</si>
  <si>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</si>
  <si>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</si>
  <si>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</si>
  <si>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</si>
  <si>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</si>
  <si>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</si>
  <si>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</si>
  <si>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</si>
  <si>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</si>
  <si>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</si>
  <si>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</si>
  <si>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</si>
  <si>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</si>
  <si>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</si>
  <si>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</si>
  <si>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</si>
  <si>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</si>
  <si>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</si>
  <si>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</si>
  <si>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</si>
  <si>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</si>
  <si>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</si>
  <si>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</si>
  <si>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</si>
  <si>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</si>
  <si>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</si>
  <si>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</si>
  <si>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</si>
  <si>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</si>
  <si>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</si>
  <si>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</si>
  <si>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</si>
  <si>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</si>
  <si>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</si>
  <si>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</si>
  <si>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</si>
  <si>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</si>
  <si>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</si>
  <si>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</si>
  <si>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</si>
  <si>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</si>
  <si>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</si>
  <si>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</si>
  <si>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</si>
  <si>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</si>
  <si>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</si>
  <si>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</si>
  <si>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</si>
  <si>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</si>
  <si>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</si>
  <si>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</si>
  <si>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</si>
  <si>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</si>
  <si>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</si>
  <si>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</si>
  <si>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</si>
  <si>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</si>
  <si>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</si>
  <si>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</si>
  <si>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</si>
  <si>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</si>
  <si>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</si>
  <si>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</si>
  <si>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</si>
  <si>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</si>
  <si>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</si>
  <si>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</si>
  <si>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</si>
  <si>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</si>
  <si>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</si>
  <si>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</si>
  <si>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</si>
  <si>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</si>
  <si>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</si>
  <si>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</si>
  <si>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</si>
  <si>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</si>
  <si>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</si>
  <si>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</si>
  <si>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</si>
  <si>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</si>
  <si>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</si>
  <si>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</si>
  <si>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</si>
  <si>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</si>
  <si>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</si>
  <si>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</si>
  <si>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</si>
  <si>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</si>
  <si>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</si>
  <si>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</si>
  <si>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</si>
  <si>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</si>
  <si>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</si>
  <si>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</si>
  <si>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</si>
  <si>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</si>
  <si>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</si>
  <si>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</si>
  <si>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</si>
  <si>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</si>
  <si>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</si>
  <si>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</si>
  <si>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</si>
  <si>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</si>
  <si>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</si>
  <si>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</si>
  <si>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</si>
  <si>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</si>
  <si>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</si>
  <si>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</si>
  <si>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</si>
  <si>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</si>
  <si>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</si>
  <si>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</si>
  <si>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</si>
  <si>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</si>
  <si>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</si>
  <si>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</si>
  <si>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</si>
  <si>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</si>
  <si>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</si>
  <si>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</si>
  <si>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</si>
  <si>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</si>
  <si>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</si>
  <si>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</si>
  <si>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</si>
  <si>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</si>
  <si>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</si>
  <si>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</si>
  <si>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</si>
  <si>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</si>
  <si>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</si>
  <si>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</si>
  <si>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</si>
  <si>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</si>
  <si>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</si>
  <si>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</si>
  <si>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</si>
  <si>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</si>
  <si>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</si>
  <si>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</si>
  <si>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</si>
  <si>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</si>
  <si>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</si>
  <si>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</si>
  <si>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</si>
  <si>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</si>
  <si>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</si>
  <si>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</si>
  <si>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</si>
  <si>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</si>
  <si>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</si>
  <si>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</si>
  <si>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</si>
  <si>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</si>
  <si>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</si>
  <si>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</si>
  <si>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</si>
  <si>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</si>
  <si>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</si>
  <si>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</si>
  <si>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</si>
  <si>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</si>
  <si>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</si>
  <si>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</si>
  <si>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</si>
  <si>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</si>
  <si>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</si>
  <si>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</si>
  <si>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</si>
  <si>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</si>
  <si>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</si>
  <si>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</si>
  <si>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</si>
  <si>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</si>
  <si>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</si>
  <si>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</si>
  <si>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</si>
  <si>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</si>
  <si>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</si>
  <si>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</si>
  <si>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</si>
  <si>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</si>
  <si>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</si>
  <si>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</si>
  <si>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</si>
  <si>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</si>
  <si>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</si>
  <si>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</si>
  <si>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</si>
  <si>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</si>
  <si>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</si>
  <si>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</si>
  <si>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</si>
  <si>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</si>
  <si>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</si>
  <si>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</si>
  <si>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</si>
  <si>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</si>
  <si>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</si>
  <si>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</si>
  <si>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</si>
  <si>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</si>
  <si>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</si>
  <si>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</si>
  <si>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</si>
  <si>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</si>
  <si>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</si>
  <si>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</si>
  <si>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</si>
  <si>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</si>
  <si>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</si>
  <si>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</si>
  <si>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</si>
  <si>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</si>
  <si>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</si>
  <si>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</si>
  <si>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</si>
  <si>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</si>
  <si>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</si>
  <si>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</si>
  <si>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</si>
  <si>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</si>
  <si>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</si>
  <si>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</si>
  <si>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</si>
  <si>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</si>
  <si>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</si>
  <si>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</si>
  <si>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</si>
  <si>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</si>
  <si>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</si>
  <si>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</si>
  <si>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</si>
  <si>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</si>
  <si>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</si>
  <si>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</si>
  <si>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</si>
  <si>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</si>
  <si>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</si>
  <si>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</si>
  <si>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</si>
  <si>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</si>
  <si>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</si>
  <si>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</si>
  <si>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</si>
  <si>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</si>
  <si>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</si>
  <si>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</si>
  <si>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</si>
  <si>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</si>
  <si>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</si>
  <si>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</si>
  <si>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</si>
  <si>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</si>
  <si>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</si>
  <si>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</si>
  <si>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</si>
  <si>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</si>
  <si>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</si>
  <si>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</si>
  <si>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</si>
  <si>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</si>
  <si>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</si>
  <si>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</si>
  <si>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</si>
  <si>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</si>
  <si>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</si>
  <si>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</si>
  <si>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</si>
  <si>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</si>
  <si>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</si>
  <si>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</si>
  <si>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</si>
  <si>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</si>
  <si>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</si>
  <si>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</si>
  <si>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</si>
  <si>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</si>
  <si>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</si>
  <si>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</si>
  <si>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</si>
  <si>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</si>
  <si>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</si>
  <si>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</si>
  <si>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</si>
  <si>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</si>
  <si>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</si>
  <si>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</si>
  <si>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</si>
  <si>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</si>
  <si>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</si>
  <si>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</si>
  <si>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</si>
  <si>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</si>
  <si>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</si>
  <si>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</si>
  <si>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</si>
  <si>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</si>
  <si>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</si>
  <si>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</si>
  <si>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</si>
  <si>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</si>
  <si>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</si>
  <si>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</si>
  <si>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</si>
  <si>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</si>
  <si>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</si>
  <si>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</si>
  <si>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</si>
  <si>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</si>
  <si>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</si>
  <si>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</si>
  <si>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</si>
  <si>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</si>
  <si>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</si>
  <si>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</si>
  <si>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</si>
  <si>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</si>
  <si>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</si>
  <si>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</si>
  <si>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</si>
  <si>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</si>
  <si>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</si>
  <si>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</si>
  <si>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</si>
  <si>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</si>
  <si>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</si>
  <si>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</si>
  <si>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</si>
  <si>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</si>
  <si>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</si>
  <si>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</si>
  <si>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</si>
  <si>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</si>
  <si>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</si>
  <si>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</si>
  <si>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</si>
  <si>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</si>
  <si>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</si>
  <si>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</si>
  <si>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</si>
  <si>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</si>
  <si>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</si>
  <si>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</si>
  <si>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</si>
  <si>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</si>
  <si>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</si>
  <si>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</si>
  <si>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</si>
  <si>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</si>
  <si>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</si>
  <si>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</si>
  <si>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</si>
  <si>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</si>
  <si>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</si>
  <si>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</si>
  <si>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</si>
  <si>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</si>
  <si>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</si>
  <si>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</si>
  <si>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</si>
  <si>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</si>
  <si>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</si>
  <si>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</si>
  <si>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</si>
  <si>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</si>
  <si>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</si>
  <si>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</si>
  <si>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</si>
  <si>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</si>
  <si>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</si>
  <si>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</si>
  <si>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</si>
  <si>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</si>
  <si>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</si>
  <si>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</si>
  <si>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</si>
  <si>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</si>
  <si>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</si>
  <si>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</si>
  <si>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</si>
  <si>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</si>
  <si>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</si>
  <si>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</si>
  <si>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</si>
  <si>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</si>
  <si>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</si>
  <si>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</si>
  <si>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</si>
  <si>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</si>
  <si>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</si>
  <si>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</si>
  <si>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</si>
  <si>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</si>
  <si>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</si>
  <si>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</si>
  <si>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</si>
  <si>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</si>
  <si>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</si>
  <si>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</si>
  <si>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</si>
  <si>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</si>
  <si>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</si>
  <si>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</si>
  <si>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</si>
  <si>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</si>
  <si>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</si>
  <si>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</si>
  <si>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</si>
  <si>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</si>
  <si>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</si>
  <si>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</si>
  <si>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</si>
  <si>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</si>
  <si>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</si>
  <si>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</si>
  <si>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</si>
  <si>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</si>
  <si>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</si>
  <si>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</si>
  <si>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</si>
  <si>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</si>
  <si>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</si>
  <si>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</si>
  <si>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</si>
  <si>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</si>
  <si>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</si>
  <si>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</si>
  <si>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</si>
  <si>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</si>
  <si>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</si>
  <si>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</si>
  <si>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</si>
  <si>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</si>
  <si>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</si>
  <si>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</si>
  <si>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</si>
  <si>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</si>
  <si>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</si>
  <si>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</si>
  <si>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</si>
  <si>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</si>
  <si>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</si>
  <si>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</si>
  <si>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</si>
  <si>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</si>
  <si>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</si>
  <si>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</si>
  <si>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</si>
  <si>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</si>
  <si>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</si>
  <si>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</si>
  <si>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</si>
  <si>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</si>
  <si>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</si>
  <si>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</si>
  <si>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</si>
  <si>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</si>
  <si>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</si>
  <si>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</si>
  <si>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</si>
  <si>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</si>
  <si>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</si>
  <si>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</si>
  <si>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</si>
  <si>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</si>
  <si>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</si>
  <si>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</si>
  <si>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</si>
  <si>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</si>
  <si>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</si>
  <si>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</si>
  <si>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</si>
  <si>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</si>
  <si>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</si>
  <si>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</si>
  <si>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</si>
  <si>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</si>
  <si>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</si>
  <si>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</si>
  <si>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</si>
  <si>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</si>
  <si>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</si>
  <si>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</si>
  <si>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</si>
  <si>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</si>
  <si>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</si>
  <si>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</si>
  <si>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</si>
  <si>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</si>
  <si>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</si>
  <si>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</si>
  <si>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</si>
  <si>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</si>
  <si>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</si>
  <si>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</si>
  <si>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</si>
  <si>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</si>
  <si>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</si>
  <si>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</si>
  <si>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</si>
  <si>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</si>
  <si>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</si>
  <si>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</si>
  <si>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</si>
  <si>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</si>
  <si>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</si>
  <si>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</si>
  <si>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</si>
  <si>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</si>
  <si>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</si>
  <si>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</si>
  <si>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</si>
  <si>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</si>
  <si>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</si>
  <si>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</si>
  <si>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</si>
  <si>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</si>
  <si>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</si>
  <si>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</si>
  <si>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</si>
  <si>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</si>
  <si>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</si>
  <si>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</si>
  <si>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</si>
  <si>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</si>
  <si>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</si>
  <si>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</si>
  <si>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</si>
  <si>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</si>
  <si>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</si>
  <si>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</si>
  <si>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</si>
  <si>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</si>
  <si>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</si>
  <si>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</si>
  <si>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</si>
  <si>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</si>
  <si>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</si>
  <si>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</si>
  <si>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</si>
  <si>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</si>
  <si>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</si>
  <si>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</si>
  <si>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</si>
  <si>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</si>
  <si>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</si>
  <si>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</si>
  <si>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</si>
  <si>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</si>
  <si>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</si>
  <si>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</si>
  <si>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</si>
  <si>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</si>
  <si>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</si>
  <si>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</si>
  <si>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</si>
  <si>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</si>
  <si>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</si>
  <si>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</si>
  <si>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</si>
  <si>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</si>
  <si>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</si>
  <si>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</si>
  <si>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</si>
  <si>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</si>
  <si>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</si>
  <si>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</si>
  <si>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</si>
  <si>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</si>
  <si>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</si>
  <si>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</si>
  <si>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</si>
  <si>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</si>
  <si>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</si>
  <si>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</si>
  <si>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</si>
  <si>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</si>
  <si>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</si>
  <si>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</si>
  <si>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</si>
  <si>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</si>
  <si>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</si>
  <si>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</si>
  <si>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</si>
  <si>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</si>
  <si>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</si>
  <si>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</si>
  <si>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</si>
  <si>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</si>
  <si>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</si>
  <si>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</si>
  <si>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</si>
  <si>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</si>
  <si>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</si>
  <si>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</si>
  <si>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</si>
  <si>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</si>
  <si>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</si>
  <si>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</si>
  <si>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</si>
  <si>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</si>
  <si>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</si>
  <si>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</si>
  <si>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</si>
  <si>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</si>
  <si>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</si>
  <si>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</si>
  <si>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</si>
  <si>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</si>
  <si>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</si>
  <si>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</si>
  <si>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</si>
  <si>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</si>
  <si>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</si>
  <si>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</si>
  <si>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</si>
  <si>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</si>
  <si>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</si>
  <si>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</si>
  <si>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</si>
  <si>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</si>
  <si>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</si>
  <si>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</si>
  <si>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</si>
  <si>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</si>
  <si>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</si>
  <si>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</si>
  <si>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</si>
  <si>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</si>
  <si>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</si>
  <si>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</si>
  <si>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</si>
  <si>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</si>
  <si>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</si>
  <si>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</si>
  <si>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</si>
  <si>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</si>
  <si>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</si>
  <si>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</si>
  <si>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</si>
  <si>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</si>
  <si>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</si>
  <si>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</si>
  <si>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</si>
  <si>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</si>
  <si>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</si>
  <si>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</si>
  <si>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</si>
  <si>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</si>
  <si>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</si>
  <si>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</si>
  <si>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</si>
  <si>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</si>
  <si>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</si>
  <si>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</si>
  <si>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</si>
  <si>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</si>
  <si>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</si>
  <si>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</si>
  <si>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</si>
  <si>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</si>
  <si>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</si>
  <si>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</si>
  <si>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</si>
  <si>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</si>
  <si>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</si>
  <si>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</si>
  <si>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</si>
  <si>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</si>
  <si>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</si>
  <si>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</si>
  <si>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</si>
  <si>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</si>
  <si>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</si>
  <si>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</si>
  <si>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</si>
  <si>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</si>
  <si>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</si>
  <si>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</si>
  <si>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</si>
  <si>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</si>
  <si>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</si>
  <si>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</si>
  <si>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</si>
  <si>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</si>
  <si>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</si>
  <si>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</si>
  <si>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</si>
  <si>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</si>
  <si>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</si>
  <si>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</si>
  <si>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</si>
  <si>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</si>
  <si>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</si>
  <si>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</si>
  <si>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</si>
  <si>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</si>
  <si>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</si>
  <si>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</si>
  <si>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</si>
  <si>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</si>
  <si>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</si>
  <si>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</si>
  <si>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</si>
  <si>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</si>
  <si>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</si>
  <si>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</si>
  <si>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</si>
  <si>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</si>
  <si>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</si>
  <si>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</si>
  <si>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</si>
  <si>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</si>
  <si>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</si>
  <si>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</si>
  <si>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</si>
  <si>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</si>
  <si>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</si>
  <si>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</si>
  <si>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</si>
  <si>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</si>
  <si>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</si>
  <si>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</si>
  <si>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</si>
  <si>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</si>
  <si>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</si>
  <si>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</si>
  <si>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</si>
  <si>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</si>
  <si>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</si>
  <si>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</si>
  <si>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</si>
  <si>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</si>
  <si>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</si>
  <si>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</si>
  <si>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</si>
  <si>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</si>
  <si>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</si>
  <si>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</si>
  <si>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</si>
  <si>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</si>
  <si>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</si>
  <si>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</si>
  <si>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</si>
  <si>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</si>
  <si>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</si>
  <si>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</si>
  <si>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</si>
  <si>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</si>
  <si>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</si>
  <si>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</si>
  <si>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</si>
  <si>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</si>
  <si>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</si>
  <si>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</si>
  <si>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</si>
  <si>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</si>
  <si>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</si>
  <si>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</si>
  <si>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</si>
  <si>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</si>
  <si>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</si>
  <si>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</si>
  <si>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</si>
  <si>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</si>
  <si>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</si>
  <si>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</si>
  <si>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</si>
  <si>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</si>
  <si>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</si>
  <si>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</si>
  <si>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</si>
  <si>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</si>
  <si>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</si>
  <si>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</si>
  <si>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</si>
  <si>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</si>
  <si>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</si>
  <si>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</si>
  <si>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</si>
  <si>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</si>
  <si>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</si>
  <si>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</si>
  <si>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</si>
  <si>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</si>
  <si>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</si>
  <si>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</si>
  <si>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</si>
  <si>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</si>
  <si>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</si>
  <si>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</si>
  <si>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</si>
  <si>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</si>
  <si>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</si>
  <si>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</si>
  <si>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</si>
  <si>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</si>
  <si>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</si>
  <si>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</si>
  <si>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</si>
  <si>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</si>
  <si>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</si>
  <si>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</si>
  <si>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</si>
  <si>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</si>
  <si>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</si>
  <si>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</si>
  <si>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</si>
  <si>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</si>
  <si>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</si>
  <si>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</si>
  <si>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</si>
  <si>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</si>
  <si>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</si>
  <si>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</si>
  <si>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</si>
  <si>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</si>
  <si>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</si>
  <si>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</si>
  <si>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</si>
  <si>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</si>
  <si>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</si>
  <si>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</si>
  <si>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</si>
  <si>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</si>
  <si>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</si>
  <si>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</si>
  <si>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</si>
  <si>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</si>
  <si>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</si>
  <si>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</si>
  <si>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</si>
  <si>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</si>
  <si>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</si>
  <si>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</si>
  <si>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</si>
  <si>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</si>
  <si>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</si>
  <si>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</si>
  <si>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</si>
  <si>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</si>
  <si>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</si>
  <si>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</si>
  <si>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</si>
  <si>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</si>
  <si>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</si>
  <si>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</si>
  <si>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</si>
  <si>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</si>
  <si>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</si>
  <si>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</si>
  <si>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</si>
  <si>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</si>
  <si>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</si>
  <si>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</si>
  <si>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</si>
  <si>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</si>
  <si>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</si>
  <si>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</si>
  <si>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</si>
  <si>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</si>
  <si>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</si>
  <si>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</si>
  <si>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</si>
  <si>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</si>
  <si>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</si>
  <si>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</si>
  <si>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</si>
  <si>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</si>
  <si>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</si>
  <si>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</si>
  <si>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</si>
  <si>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</si>
  <si>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</si>
  <si>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</si>
  <si>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</si>
  <si>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</si>
  <si>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</si>
  <si>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</si>
  <si>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</si>
  <si>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</si>
  <si>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</si>
  <si>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</si>
  <si>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</si>
  <si>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</si>
  <si>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</si>
  <si>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</si>
  <si>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</si>
  <si>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</si>
  <si>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</si>
  <si>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</si>
  <si>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</si>
  <si>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</si>
  <si>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</si>
  <si>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</si>
  <si>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</si>
  <si>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</si>
  <si>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</si>
  <si>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</si>
  <si>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</si>
  <si>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</si>
  <si>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</si>
  <si>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</si>
  <si>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</si>
  <si>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</si>
  <si>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</si>
  <si>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</si>
  <si>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</si>
  <si>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</si>
  <si>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</si>
  <si>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</si>
  <si>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</si>
  <si>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</si>
  <si>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</si>
  <si>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</si>
  <si>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</si>
  <si>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</si>
  <si>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</si>
  <si>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</si>
  <si>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</si>
  <si>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</si>
  <si>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</si>
  <si>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</si>
  <si>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</si>
  <si>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</si>
  <si>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</si>
  <si>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</si>
  <si>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</si>
  <si>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</si>
  <si>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</si>
  <si>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</si>
  <si>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</si>
  <si>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</si>
  <si>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</si>
  <si>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</si>
  <si>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</si>
  <si>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</si>
  <si>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</si>
  <si>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</si>
  <si>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</si>
  <si>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</si>
  <si>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</si>
  <si>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</si>
  <si>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北京市通州区长桥园3号楼271号</t>
    <phoneticPr fontId="7" type="noConversion"/>
  </si>
  <si>
    <t>冯宁</t>
    <phoneticPr fontId="7" type="noConversion"/>
  </si>
  <si>
    <r>
      <t>X</t>
    </r>
    <r>
      <rPr>
        <sz val="10"/>
        <color indexed="8"/>
        <rFont val="宋体"/>
        <family val="3"/>
        <charset val="134"/>
      </rPr>
      <t>京房权证通私字第</t>
    </r>
    <r>
      <rPr>
        <sz val="10"/>
        <color indexed="8"/>
        <rFont val="Arial"/>
        <family val="2"/>
      </rPr>
      <t>0710954</t>
    </r>
    <r>
      <rPr>
        <sz val="10"/>
        <color indexed="8"/>
        <rFont val="宋体"/>
        <family val="3"/>
        <charset val="134"/>
      </rPr>
      <t>号</t>
    </r>
    <phoneticPr fontId="7" type="noConversion"/>
  </si>
  <si>
    <t>长桥公寓</t>
    <phoneticPr fontId="4" type="noConversion"/>
  </si>
  <si>
    <t>住宅</t>
    <phoneticPr fontId="20" type="noConversion"/>
  </si>
  <si>
    <t>50-60（含）</t>
  </si>
  <si>
    <t>七通</t>
  </si>
  <si>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</si>
  <si>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</si>
  <si>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</si>
  <si>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</si>
  <si>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</si>
  <si>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</si>
  <si>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</si>
  <si>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</si>
  <si>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</si>
  <si>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</si>
  <si>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</si>
  <si>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</si>
  <si>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</si>
  <si>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</si>
  <si>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</si>
  <si>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高层</t>
    <phoneticPr fontId="4" type="noConversion"/>
  </si>
  <si>
    <t>中层</t>
    <phoneticPr fontId="4" type="noConversion"/>
  </si>
  <si>
    <t>低层</t>
    <phoneticPr fontId="4" type="noConversion"/>
  </si>
  <si>
    <t>楼层</t>
    <phoneticPr fontId="20" type="noConversion"/>
  </si>
  <si>
    <t>南北</t>
  </si>
  <si>
    <t>城市快速路</t>
    <phoneticPr fontId="20" type="noConversion"/>
  </si>
  <si>
    <t>板楼</t>
  </si>
  <si>
    <t>板楼</t>
    <phoneticPr fontId="20" type="noConversion"/>
  </si>
  <si>
    <t>钢</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</si>
  <si>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</si>
  <si>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</si>
  <si>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</si>
  <si>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</si>
  <si>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</si>
  <si>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</si>
  <si>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</si>
  <si>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</si>
  <si>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</si>
  <si>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</si>
  <si>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</si>
  <si>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</si>
  <si>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</si>
  <si>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</si>
  <si>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</si>
  <si>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</si>
  <si>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</si>
  <si>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</si>
  <si>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中档</t>
  </si>
  <si>
    <t>普通装修</t>
  </si>
  <si>
    <t>专业</t>
  </si>
  <si>
    <t>六通</t>
  </si>
  <si>
    <t>平层</t>
  </si>
  <si>
    <t>精装修</t>
  </si>
  <si>
    <t>高层</t>
    <phoneticPr fontId="20" type="noConversion"/>
  </si>
  <si>
    <t>中层</t>
    <phoneticPr fontId="20" type="noConversion"/>
  </si>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</sst>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83" fontId="39" fillId="0" borderId="6"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18448</xdr:colOff>
      <xdr:row>7</xdr:row>
      <xdr:rowOff>142707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9048" cy="1342857"/>
        </a:xfrm>
        <a:prstGeom prst="rect">
          <a:avLst/>
        </a:prstGeom>
      </xdr:spPr>
    </xdr:pic>
    <xdr:clientData/>
  </xdr:twoCellAnchor>
  <xdr:twoCellAnchor editAs="oneCell">
    <xdr:from>
      <xdr:col>0</xdr:col>
      <xdr:colOff>0</xdr:colOff>
      <xdr:row>8</xdr:row>
      <xdr:rowOff>0</xdr:rowOff>
    </xdr:from>
    <xdr:to>
      <xdr:col>6</xdr:col>
      <xdr:colOff>513772</xdr:colOff>
      <xdr:row>14</xdr:row>
      <xdr:rowOff>161776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4628572" cy="1190476"/>
        </a:xfrm>
        <a:prstGeom prst="rect">
          <a:avLst/>
        </a:prstGeom>
      </xdr:spPr>
    </xdr:pic>
    <xdr:clientData/>
  </xdr:twoCellAnchor>
  <xdr:twoCellAnchor editAs="oneCell">
    <xdr:from>
      <xdr:col>0</xdr:col>
      <xdr:colOff>0</xdr:colOff>
      <xdr:row>15</xdr:row>
      <xdr:rowOff>0</xdr:rowOff>
    </xdr:from>
    <xdr:to>
      <xdr:col>6</xdr:col>
      <xdr:colOff>637581</xdr:colOff>
      <xdr:row>22</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4752381" cy="1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3" customWidth="1"/>
    <col min="2" max="2" width="94.875" style="1689" customWidth="1"/>
    <col min="3" max="16384" width="9" style="1699"/>
  </cols>
  <sheetData>
    <row r="1" spans="1:2" s="1694" customFormat="1" ht="16.5" thickBot="1">
      <c r="A1" s="1692" t="s">
        <v>1107</v>
      </c>
      <c r="B1" s="1693" t="s">
        <v>1169</v>
      </c>
    </row>
    <row r="2" spans="1:2" s="1696" customFormat="1" ht="15.75" thickTop="1">
      <c r="A2" s="1695" t="s">
        <v>1108</v>
      </c>
      <c r="B2" s="1681" t="str">
        <f>'预评函-封皮'!B9</f>
        <v>北京市房地产抵押价值预评估</v>
      </c>
    </row>
    <row r="3" spans="1:2" s="1696" customFormat="1">
      <c r="A3" s="1697" t="s">
        <v>1109</v>
      </c>
      <c r="B3" s="1682">
        <f>'预评函-封皮'!B12</f>
        <v>0</v>
      </c>
    </row>
    <row r="4" spans="1:2" s="1696" customFormat="1">
      <c r="A4" s="1697" t="s">
        <v>1110</v>
      </c>
      <c r="B4" s="1682" t="str">
        <f ca="1">'预评函-封皮'!B18</f>
        <v>欧红伟（注册号:1120000080）、崔锴（注册号:1120100036)</v>
      </c>
    </row>
    <row r="5" spans="1:2" s="1694" customFormat="1" ht="15.75" thickBot="1">
      <c r="A5" s="1698" t="s">
        <v>1111</v>
      </c>
      <c r="B5" s="1683" t="str">
        <f>'预评函-封皮'!B21</f>
        <v>康正预评字号</v>
      </c>
    </row>
    <row r="6" spans="1:2" s="1696" customFormat="1" ht="15.75" thickTop="1">
      <c r="A6" s="1697" t="s">
        <v>1112</v>
      </c>
      <c r="B6" s="1681" t="str">
        <f>'预评函-1'!A4</f>
        <v>受您的委托，我公司对北京市房地产进行了预评估。</v>
      </c>
    </row>
    <row r="7" spans="1:2">
      <c r="A7" s="1697" t="s">
        <v>1113</v>
      </c>
      <c r="B7" s="1684" t="str">
        <f>'预评函-1'!A6</f>
        <v>估价对象为北京市房地产，为冯宁所有。根据《不动产权证书》[]，估价对象建筑面积为103.71平方米，（分摊）出让国有建设用地使用权面积为平方米。估价对象用途为。</v>
      </c>
    </row>
    <row r="8" spans="1:2">
      <c r="A8" s="1697" t="s">
        <v>1114</v>
      </c>
      <c r="B8" s="1684" t="str">
        <f>'预评函-1'!A8</f>
        <v>为估价委托人在向中国农业银行股份有限公司北京顺义支行办理贷款手续过程中，确定房地产抵押贷款额度提供参考依据而评估房地产抵押价值。</v>
      </c>
    </row>
    <row r="9" spans="1:2">
      <c r="A9" s="1697" t="s">
        <v>1115</v>
      </c>
      <c r="B9" s="1684" t="str">
        <f>'预评函-1'!A10</f>
        <v>2018年6月6日（评估专业人员实地查勘之日）</v>
      </c>
    </row>
    <row r="10" spans="1:2">
      <c r="A10" s="1697" t="s">
        <v>1116</v>
      </c>
      <c r="B10" s="1684" t="str">
        <f>'预评函-1'!A13</f>
        <v>本次估价的“房地产价值”是指在正常市场情况下，在价值时点2018年6月6日，估价对象规划用途为，假定未设立法定优先受偿款下的房地产市场价值。</v>
      </c>
    </row>
    <row r="11" spans="1:2">
      <c r="A11" s="1697" t="s">
        <v>1117</v>
      </c>
      <c r="B11" s="1684"/>
    </row>
    <row r="12" spans="1:2">
      <c r="A12" s="1697" t="s">
        <v>1118</v>
      </c>
      <c r="B12" s="1684" t="str">
        <f>'预评函-1'!A14</f>
        <v>本次估价的“房地产抵押价值”是指估价对象在价值时点的“房地产价值”扣减估价师于价值时点所知悉的法定优先受偿款后的余额。</v>
      </c>
    </row>
    <row r="13" spans="1:2">
      <c r="A13" s="1697" t="s">
        <v>1119</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1120</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1121</v>
      </c>
      <c r="B15" s="1685" t="str">
        <f>'预评函-1'!A18</f>
        <v>本次评估采用的主估价方法为收益法和比较法。</v>
      </c>
    </row>
    <row r="16" spans="1:2" ht="15.75" thickTop="1">
      <c r="A16" s="1695" t="s">
        <v>1122</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1123</v>
      </c>
      <c r="B17" s="1684" t="str">
        <f>'预评函-2（1）'!B6</f>
        <v>北京市房地产</v>
      </c>
    </row>
    <row r="18" spans="1:2">
      <c r="A18" s="1697" t="s">
        <v>1124</v>
      </c>
      <c r="B18" s="1684">
        <f>'预评函-2（1）'!C6</f>
        <v>103.71</v>
      </c>
    </row>
    <row r="19" spans="1:2">
      <c r="A19" s="1697" t="s">
        <v>1125</v>
      </c>
      <c r="B19" s="1684">
        <f ca="1">'预评函-2（1）'!D7</f>
        <v>4134632</v>
      </c>
    </row>
    <row r="20" spans="1:2">
      <c r="A20" s="1697" t="s">
        <v>1163</v>
      </c>
      <c r="B20" s="1684" t="str">
        <f>'预评函-2（1）'!C7</f>
        <v>总价（元）</v>
      </c>
    </row>
    <row r="21" spans="1:2">
      <c r="A21" s="1697" t="s">
        <v>1126</v>
      </c>
      <c r="B21" s="1684">
        <f ca="1">'预评函-2（1）'!D9</f>
        <v>39867</v>
      </c>
    </row>
    <row r="22" spans="1:2">
      <c r="A22" s="1697" t="s">
        <v>1127</v>
      </c>
      <c r="B22" s="1684" t="str">
        <f ca="1">'预评函-2（1）'!D8</f>
        <v>肆佰壹拾叁万肆仟陆佰叁拾贰元整</v>
      </c>
    </row>
    <row r="23" spans="1:2">
      <c r="A23" s="1697" t="s">
        <v>1164</v>
      </c>
      <c r="B23" s="1684">
        <f>'预评函-2（1）'!D10</f>
        <v>0</v>
      </c>
    </row>
    <row r="24" spans="1:2">
      <c r="A24" s="1697" t="s">
        <v>1165</v>
      </c>
      <c r="B24" s="1684" t="str">
        <f>'预评函-2（1）'!C10</f>
        <v>总额（元）</v>
      </c>
    </row>
    <row r="25" spans="1:2">
      <c r="A25" s="1697" t="s">
        <v>1128</v>
      </c>
      <c r="B25" s="1684" t="str">
        <f>'预评函-2（1）'!D11</f>
        <v>零元整</v>
      </c>
    </row>
    <row r="26" spans="1:2">
      <c r="A26" s="1697" t="s">
        <v>1129</v>
      </c>
      <c r="B26" s="1684">
        <f>'预评函-2（1）'!D12</f>
        <v>0</v>
      </c>
    </row>
    <row r="27" spans="1:2">
      <c r="A27" s="1697" t="s">
        <v>1130</v>
      </c>
      <c r="B27" s="1684">
        <f>'预评函-2（1）'!D13</f>
        <v>0</v>
      </c>
    </row>
    <row r="28" spans="1:2">
      <c r="A28" s="1697" t="s">
        <v>1131</v>
      </c>
      <c r="B28" s="1684">
        <f>'预评函-2（1）'!D14</f>
        <v>0</v>
      </c>
    </row>
    <row r="29" spans="1:2">
      <c r="A29" s="1697" t="s">
        <v>1132</v>
      </c>
      <c r="B29" s="1684">
        <f ca="1">'预评函-2（1）'!D15</f>
        <v>4134632</v>
      </c>
    </row>
    <row r="30" spans="1:2">
      <c r="A30" s="1697" t="s">
        <v>1133</v>
      </c>
      <c r="B30" s="1684" t="str">
        <f ca="1">'预评函-2（1）'!D16</f>
        <v>肆佰壹拾叁万肆仟陆佰叁拾贰元整</v>
      </c>
    </row>
    <row r="31" spans="1:2">
      <c r="A31" s="1697" t="s">
        <v>1134</v>
      </c>
      <c r="B31" s="1684" t="str">
        <f>'预评函-2（1）'!D18</f>
        <v>——</v>
      </c>
    </row>
    <row r="32" spans="1:2">
      <c r="A32" s="1697" t="s">
        <v>1135</v>
      </c>
      <c r="B32" s="1684" t="e">
        <f>'预评函-2（1）'!D19</f>
        <v>#VALUE!</v>
      </c>
    </row>
    <row r="33" spans="1:2">
      <c r="A33" s="1697" t="s">
        <v>1136</v>
      </c>
      <c r="B33" s="1684" t="str">
        <f>'预评函-2（1）'!D21</f>
        <v>——</v>
      </c>
    </row>
    <row r="34" spans="1:2">
      <c r="A34" s="1697" t="s">
        <v>1137</v>
      </c>
      <c r="B34" s="1684" t="str">
        <f ca="1">'预评函-2（1）'!D23</f>
        <v>——</v>
      </c>
    </row>
    <row r="35" spans="1:2">
      <c r="A35" s="1697" t="s">
        <v>1138</v>
      </c>
      <c r="B35" s="1684" t="e">
        <f>'预评函-2（1）'!D22</f>
        <v>#VALUE!</v>
      </c>
    </row>
    <row r="36" spans="1:2">
      <c r="A36" s="1697" t="s">
        <v>1139</v>
      </c>
      <c r="B36" s="1684">
        <f>'预评函-2（2）'!C4</f>
        <v>0</v>
      </c>
    </row>
    <row r="37" spans="1:2">
      <c r="A37" s="1697" t="s">
        <v>1140</v>
      </c>
      <c r="B37" s="1684">
        <f ca="1">'预评函-2（2）'!D4</f>
        <v>3262225</v>
      </c>
    </row>
    <row r="38" spans="1:2">
      <c r="A38" s="1697" t="s">
        <v>1141</v>
      </c>
      <c r="B38" s="1684">
        <f ca="1">'预评函-2（2）'!E4</f>
        <v>31455</v>
      </c>
    </row>
    <row r="39" spans="1:2">
      <c r="A39" s="1697" t="s">
        <v>1142</v>
      </c>
      <c r="B39" s="1684" t="str">
        <f ca="1">'预评函-2（2）'!D5</f>
        <v>叁佰贰拾陆万贰仟贰佰贰拾伍元整</v>
      </c>
    </row>
    <row r="40" spans="1:2">
      <c r="A40" s="1697" t="s">
        <v>1143</v>
      </c>
      <c r="B40" s="1684">
        <f ca="1">'预评函-2（2）'!F4</f>
        <v>872407</v>
      </c>
    </row>
    <row r="41" spans="1:2">
      <c r="A41" s="1697" t="s">
        <v>1144</v>
      </c>
      <c r="B41" s="1684">
        <f ca="1">'预评函-2（2）'!G4</f>
        <v>8412</v>
      </c>
    </row>
    <row r="42" spans="1:2" s="1694" customFormat="1" ht="15.75" thickBot="1">
      <c r="A42" s="1698" t="s">
        <v>1145</v>
      </c>
      <c r="B42" s="1686" t="str">
        <f ca="1">'预评函-2（2）'!F5</f>
        <v>捌拾柒万贰仟肆佰零柒元整</v>
      </c>
    </row>
    <row r="43" spans="1:2" ht="15.75" thickTop="1">
      <c r="A43" s="1695" t="s">
        <v>1146</v>
      </c>
      <c r="B43" s="1687" t="str">
        <f>'预评函-3'!A13</f>
        <v>2.本《评估意见函》仅供金融机构进行内部审核使用，不做其他目的之用。</v>
      </c>
    </row>
    <row r="44" spans="1:2">
      <c r="A44" s="1697" t="s">
        <v>1147</v>
      </c>
      <c r="B44" s="1684" t="str">
        <f>'预评函-3'!A14</f>
        <v>3.抵押双方在办理抵押登记手续时，应使用本公司出具的正式《房地产评估报告》，特提醒报告使用者注意。</v>
      </c>
    </row>
    <row r="45" spans="1:2">
      <c r="A45" s="1697" t="s">
        <v>1148</v>
      </c>
      <c r="B45" s="1684" t="str">
        <f>'预评函-3'!A15</f>
        <v>4.本次评估估价师所知悉的法定优先受偿款情况说明如下：</v>
      </c>
    </row>
    <row r="46" spans="1:2">
      <c r="A46" s="1697" t="s">
        <v>1149</v>
      </c>
      <c r="B46" s="1684" t="str">
        <f>'预评函-3'!A16</f>
        <v>根据估价对象《不动产权证书》原件、，截至价值时点，估价对象抵押权未见登记。</v>
      </c>
    </row>
    <row r="47" spans="1:2">
      <c r="A47" s="1697" t="s">
        <v>1150</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1161</v>
      </c>
      <c r="B48" s="1684" t="str">
        <f>'预评函-3'!A18</f>
        <v>本次评估不存在估价师所知悉的法定优先受偿款。</v>
      </c>
    </row>
    <row r="49" spans="1:2">
      <c r="A49" s="1697" t="s">
        <v>1151</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1152</v>
      </c>
      <c r="B50" s="1684" t="str">
        <f>'预评函-3'!A20</f>
        <v>6.其他需特殊说明事项：无（注意修改序号）</v>
      </c>
    </row>
    <row r="51" spans="1:2" s="1694" customFormat="1" thickBot="1">
      <c r="A51" s="1698" t="s">
        <v>1153</v>
      </c>
      <c r="B51" s="1691">
        <f>'预评函-3'!D29</f>
        <v>42551</v>
      </c>
    </row>
    <row r="52" spans="1:2" ht="15.75" thickTop="1">
      <c r="A52" s="1695" t="s">
        <v>1154</v>
      </c>
      <c r="B52" s="1690" t="str">
        <f>'预评函-3'!A4</f>
        <v>欧红伟</v>
      </c>
    </row>
    <row r="53" spans="1:2">
      <c r="A53" s="1697" t="s">
        <v>1155</v>
      </c>
      <c r="B53" s="1684">
        <f ca="1">'预评函-3'!B4</f>
        <v>1120000080</v>
      </c>
    </row>
    <row r="54" spans="1:2">
      <c r="A54" s="1697" t="s">
        <v>1156</v>
      </c>
      <c r="B54" s="1688" t="str">
        <f>'预评函-3'!A5</f>
        <v>崔锴</v>
      </c>
    </row>
    <row r="55" spans="1:2" s="1694" customFormat="1" ht="15.75" thickBot="1">
      <c r="A55" s="1698" t="s">
        <v>1157</v>
      </c>
      <c r="B55" s="1686">
        <f ca="1">'预评函-3'!B5</f>
        <v>1120100036</v>
      </c>
    </row>
    <row r="56" spans="1:2" ht="15.75" thickTop="1">
      <c r="A56" s="1700" t="s">
        <v>1166</v>
      </c>
      <c r="B56" s="1684" t="str">
        <f>'预评函-2（1）'!B15</f>
        <v>3.房地产抵押价值</v>
      </c>
    </row>
    <row r="57" spans="1:2">
      <c r="A57" s="1700" t="s">
        <v>1167</v>
      </c>
      <c r="B57" s="1684" t="str">
        <f>'预评函-2（1）'!B18</f>
        <v>——</v>
      </c>
    </row>
    <row r="58" spans="1:2" s="1694" customFormat="1" ht="15.75" thickBot="1">
      <c r="A58" s="1701" t="s">
        <v>1168</v>
      </c>
      <c r="B58" s="1685" t="str">
        <f>'预评函-2（1）'!B21</f>
        <v>——</v>
      </c>
    </row>
    <row r="59" spans="1:2" ht="15.75" thickTop="1">
      <c r="A59" s="1702" t="s">
        <v>1170</v>
      </c>
      <c r="B59" s="1682" t="str">
        <f>'预评函-2（1）'!B45</f>
        <v>单位：元、元/平方米（单位：人民币）</v>
      </c>
    </row>
    <row r="60" spans="1:2">
      <c r="A60" s="1700" t="s">
        <v>1171</v>
      </c>
      <c r="B60" s="1684" t="str">
        <f>'预评函-2（2）'!D2</f>
        <v>出让国有建设用地使用权价值</v>
      </c>
    </row>
    <row r="61" spans="1:2" s="1696" customFormat="1">
      <c r="A61" s="1700" t="s">
        <v>1172</v>
      </c>
      <c r="B61" s="1684" t="str">
        <f>'预评函-2（2）'!A14</f>
        <v>单位：平方米、元、元/平方米（币种：人民币）</v>
      </c>
    </row>
    <row r="62" spans="1:2" ht="28.5">
      <c r="A62" s="1700" t="s">
        <v>1256</v>
      </c>
      <c r="B62" s="1684">
        <f ca="1">'预评函-2（1）'!D38</f>
        <v>39867</v>
      </c>
    </row>
    <row r="63" spans="1:2" s="1696" customFormat="1" ht="28.5">
      <c r="A63" s="1700" t="s">
        <v>1257</v>
      </c>
      <c r="B63" s="1684" t="str">
        <f>'预评函-2（1）'!D41</f>
        <v>——</v>
      </c>
    </row>
    <row r="64" spans="1:2">
      <c r="A64" s="1700" t="s">
        <v>1180</v>
      </c>
      <c r="B64" s="1684" t="str">
        <f>'预评函-2（2）'!A6</f>
        <v>估价师所知悉的法定优先受偿款</v>
      </c>
    </row>
    <row r="65" spans="1:2">
      <c r="A65" s="1700" t="s">
        <v>1181</v>
      </c>
      <c r="B65" s="1684" t="str">
        <f>'预评函-2（2）'!A8</f>
        <v>房地产抵押价值</v>
      </c>
    </row>
    <row r="66" spans="1:2">
      <c r="A66" s="1700" t="s">
        <v>1182</v>
      </c>
      <c r="B66" s="1684" t="str">
        <f>'预评函-2（2）'!A10</f>
        <v/>
      </c>
    </row>
    <row r="67" spans="1:2" s="1694" customFormat="1" ht="15.75" thickBot="1">
      <c r="A67" s="1701" t="s">
        <v>1183</v>
      </c>
      <c r="B67" s="1685" t="str">
        <f>'预评函-2（2）'!A12</f>
        <v/>
      </c>
    </row>
    <row r="68" spans="1:2" ht="15.75" thickTop="1">
      <c r="A68" s="1703" t="s">
        <v>1184</v>
      </c>
      <c r="B68" s="1689" t="str">
        <f>'预评函-3'!A9</f>
        <v>XX</v>
      </c>
    </row>
    <row r="69" spans="1:2">
      <c r="A69" s="1697" t="s">
        <v>1255</v>
      </c>
    </row>
    <row r="70" spans="1:2">
      <c r="A70" s="1697"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B28" sqref="B2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9" t="s">
        <v>1543</v>
      </c>
      <c r="B1" s="1990" t="str">
        <f>IF(B6="北京市","北京市",C6)&amp;IF(E12="房屋所有权证",B28,E28)&amp;D5&amp;"预评估"</f>
        <v>北京市房地产抵押价值预评估</v>
      </c>
      <c r="C1" s="1058"/>
      <c r="D1" s="1991"/>
      <c r="E1" s="1058"/>
      <c r="F1" s="1992" t="s">
        <v>1544</v>
      </c>
      <c r="G1" s="1677"/>
      <c r="I1" s="1015" t="str">
        <f>IF(B6="北京市","北京市",C6)&amp;IF(E12="房屋所有权证",B28,E28)&amp;"房地产"</f>
        <v>北京市房地产</v>
      </c>
    </row>
    <row r="2" spans="1:10" ht="13.5" thickTop="1">
      <c r="A2" s="1993" t="s">
        <v>1545</v>
      </c>
      <c r="B2" s="1083">
        <v>43257</v>
      </c>
      <c r="C2" s="1994" t="s">
        <v>1546</v>
      </c>
      <c r="D2" s="1083">
        <f>B2</f>
        <v>43257</v>
      </c>
      <c r="E2" s="1059"/>
      <c r="F2" s="1059"/>
      <c r="G2" s="1678"/>
      <c r="H2" s="1015"/>
    </row>
    <row r="3" spans="1:10" ht="13.5" thickBot="1">
      <c r="A3" s="1995" t="s">
        <v>1547</v>
      </c>
      <c r="B3" s="1996" t="s">
        <v>2820</v>
      </c>
      <c r="C3" s="1060">
        <f ca="1">SUMIF(注册房地产估价师,B3,估价师及机构信息!B3:B24)</f>
        <v>1120000080</v>
      </c>
      <c r="D3" s="1996" t="s">
        <v>2821</v>
      </c>
      <c r="E3" s="1061">
        <f ca="1">SUMIF(注册房地产估价师,D3,估价师及机构信息!B3:B24)</f>
        <v>1120100036</v>
      </c>
      <c r="F3" s="1062"/>
      <c r="G3" s="1679"/>
      <c r="H3" s="1015"/>
    </row>
    <row r="4" spans="1:10" ht="13.5" customHeight="1" thickTop="1">
      <c r="A4" s="1997" t="s">
        <v>1548</v>
      </c>
      <c r="B4" s="1998"/>
      <c r="C4" s="1999" t="s">
        <v>1549</v>
      </c>
      <c r="D4" s="2000" t="s">
        <v>2823</v>
      </c>
      <c r="E4" s="1059"/>
      <c r="F4" s="1059"/>
      <c r="G4" s="1678"/>
    </row>
    <row r="5" spans="1:10" ht="36">
      <c r="A5" s="2001" t="s">
        <v>1550</v>
      </c>
      <c r="B5" s="2729" t="s">
        <v>2824</v>
      </c>
      <c r="C5" s="2003" t="s">
        <v>1551</v>
      </c>
      <c r="D5" s="2004" t="s">
        <v>2822</v>
      </c>
      <c r="E5" s="2005" t="s">
        <v>1552</v>
      </c>
      <c r="F5" s="2006" t="s">
        <v>2822</v>
      </c>
      <c r="G5" s="2007"/>
      <c r="I5" s="1015" t="str">
        <f>IF(C16="否","截至估价时点，估价对象抵押权未见登记。","截至价值时点，估价对象已设定抵押。")</f>
        <v>截至估价时点，估价对象抵押权未见登记。</v>
      </c>
    </row>
    <row r="6" spans="1:10">
      <c r="A6" s="2008" t="s">
        <v>1553</v>
      </c>
      <c r="B6" s="2009" t="s">
        <v>2825</v>
      </c>
      <c r="C6" s="2010"/>
      <c r="D6" s="2011" t="s">
        <v>1554</v>
      </c>
      <c r="E6" s="1017"/>
      <c r="F6" s="1016"/>
      <c r="G6" s="1069"/>
      <c r="I6" s="1065" t="str">
        <f>IF(COUNTIF(B5,"*上海银行*"),"上海银行","")</f>
        <v/>
      </c>
    </row>
    <row r="7" spans="1:10" ht="13.5" thickBot="1">
      <c r="A7" s="1995" t="s">
        <v>1555</v>
      </c>
      <c r="B7" s="2012" t="s">
        <v>2826</v>
      </c>
      <c r="C7" s="2013" t="str">
        <f>IF(B7="自然人","姓名","名称")</f>
        <v>姓名</v>
      </c>
      <c r="D7" s="2730" t="s">
        <v>2844</v>
      </c>
      <c r="E7" s="1063"/>
      <c r="F7" s="1062"/>
      <c r="G7" s="1679"/>
    </row>
    <row r="8" spans="1:10" ht="26.25" customHeight="1" thickTop="1">
      <c r="A8" s="2789" t="s">
        <v>1556</v>
      </c>
      <c r="B8" s="2014" t="s">
        <v>1557</v>
      </c>
      <c r="C8" s="2802" t="s">
        <v>2843</v>
      </c>
      <c r="D8" s="2803"/>
      <c r="E8" s="2015" t="s">
        <v>1558</v>
      </c>
      <c r="F8" s="2016" t="s">
        <v>1559</v>
      </c>
      <c r="G8" s="689">
        <f>C6</f>
        <v>0</v>
      </c>
    </row>
    <row r="9" spans="1:10" ht="25.5">
      <c r="A9" s="2789"/>
      <c r="B9" s="343" t="s">
        <v>1560</v>
      </c>
      <c r="C9" s="2002"/>
      <c r="D9" s="2017" t="s">
        <v>2827</v>
      </c>
      <c r="E9" s="1005" t="s">
        <v>1561</v>
      </c>
      <c r="F9" s="994"/>
      <c r="G9" s="1007"/>
    </row>
    <row r="10" spans="1:10" ht="13.5" thickBot="1">
      <c r="A10" s="2789"/>
      <c r="B10" s="343" t="s">
        <v>1562</v>
      </c>
      <c r="C10" s="2804"/>
      <c r="D10" s="2805"/>
      <c r="E10" s="2018" t="s">
        <v>1563</v>
      </c>
      <c r="F10" s="1008"/>
      <c r="G10" s="1009"/>
    </row>
    <row r="11" spans="1:10" ht="13.5" thickBot="1">
      <c r="A11" s="2789"/>
      <c r="B11" s="2019" t="s">
        <v>1564</v>
      </c>
      <c r="C11" s="2806"/>
      <c r="D11" s="2807"/>
      <c r="E11" s="1017"/>
      <c r="F11" s="1016"/>
      <c r="G11" s="1069"/>
    </row>
    <row r="12" spans="1:10" ht="24.75" thickBot="1">
      <c r="A12" s="2793" t="s">
        <v>1565</v>
      </c>
      <c r="B12" s="2020" t="s">
        <v>1566</v>
      </c>
      <c r="C12" s="1011">
        <v>103.71</v>
      </c>
      <c r="D12" s="2020" t="s">
        <v>1567</v>
      </c>
      <c r="E12" s="2021" t="s">
        <v>1568</v>
      </c>
      <c r="F12" s="2022" t="s">
        <v>1569</v>
      </c>
      <c r="G12" s="1069"/>
    </row>
    <row r="13" spans="1:10" ht="21" customHeight="1" thickBot="1">
      <c r="A13" s="2794"/>
      <c r="B13" s="2023" t="s">
        <v>1570</v>
      </c>
      <c r="C13" s="1012"/>
      <c r="D13" s="2023" t="s">
        <v>1571</v>
      </c>
      <c r="E13" s="2024" t="s">
        <v>1568</v>
      </c>
      <c r="F13" s="1016"/>
      <c r="G13" s="1069"/>
      <c r="I13" s="2812" t="s">
        <v>1572</v>
      </c>
      <c r="J13" s="202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6"/>
      <c r="B14" s="2027" t="s">
        <v>1573</v>
      </c>
      <c r="C14" s="2028"/>
      <c r="D14" s="1016"/>
      <c r="E14" s="1016"/>
      <c r="F14" s="1016"/>
      <c r="G14" s="1069"/>
      <c r="I14" s="281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4"/>
      <c r="D15" s="1062"/>
      <c r="E15" s="1062"/>
      <c r="F15" s="1062"/>
      <c r="G15" s="1679"/>
      <c r="I15" s="281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1575</v>
      </c>
      <c r="B16" s="2031" t="s">
        <v>1576</v>
      </c>
      <c r="C16" s="2032" t="s">
        <v>2829</v>
      </c>
      <c r="D16" s="2033" t="s">
        <v>1577</v>
      </c>
      <c r="E16" s="2034"/>
      <c r="F16" s="2035" t="str">
        <f>IF(AND(C16="是",E16="否"),"是否提供他项权证或相关说明","")</f>
        <v/>
      </c>
      <c r="G16" s="2034"/>
      <c r="I16" s="1066"/>
      <c r="J16" s="1015"/>
    </row>
    <row r="17" spans="1:15" ht="13.5" customHeight="1">
      <c r="A17" s="2036" t="s">
        <v>1578</v>
      </c>
      <c r="B17" s="2808" t="s">
        <v>1579</v>
      </c>
      <c r="C17" s="2809"/>
      <c r="D17" s="2810" t="s">
        <v>1580</v>
      </c>
      <c r="E17" s="2811"/>
      <c r="F17" s="2037" t="s">
        <v>1581</v>
      </c>
      <c r="G17" s="2038"/>
      <c r="J17" s="1015"/>
    </row>
    <row r="18" spans="1:15" ht="24">
      <c r="A18" s="2036"/>
      <c r="B18" s="2039" t="s">
        <v>1582</v>
      </c>
      <c r="C18" s="2007" t="s">
        <v>1583</v>
      </c>
      <c r="D18" s="2040" t="s">
        <v>1584</v>
      </c>
      <c r="E18" s="2041" t="s">
        <v>1585</v>
      </c>
      <c r="F18" s="2042"/>
      <c r="G18" s="1863"/>
      <c r="H18" s="1015"/>
      <c r="J18" s="1015"/>
    </row>
    <row r="19" spans="1:15" ht="21.75" customHeight="1" thickBot="1">
      <c r="A19" s="2036"/>
      <c r="B19" s="2043"/>
      <c r="C19" s="2024"/>
      <c r="D19" s="2044"/>
      <c r="E19" s="1016"/>
      <c r="F19" s="1016"/>
      <c r="G19" s="1863"/>
    </row>
    <row r="20" spans="1:15">
      <c r="A20" s="2045" t="s">
        <v>1586</v>
      </c>
      <c r="B20" s="2046" t="s">
        <v>1587</v>
      </c>
      <c r="C20" s="2047"/>
      <c r="D20" s="2048" t="s">
        <v>1587</v>
      </c>
      <c r="E20" s="2047"/>
      <c r="F20" s="1016"/>
      <c r="G20" s="1863"/>
    </row>
    <row r="21" spans="1:15">
      <c r="A21" s="2049"/>
      <c r="B21" s="2050" t="s">
        <v>1588</v>
      </c>
      <c r="C21" s="2051"/>
      <c r="D21" s="2036" t="s">
        <v>1588</v>
      </c>
      <c r="E21" s="2052"/>
      <c r="F21" s="1016"/>
      <c r="G21" s="1863"/>
    </row>
    <row r="22" spans="1:15">
      <c r="A22" s="2049"/>
      <c r="B22" s="2053" t="s">
        <v>1589</v>
      </c>
      <c r="C22" s="2054"/>
      <c r="D22" s="2053" t="s">
        <v>1589</v>
      </c>
      <c r="E22" s="2052"/>
      <c r="F22" s="1016"/>
      <c r="G22" s="1863"/>
    </row>
    <row r="23" spans="1:15" s="1861" customFormat="1" ht="21" thickBot="1">
      <c r="A23" s="2055"/>
      <c r="B23" s="2056" t="s">
        <v>1590</v>
      </c>
      <c r="C23" s="2057"/>
      <c r="D23" s="2056" t="s">
        <v>1591</v>
      </c>
      <c r="E23" s="2058"/>
      <c r="F23" s="1016"/>
      <c r="G23" s="1863"/>
      <c r="H23" s="2059"/>
      <c r="I23" s="1862"/>
      <c r="K23" s="1860"/>
      <c r="L23" s="1860"/>
      <c r="M23" s="1860"/>
      <c r="O23" s="1862"/>
    </row>
    <row r="24" spans="1:15" ht="13.5" thickBot="1">
      <c r="A24" s="1067" t="s">
        <v>1592</v>
      </c>
      <c r="B24" s="1016"/>
      <c r="C24" s="1016"/>
      <c r="D24" s="1016"/>
      <c r="E24" s="1016"/>
      <c r="F24" s="1016"/>
      <c r="G24" s="1864"/>
      <c r="I24" s="1066"/>
      <c r="K24" s="1066"/>
    </row>
    <row r="25" spans="1:15" s="1076" customFormat="1" ht="13.5" thickBot="1">
      <c r="A25" s="993"/>
      <c r="B25" s="2060" t="s">
        <v>1593</v>
      </c>
      <c r="C25" s="993"/>
      <c r="D25" s="1010"/>
      <c r="E25" s="1013" t="s">
        <v>1594</v>
      </c>
      <c r="F25" s="993"/>
      <c r="G25" s="2061" t="s">
        <v>1595</v>
      </c>
      <c r="L25" s="1077"/>
      <c r="M25" s="1077"/>
      <c r="O25" s="1078"/>
    </row>
    <row r="26" spans="1:15" s="1076" customFormat="1" ht="13.5" thickBot="1">
      <c r="A26" s="993"/>
      <c r="B26" s="1084" t="s">
        <v>2830</v>
      </c>
      <c r="C26" s="993"/>
      <c r="D26" s="1010"/>
      <c r="E26" s="1084"/>
      <c r="F26" s="993"/>
      <c r="G26" s="1680"/>
      <c r="L26" s="1077"/>
      <c r="M26" s="1077"/>
      <c r="O26" s="1078"/>
    </row>
    <row r="27" spans="1:15" ht="25.5">
      <c r="A27" s="1002" t="s">
        <v>1596</v>
      </c>
      <c r="B27" s="999" t="s">
        <v>2845</v>
      </c>
      <c r="C27" s="2796" t="s">
        <v>1596</v>
      </c>
      <c r="D27" s="2797"/>
      <c r="E27" s="999"/>
      <c r="F27" s="1006" t="s">
        <v>1596</v>
      </c>
      <c r="G27" s="999"/>
      <c r="I27" s="1066"/>
      <c r="K27" s="1066"/>
    </row>
    <row r="28" spans="1:15" ht="25.5">
      <c r="A28" s="1003" t="s">
        <v>1597</v>
      </c>
      <c r="B28" s="976" t="str">
        <f>C8</f>
        <v>北京市通州区长桥园3号楼271号</v>
      </c>
      <c r="C28" s="2798" t="s">
        <v>1598</v>
      </c>
      <c r="D28" s="2799"/>
      <c r="E28" s="976"/>
      <c r="F28" s="1889" t="s">
        <v>1598</v>
      </c>
      <c r="G28" s="976"/>
      <c r="I28" s="1066"/>
      <c r="K28" s="1066"/>
    </row>
    <row r="29" spans="1:15">
      <c r="A29" s="1003" t="s">
        <v>1599</v>
      </c>
      <c r="B29" s="976"/>
      <c r="C29" s="2798" t="s">
        <v>1599</v>
      </c>
      <c r="D29" s="2799"/>
      <c r="E29" s="976"/>
      <c r="F29" s="1889" t="s">
        <v>1600</v>
      </c>
      <c r="G29" s="976"/>
      <c r="I29" s="1066"/>
      <c r="K29" s="1066"/>
    </row>
    <row r="30" spans="1:15">
      <c r="A30" s="1003" t="s">
        <v>1601</v>
      </c>
      <c r="B30" s="976"/>
      <c r="C30" s="2818" t="s">
        <v>1602</v>
      </c>
      <c r="D30" s="2062"/>
      <c r="E30" s="1018" t="str">
        <f>E31&amp;" "&amp;E32&amp;" "&amp;E33&amp;" "&amp;E34</f>
        <v xml:space="preserve">   </v>
      </c>
      <c r="F30" s="1889" t="s">
        <v>1603</v>
      </c>
      <c r="G30" s="976"/>
    </row>
    <row r="31" spans="1:15">
      <c r="A31" s="1003" t="s">
        <v>1604</v>
      </c>
      <c r="B31" s="976"/>
      <c r="C31" s="2819"/>
      <c r="D31" s="1888" t="s">
        <v>1605</v>
      </c>
      <c r="E31" s="976"/>
      <c r="F31" s="1889" t="s">
        <v>1606</v>
      </c>
      <c r="G31" s="976"/>
    </row>
    <row r="32" spans="1:15" ht="24.75" thickBot="1">
      <c r="A32" s="1004" t="s">
        <v>1607</v>
      </c>
      <c r="B32" s="1000"/>
      <c r="C32" s="2819"/>
      <c r="D32" s="1888" t="s">
        <v>1608</v>
      </c>
      <c r="E32" s="976"/>
      <c r="F32" s="1889" t="s">
        <v>1609</v>
      </c>
      <c r="G32" s="976"/>
    </row>
    <row r="33" spans="1:7">
      <c r="A33" s="1002" t="s">
        <v>1610</v>
      </c>
      <c r="B33" s="999"/>
      <c r="C33" s="2819"/>
      <c r="D33" s="1888" t="s">
        <v>1611</v>
      </c>
      <c r="E33" s="976"/>
      <c r="F33" s="1889" t="s">
        <v>1612</v>
      </c>
      <c r="G33" s="976"/>
    </row>
    <row r="34" spans="1:7" ht="13.5" thickBot="1">
      <c r="A34" s="1003" t="s">
        <v>1613</v>
      </c>
      <c r="B34" s="976"/>
      <c r="C34" s="2820"/>
      <c r="D34" s="1888" t="s">
        <v>1614</v>
      </c>
      <c r="E34" s="976"/>
      <c r="F34" s="1890" t="s">
        <v>1615</v>
      </c>
      <c r="G34" s="1001"/>
    </row>
    <row r="35" spans="1:7">
      <c r="A35" s="1003" t="s">
        <v>1566</v>
      </c>
      <c r="B35" s="976">
        <f>C12</f>
        <v>103.71</v>
      </c>
      <c r="C35" s="2798" t="s">
        <v>1616</v>
      </c>
      <c r="D35" s="2799"/>
      <c r="E35" s="976"/>
      <c r="F35" s="1014" t="s">
        <v>1617</v>
      </c>
      <c r="G35" s="999"/>
    </row>
    <row r="36" spans="1:7" ht="13.5" thickBot="1">
      <c r="A36" s="1003" t="s">
        <v>1618</v>
      </c>
      <c r="B36" s="976"/>
      <c r="C36" s="2800" t="s">
        <v>1619</v>
      </c>
      <c r="D36" s="2801"/>
      <c r="E36" s="1000"/>
      <c r="F36" s="1886" t="s">
        <v>1620</v>
      </c>
      <c r="G36" s="976"/>
    </row>
    <row r="37" spans="1:7" ht="13.5" thickBot="1">
      <c r="A37" s="1003" t="s">
        <v>1621</v>
      </c>
      <c r="B37" s="976"/>
      <c r="C37" s="2790" t="s">
        <v>1622</v>
      </c>
      <c r="D37" s="2063" t="s">
        <v>1606</v>
      </c>
      <c r="E37" s="999"/>
      <c r="F37" s="1890" t="s">
        <v>1623</v>
      </c>
      <c r="G37" s="1000"/>
    </row>
    <row r="38" spans="1:7">
      <c r="A38" s="1003" t="s">
        <v>1624</v>
      </c>
      <c r="B38" s="976"/>
      <c r="C38" s="2791"/>
      <c r="D38" s="1888" t="s">
        <v>1613</v>
      </c>
      <c r="E38" s="976"/>
      <c r="F38" s="1006" t="s">
        <v>1625</v>
      </c>
      <c r="G38" s="999"/>
    </row>
    <row r="39" spans="1:7">
      <c r="A39" s="1003" t="s">
        <v>1626</v>
      </c>
      <c r="B39" s="976"/>
      <c r="C39" s="2791" t="s">
        <v>1627</v>
      </c>
      <c r="D39" s="1888" t="s">
        <v>1566</v>
      </c>
      <c r="E39" s="976"/>
      <c r="F39" s="1889" t="s">
        <v>1628</v>
      </c>
      <c r="G39" s="976"/>
    </row>
    <row r="40" spans="1:7" ht="24.75" customHeight="1" thickBot="1">
      <c r="A40" s="1004" t="s">
        <v>1629</v>
      </c>
      <c r="B40" s="1000"/>
      <c r="C40" s="2792"/>
      <c r="D40" s="1891" t="s">
        <v>1570</v>
      </c>
      <c r="E40" s="1000"/>
      <c r="F40" s="1890" t="s">
        <v>1630</v>
      </c>
      <c r="G40" s="1000"/>
    </row>
    <row r="41" spans="1:7">
      <c r="A41" s="1005" t="s">
        <v>1631</v>
      </c>
      <c r="B41" s="1055"/>
      <c r="C41" s="2813" t="s">
        <v>1631</v>
      </c>
      <c r="D41" s="2814"/>
      <c r="E41" s="1055"/>
      <c r="F41" s="1006" t="s">
        <v>1632</v>
      </c>
      <c r="G41" s="1055"/>
    </row>
    <row r="42" spans="1:7">
      <c r="A42" s="1052" t="s">
        <v>1633</v>
      </c>
      <c r="B42" s="1056"/>
      <c r="C42" s="2064"/>
      <c r="D42" s="2065"/>
      <c r="E42" s="1056"/>
      <c r="F42" s="1054"/>
      <c r="G42" s="1056"/>
    </row>
    <row r="43" spans="1:7">
      <c r="A43" s="93" t="s">
        <v>1587</v>
      </c>
      <c r="B43" s="1053"/>
      <c r="C43" s="2064"/>
      <c r="D43" s="2066" t="s">
        <v>1587</v>
      </c>
      <c r="E43" s="1053"/>
      <c r="F43" s="93" t="s">
        <v>1587</v>
      </c>
      <c r="G43" s="1053"/>
    </row>
    <row r="44" spans="1:7">
      <c r="A44" s="93" t="s">
        <v>1588</v>
      </c>
      <c r="B44" s="1053"/>
      <c r="C44" s="2064"/>
      <c r="D44" s="2050" t="s">
        <v>1588</v>
      </c>
      <c r="E44" s="1053"/>
      <c r="F44" s="93" t="s">
        <v>1588</v>
      </c>
      <c r="G44" s="1053"/>
    </row>
    <row r="45" spans="1:7">
      <c r="A45" s="93" t="s">
        <v>1589</v>
      </c>
      <c r="B45" s="1053"/>
      <c r="C45" s="2064"/>
      <c r="D45" s="2050" t="s">
        <v>1589</v>
      </c>
      <c r="E45" s="1053"/>
      <c r="F45" s="93" t="s">
        <v>1589</v>
      </c>
      <c r="G45" s="1053"/>
    </row>
    <row r="46" spans="1:7">
      <c r="A46" s="93" t="s">
        <v>1590</v>
      </c>
      <c r="B46" s="1053"/>
      <c r="C46" s="2064"/>
      <c r="D46" s="2050" t="s">
        <v>1590</v>
      </c>
      <c r="E46" s="1053"/>
      <c r="F46" s="93" t="s">
        <v>1590</v>
      </c>
      <c r="G46" s="1053"/>
    </row>
    <row r="47" spans="1:7">
      <c r="A47" s="1052"/>
      <c r="B47" s="1053"/>
      <c r="C47" s="2064"/>
      <c r="D47" s="2065"/>
      <c r="E47" s="1053"/>
      <c r="F47" s="1054"/>
      <c r="G47" s="1053"/>
    </row>
    <row r="48" spans="1:7" ht="13.5" thickBot="1">
      <c r="A48" s="1004" t="s">
        <v>1634</v>
      </c>
      <c r="B48" s="1000"/>
      <c r="C48" s="2815" t="s">
        <v>1634</v>
      </c>
      <c r="D48" s="2816"/>
      <c r="E48" s="1050"/>
      <c r="F48" s="1890" t="s">
        <v>1635</v>
      </c>
      <c r="G48" s="1000"/>
    </row>
    <row r="49" spans="1:15">
      <c r="A49" s="1003" t="s">
        <v>1636</v>
      </c>
      <c r="B49" s="1049"/>
      <c r="C49" s="2790" t="s">
        <v>1637</v>
      </c>
      <c r="D49" s="2817"/>
      <c r="E49" s="1051"/>
      <c r="F49" s="1079"/>
      <c r="G49" s="1080"/>
    </row>
    <row r="50" spans="1:15" ht="13.5" thickBot="1">
      <c r="A50" s="1003" t="s">
        <v>1638</v>
      </c>
      <c r="B50" s="1049"/>
      <c r="C50" s="2792" t="s">
        <v>1639</v>
      </c>
      <c r="D50" s="2795"/>
      <c r="E50" s="1000"/>
      <c r="F50" s="1016"/>
      <c r="G50" s="1069"/>
    </row>
    <row r="51" spans="1:15">
      <c r="A51" s="1003" t="s">
        <v>1617</v>
      </c>
      <c r="B51" s="976"/>
      <c r="C51" s="1016"/>
      <c r="D51" s="1016"/>
      <c r="E51" s="1016"/>
      <c r="F51" s="1016"/>
      <c r="G51" s="1069"/>
    </row>
    <row r="52" spans="1:15" ht="24.75" thickBot="1">
      <c r="A52" s="1004" t="s">
        <v>1640</v>
      </c>
      <c r="B52" s="1001"/>
      <c r="C52" s="1068"/>
      <c r="D52" s="1068"/>
      <c r="E52" s="1068"/>
      <c r="F52" s="1068"/>
      <c r="G52" s="1070"/>
    </row>
    <row r="53" spans="1:15">
      <c r="A53" s="982"/>
      <c r="B53" s="982"/>
      <c r="C53" s="982"/>
      <c r="D53" s="982"/>
      <c r="E53" s="982"/>
      <c r="F53" s="982"/>
      <c r="G53" s="982"/>
    </row>
    <row r="54" spans="1:15">
      <c r="C54" s="982"/>
      <c r="D54" s="982"/>
      <c r="E54" s="982"/>
      <c r="F54" s="982"/>
      <c r="G54" s="982"/>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3"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1641</v>
      </c>
      <c r="B1" s="1232"/>
      <c r="C1" s="1232"/>
      <c r="D1" s="1848"/>
      <c r="E1" s="1848"/>
      <c r="AE1" s="1232"/>
      <c r="AF1" s="1232"/>
      <c r="AG1" s="1232"/>
      <c r="AH1" s="1232"/>
      <c r="AI1" s="1232"/>
      <c r="AJ1" s="1232"/>
      <c r="AK1" s="1232"/>
      <c r="AL1" s="1232"/>
      <c r="AM1" s="1232"/>
      <c r="AN1" s="1232"/>
      <c r="AO1" s="1232"/>
    </row>
    <row r="2" spans="1:41" s="2072" customFormat="1" ht="15.75" thickBot="1">
      <c r="A2" s="2069" t="s">
        <v>1642</v>
      </c>
      <c r="B2" s="1204">
        <f>项目基本情况!D2</f>
        <v>43257</v>
      </c>
      <c r="C2" s="1850"/>
      <c r="D2" s="2823" t="s">
        <v>1643</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6" t="s">
        <v>1644</v>
      </c>
      <c r="B3" s="2073" t="s">
        <v>2831</v>
      </c>
      <c r="C3" s="1850"/>
      <c r="D3" s="2824"/>
      <c r="E3" s="1183" t="s">
        <v>1645</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1646</v>
      </c>
      <c r="B4" s="2073" t="s">
        <v>2832</v>
      </c>
      <c r="C4" s="1850"/>
      <c r="D4" s="2824"/>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1647</v>
      </c>
      <c r="B5" s="1313">
        <f>项目基本情况!C12</f>
        <v>103.71</v>
      </c>
      <c r="C5" s="1850"/>
      <c r="D5" s="2075" t="s">
        <v>1648</v>
      </c>
      <c r="E5" s="392">
        <f>B5</f>
        <v>103.71</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1649</v>
      </c>
      <c r="B6" s="1314">
        <f>项目基本情况!C13</f>
        <v>0</v>
      </c>
      <c r="C6" s="1850"/>
      <c r="D6" s="2075" t="s">
        <v>1650</v>
      </c>
      <c r="E6" s="392"/>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1651</v>
      </c>
      <c r="B10" s="2080" t="s">
        <v>2833</v>
      </c>
      <c r="C10" s="1850"/>
      <c r="D10" s="2069" t="s">
        <v>1652</v>
      </c>
      <c r="E10" s="2081" t="s">
        <v>1653</v>
      </c>
      <c r="F10" s="1140" t="s">
        <v>1654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1655</v>
      </c>
      <c r="B11" s="988">
        <v>70</v>
      </c>
      <c r="C11" s="1850"/>
      <c r="D11" s="2083" t="s">
        <v>1656</v>
      </c>
      <c r="E11" s="34">
        <v>160</v>
      </c>
      <c r="F11" s="1849" t="s">
        <v>1657</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1658</v>
      </c>
      <c r="B12" s="2087">
        <v>62238</v>
      </c>
      <c r="C12" s="1850"/>
      <c r="D12" s="2088" t="s">
        <v>1659</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1660</v>
      </c>
      <c r="B13" s="989">
        <f>IF(B12="",B11-(YEAR($B$2)-B26+B23),ROUNDDOWN(MIN((B12-$B$2)/365,B11),2))</f>
        <v>52</v>
      </c>
      <c r="C13" s="2090"/>
      <c r="D13" s="2091" t="s">
        <v>1661</v>
      </c>
      <c r="E13" s="39">
        <f>ROUND(E11*B5/10000,0)</f>
        <v>2</v>
      </c>
      <c r="F13" s="1844" t="s">
        <v>1662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1663</v>
      </c>
      <c r="B14" s="990">
        <f>IF(ISERROR(ROUND(POWER(1+B15,B11-B13)*(POWER(1+B15,B13)-1)/(POWER(1+B15,B11)-1),3)),0,ROUND(POWER(1+B15,B11-B13)*(POWER(1+B15,B13)-1)/(POWER(1+B15,B11)-1),3))</f>
        <v>0.93</v>
      </c>
      <c r="C14" s="1850"/>
      <c r="D14" s="2092" t="s">
        <v>1664</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5" thickBot="1">
      <c r="A15" s="2086" t="s">
        <v>1665</v>
      </c>
      <c r="B15" s="995">
        <v>0.04</v>
      </c>
      <c r="C15" s="1850"/>
      <c r="D15" s="2088" t="s">
        <v>1666</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1667</v>
      </c>
      <c r="B16" s="995">
        <v>4.4999999999999998E-2</v>
      </c>
      <c r="C16" s="1850"/>
      <c r="D16" s="2093" t="s">
        <v>1668</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1669</v>
      </c>
      <c r="B17" s="995">
        <v>0.08</v>
      </c>
      <c r="C17" s="1850"/>
      <c r="D17" s="2079" t="s">
        <v>1670</v>
      </c>
      <c r="E17" s="983">
        <v>4000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4">
        <f>ROUND(B5*E17*IF(B25=0,1,E20),0)</f>
        <v>414840</v>
      </c>
      <c r="F18" s="1315">
        <f>ROUND(E5*E17*IF(B25=0,1,E20),0)</f>
        <v>414840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1671</v>
      </c>
      <c r="B19" s="1850"/>
      <c r="C19" s="1850"/>
      <c r="D19" s="2095" t="str">
        <f>IF(B25=0,"——","续建建安")</f>
        <v>——</v>
      </c>
      <c r="E19" s="984"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4.25">
      <c r="A20" s="2096" t="s">
        <v>1672</v>
      </c>
      <c r="B20" s="31">
        <v>0</v>
      </c>
      <c r="C20" s="1850"/>
      <c r="D20" s="2097" t="str">
        <f>IF(B25=0,"成新率","工程进度")</f>
        <v>成新率</v>
      </c>
      <c r="E20" s="985">
        <f>ROUND(1-(2018-B26)/60,2)</f>
        <v>0.73</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5" thickBot="1">
      <c r="A21" s="2098" t="s">
        <v>1673</v>
      </c>
      <c r="B21" s="32">
        <v>2</v>
      </c>
      <c r="C21" s="1850"/>
      <c r="D21" s="2088" t="s">
        <v>1674</v>
      </c>
      <c r="E21" s="995">
        <v>0.03</v>
      </c>
      <c r="F21" s="1847" t="s">
        <v>1675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5" thickBot="1">
      <c r="A22" s="2099" t="s">
        <v>1676</v>
      </c>
      <c r="B22" s="1449">
        <v>2</v>
      </c>
      <c r="C22" s="1850"/>
      <c r="D22" s="2088" t="s">
        <v>1677</v>
      </c>
      <c r="E22" s="995">
        <v>0.03</v>
      </c>
      <c r="F22" s="1847" t="s">
        <v>1678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1679</v>
      </c>
      <c r="B23" s="33">
        <f>B20+B21</f>
        <v>2</v>
      </c>
      <c r="C23" s="1850"/>
      <c r="D23" s="2088" t="s">
        <v>1680</v>
      </c>
      <c r="E23" s="37">
        <v>200</v>
      </c>
      <c r="F23" s="1847" t="s">
        <v>1681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1682</v>
      </c>
      <c r="B24" s="1737">
        <f>B20+B22</f>
        <v>2</v>
      </c>
      <c r="C24" s="1850"/>
      <c r="D24" s="2093" t="s">
        <v>1683</v>
      </c>
      <c r="E24" s="1813">
        <v>1.4999999999999999E-2</v>
      </c>
      <c r="F24" s="1847" t="s">
        <v>1684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1685</v>
      </c>
      <c r="B25" s="1448">
        <f>B21-B22</f>
        <v>0</v>
      </c>
      <c r="C25" s="1232"/>
      <c r="D25" s="2083" t="s">
        <v>1686</v>
      </c>
      <c r="E25" s="995">
        <v>0.01</v>
      </c>
      <c r="F25" s="1847" t="s">
        <v>1687</v>
      </c>
      <c r="I25" s="1848"/>
      <c r="AE25" s="1232"/>
      <c r="AF25" s="1232"/>
      <c r="AG25" s="1232"/>
      <c r="AH25" s="1232"/>
      <c r="AI25" s="1232"/>
      <c r="AJ25" s="1232"/>
      <c r="AK25" s="1232"/>
      <c r="AL25" s="1232"/>
      <c r="AM25" s="1232"/>
      <c r="AN25" s="1232"/>
      <c r="AO25" s="1232"/>
    </row>
    <row r="26" spans="1:41" ht="15.75" thickBot="1">
      <c r="A26" s="2102" t="s">
        <v>1688</v>
      </c>
      <c r="B26" s="1089">
        <v>2002</v>
      </c>
      <c r="C26" s="1850"/>
      <c r="D26" s="2088" t="s">
        <v>1689</v>
      </c>
      <c r="E26" s="995">
        <v>0.01</v>
      </c>
      <c r="F26" s="1847" t="s">
        <v>1687</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1690</v>
      </c>
      <c r="E27" s="351">
        <f ca="1">存贷款利率!G1</f>
        <v>4.7500000000000001E-2</v>
      </c>
      <c r="F27" s="1847" t="s">
        <v>1691</v>
      </c>
      <c r="G27" s="2071"/>
      <c r="H27" s="2071"/>
      <c r="K27" s="1850"/>
      <c r="N27" s="1850"/>
      <c r="AE27" s="1232"/>
      <c r="AF27" s="1232"/>
      <c r="AG27" s="1232"/>
      <c r="AH27" s="1232"/>
      <c r="AI27" s="1232"/>
      <c r="AJ27" s="1232"/>
      <c r="AK27" s="1232"/>
      <c r="AL27" s="1232"/>
      <c r="AM27" s="1232"/>
      <c r="AN27" s="1232"/>
      <c r="AO27" s="1232"/>
    </row>
    <row r="28" spans="1:41" ht="15" thickBot="1">
      <c r="A28" s="2103" t="s">
        <v>1692</v>
      </c>
      <c r="B28" s="2104" t="s">
        <v>2834</v>
      </c>
      <c r="C28" s="1232"/>
      <c r="D28" s="2105" t="s">
        <v>1693</v>
      </c>
      <c r="E28" s="987">
        <v>0.1</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6500</v>
      </c>
      <c r="C29" s="1232"/>
      <c r="D29" s="2092" t="s">
        <v>1694</v>
      </c>
      <c r="E29" s="986">
        <f>E30+E31</f>
        <v>5.5000000000000007E-2</v>
      </c>
      <c r="F29" s="1844"/>
      <c r="G29" s="2071"/>
      <c r="H29" s="2071"/>
      <c r="K29" s="1850"/>
      <c r="N29" s="1850"/>
      <c r="AE29" s="1232"/>
      <c r="AF29" s="1232"/>
      <c r="AG29" s="1232"/>
      <c r="AH29" s="1232"/>
      <c r="AI29" s="1232"/>
      <c r="AJ29" s="1232"/>
      <c r="AK29" s="1232"/>
      <c r="AL29" s="1232"/>
      <c r="AM29" s="1232"/>
      <c r="AN29" s="1232"/>
      <c r="AO29" s="1232"/>
    </row>
    <row r="30" spans="1:41" ht="14.25">
      <c r="A30" s="2086" t="s">
        <v>1695</v>
      </c>
      <c r="B30" s="1414">
        <f ca="1">存贷款利率!I1</f>
        <v>1.4999999999999999E-2</v>
      </c>
      <c r="C30" s="1232"/>
      <c r="D30" s="2106" t="s">
        <v>1696</v>
      </c>
      <c r="E30" s="40">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1697</v>
      </c>
      <c r="B31" s="30">
        <v>0.03</v>
      </c>
      <c r="C31" s="1232"/>
      <c r="D31" s="2106" t="s">
        <v>1698</v>
      </c>
      <c r="E31" s="41">
        <f>E30*(E32+E33+E34)+E35</f>
        <v>5.000000000000001E-3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1699</v>
      </c>
      <c r="B32" s="30">
        <v>0.1</v>
      </c>
      <c r="C32" s="1232"/>
      <c r="D32" s="2107" t="s">
        <v>1700</v>
      </c>
      <c r="E32" s="42">
        <v>0.05</v>
      </c>
      <c r="F32" s="1842" t="s">
        <v>1701</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1702</v>
      </c>
      <c r="B33" s="1375">
        <f>收益法!J54</f>
        <v>44</v>
      </c>
      <c r="C33" s="1232"/>
      <c r="D33" s="2107" t="s">
        <v>1703</v>
      </c>
      <c r="E33" s="40">
        <v>0.03</v>
      </c>
      <c r="F33" s="1841" t="s">
        <v>1704</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6"/>
      <c r="C34" s="1232"/>
      <c r="D34" s="2107" t="s">
        <v>1705</v>
      </c>
      <c r="E34" s="40">
        <v>0.02</v>
      </c>
      <c r="F34" s="1841" t="s">
        <v>1706</v>
      </c>
      <c r="G34" s="2108"/>
      <c r="H34" s="2108"/>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1707</v>
      </c>
      <c r="B35" s="992"/>
      <c r="C35" s="1232"/>
      <c r="D35" s="2111" t="s">
        <v>1708</v>
      </c>
      <c r="E35" s="43">
        <v>0</v>
      </c>
      <c r="F35" s="1849" t="s">
        <v>1709</v>
      </c>
      <c r="G35" s="2108"/>
      <c r="H35" s="2108"/>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7"/>
      <c r="C36" s="1232"/>
      <c r="D36" s="2113" t="s">
        <v>1710</v>
      </c>
      <c r="E36" s="44">
        <v>0.03</v>
      </c>
      <c r="F36" s="1845" t="s">
        <v>1711</v>
      </c>
      <c r="G36" s="2108"/>
      <c r="H36" s="2108"/>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1712</v>
      </c>
      <c r="E37" s="40">
        <v>5.0000000000000001E-4</v>
      </c>
      <c r="F37" s="1845" t="s">
        <v>1713</v>
      </c>
      <c r="G37" s="2071"/>
      <c r="H37" s="2071"/>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1714</v>
      </c>
      <c r="E38" s="45">
        <v>1.2E-2</v>
      </c>
      <c r="F38" s="1843"/>
      <c r="G38" s="1848"/>
      <c r="H38" s="1848"/>
      <c r="I38" s="2071"/>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1715</v>
      </c>
      <c r="E39" s="46">
        <v>0.12</v>
      </c>
      <c r="F39" s="1843"/>
      <c r="G39" s="2108"/>
      <c r="H39" s="2108"/>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1716</v>
      </c>
      <c r="E40" s="47">
        <f>SUMIF(D42:D51,E41,E42:E51)</f>
        <v>1.5</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1717</v>
      </c>
      <c r="B41" s="998">
        <v>1</v>
      </c>
      <c r="C41" s="1232"/>
      <c r="D41" s="2088" t="s">
        <v>1718</v>
      </c>
      <c r="E41" s="2116" t="s">
        <v>70</v>
      </c>
      <c r="F41" s="1843" t="s">
        <v>1719</v>
      </c>
      <c r="G41" s="2117" t="s">
        <v>1720</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1721</v>
      </c>
      <c r="B42" s="991">
        <v>12</v>
      </c>
      <c r="C42" s="1232"/>
      <c r="D42" s="2118" t="s">
        <v>1722</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1723</v>
      </c>
      <c r="B43" s="29"/>
      <c r="C43" s="1232"/>
      <c r="D43" s="2118" t="s">
        <v>1724</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5" thickBot="1">
      <c r="A44" s="2086" t="s">
        <v>1725</v>
      </c>
      <c r="B44" s="995">
        <v>1.4999999999999999E-2</v>
      </c>
      <c r="C44" s="1232" t="s">
        <v>969</v>
      </c>
      <c r="D44" s="2118" t="s">
        <v>1726</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1727</v>
      </c>
      <c r="B45" s="2738">
        <v>1.5E-3</v>
      </c>
      <c r="C45" s="1232" t="s">
        <v>970</v>
      </c>
      <c r="D45" s="2118" t="s">
        <v>1728</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1729</v>
      </c>
      <c r="B46" s="995">
        <v>0.01</v>
      </c>
      <c r="C46" s="1232" t="s">
        <v>971</v>
      </c>
      <c r="D46" s="2118" t="s">
        <v>1473</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1730</v>
      </c>
      <c r="E47" s="29">
        <v>1.5</v>
      </c>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1731</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1732</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1733</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1734</v>
      </c>
      <c r="E51" s="48"/>
      <c r="F51" s="1850"/>
      <c r="M51" s="1850"/>
      <c r="N51" s="1850"/>
      <c r="O51" s="83"/>
      <c r="P51" s="83"/>
    </row>
    <row r="52" spans="1:41" s="1232" customFormat="1" ht="14.25">
      <c r="D52" s="2071"/>
      <c r="E52" s="2071"/>
      <c r="F52" s="2071"/>
      <c r="G52" s="2071"/>
      <c r="H52" s="2071"/>
      <c r="I52" s="1850"/>
      <c r="J52" s="1850"/>
      <c r="K52" s="1850"/>
      <c r="L52" s="1850"/>
      <c r="M52" s="1850"/>
      <c r="N52" s="1850"/>
      <c r="O52" s="83"/>
      <c r="P52" s="83"/>
    </row>
    <row r="53" spans="1:41" s="1232" customFormat="1" ht="14.25">
      <c r="D53" s="2071"/>
      <c r="E53" s="2071"/>
      <c r="F53" s="2071"/>
      <c r="G53" s="2071"/>
      <c r="H53" s="2071"/>
      <c r="I53" s="1850"/>
      <c r="J53" s="1850"/>
      <c r="K53" s="1850"/>
      <c r="L53" s="1850"/>
      <c r="M53" s="1850"/>
      <c r="N53" s="1850"/>
      <c r="O53" s="83"/>
      <c r="P53" s="83"/>
    </row>
    <row r="54" spans="1:41" s="1232" customFormat="1" ht="14.25">
      <c r="D54" s="2071"/>
      <c r="E54" s="2071"/>
      <c r="F54" s="2071"/>
      <c r="G54" s="2071"/>
      <c r="H54" s="2071"/>
      <c r="I54" s="1850"/>
      <c r="J54" s="1850"/>
      <c r="K54" s="1850"/>
      <c r="L54" s="1850"/>
      <c r="M54" s="1850"/>
      <c r="N54" s="1850"/>
      <c r="O54" s="83"/>
      <c r="P54" s="83"/>
    </row>
    <row r="55" spans="1:41" s="1232" customFormat="1" ht="14.25">
      <c r="D55" s="2071"/>
      <c r="E55" s="2071"/>
      <c r="F55" s="2071"/>
      <c r="G55" s="2071"/>
      <c r="H55" s="2071"/>
      <c r="I55" s="1850"/>
      <c r="J55" s="1850"/>
      <c r="K55" s="1850"/>
      <c r="L55" s="1850"/>
      <c r="M55" s="1850"/>
      <c r="N55" s="1850"/>
      <c r="O55" s="83"/>
      <c r="P55" s="83"/>
    </row>
    <row r="56" spans="1:41" s="1232" customFormat="1" ht="14.25">
      <c r="D56" s="2071"/>
      <c r="E56" s="2071"/>
      <c r="F56" s="2071"/>
      <c r="G56" s="2071"/>
      <c r="H56" s="2071"/>
      <c r="I56" s="1850"/>
      <c r="J56" s="1850"/>
      <c r="K56" s="1850"/>
      <c r="L56" s="1850"/>
      <c r="M56" s="1850"/>
      <c r="N56" s="1850"/>
      <c r="O56" s="83"/>
      <c r="P56" s="83"/>
    </row>
    <row r="57" spans="1:41" s="1232" customFormat="1" ht="14.25">
      <c r="D57" s="2071"/>
      <c r="E57" s="2071"/>
      <c r="F57" s="2071"/>
      <c r="G57" s="2071"/>
      <c r="H57" s="2071"/>
      <c r="I57" s="1850"/>
      <c r="J57" s="1850"/>
      <c r="K57" s="1850"/>
      <c r="L57" s="1850"/>
      <c r="M57" s="1850"/>
      <c r="N57" s="1850"/>
      <c r="O57" s="83"/>
      <c r="P57" s="83"/>
    </row>
    <row r="58" spans="1:41" s="1232" customFormat="1" ht="14.25">
      <c r="D58" s="2071"/>
      <c r="E58" s="2071"/>
      <c r="F58" s="2071"/>
      <c r="G58" s="2071"/>
      <c r="H58" s="2071"/>
      <c r="I58" s="1850"/>
      <c r="J58" s="1850"/>
      <c r="K58" s="1850"/>
      <c r="L58" s="1850"/>
      <c r="M58" s="1850"/>
      <c r="N58" s="1850"/>
      <c r="O58" s="83"/>
      <c r="P58" s="83"/>
    </row>
    <row r="59" spans="1:41" s="1232" customFormat="1" ht="14.25">
      <c r="D59" s="2071"/>
      <c r="E59" s="2071"/>
      <c r="F59" s="2071"/>
      <c r="G59" s="2071"/>
      <c r="H59" s="2071"/>
      <c r="I59" s="1850"/>
      <c r="J59" s="1850"/>
      <c r="K59" s="1850"/>
      <c r="L59" s="1850"/>
      <c r="M59" s="2120"/>
      <c r="N59" s="1850"/>
      <c r="O59" s="83"/>
      <c r="P59" s="83"/>
    </row>
    <row r="60" spans="1:41" s="1232" customFormat="1" ht="14.25">
      <c r="D60" s="2071"/>
      <c r="E60" s="2071"/>
      <c r="F60" s="2071"/>
      <c r="G60" s="2071"/>
      <c r="H60" s="2071"/>
      <c r="I60" s="1850"/>
      <c r="J60" s="1850"/>
      <c r="K60" s="1850"/>
      <c r="L60" s="1850"/>
      <c r="M60" s="1850"/>
      <c r="N60" s="1850"/>
      <c r="O60" s="83"/>
      <c r="P60" s="83"/>
    </row>
    <row r="61" spans="1:41" s="1232" customFormat="1" ht="14.25">
      <c r="D61" s="2071"/>
      <c r="E61" s="2071"/>
      <c r="F61" s="2071"/>
      <c r="G61" s="2071"/>
      <c r="H61" s="2071"/>
      <c r="I61" s="1850"/>
      <c r="J61" s="1850"/>
      <c r="K61" s="1850"/>
      <c r="L61" s="1850"/>
      <c r="M61" s="1850"/>
      <c r="N61" s="1850"/>
      <c r="O61" s="83"/>
      <c r="P61" s="83"/>
    </row>
    <row r="62" spans="1:41" s="1232" customFormat="1" ht="14.25">
      <c r="D62" s="2071"/>
      <c r="E62" s="2071"/>
      <c r="F62" s="2071"/>
      <c r="G62" s="2071"/>
      <c r="H62" s="2071"/>
      <c r="I62" s="1850"/>
      <c r="J62" s="1850"/>
      <c r="K62" s="1850"/>
      <c r="L62" s="1850"/>
      <c r="M62" s="1850"/>
      <c r="N62" s="1850"/>
      <c r="O62" s="83"/>
      <c r="P62" s="83"/>
    </row>
    <row r="63" spans="1:41" s="1232" customFormat="1" ht="14.25">
      <c r="D63" s="2071"/>
      <c r="E63" s="2071"/>
      <c r="F63" s="2071"/>
      <c r="G63" s="2071"/>
      <c r="H63" s="2071"/>
      <c r="I63" s="1850"/>
      <c r="J63" s="1850"/>
      <c r="K63" s="1850"/>
      <c r="L63" s="1850"/>
      <c r="M63" s="1850"/>
      <c r="N63" s="1850"/>
      <c r="O63" s="83"/>
      <c r="P63" s="83"/>
    </row>
    <row r="64" spans="1:41" s="1232" customFormat="1" ht="14.25">
      <c r="D64" s="2071"/>
      <c r="E64" s="2071"/>
      <c r="F64" s="2071"/>
      <c r="G64" s="2071"/>
      <c r="H64" s="2071"/>
      <c r="I64" s="1850"/>
      <c r="J64" s="1850"/>
      <c r="K64" s="1850"/>
      <c r="L64" s="1850"/>
      <c r="M64" s="1850"/>
      <c r="N64" s="1850"/>
      <c r="O64" s="83"/>
      <c r="P64" s="83"/>
    </row>
    <row r="65" spans="1:16" s="1232" customFormat="1" ht="14.25">
      <c r="D65" s="2071"/>
      <c r="E65" s="2071"/>
      <c r="F65" s="2071"/>
      <c r="G65" s="2071"/>
      <c r="H65" s="2071"/>
      <c r="I65" s="1850"/>
      <c r="J65" s="1850"/>
      <c r="K65" s="1850"/>
      <c r="L65" s="1850"/>
      <c r="M65" s="1850"/>
      <c r="N65" s="1850"/>
      <c r="O65" s="83"/>
      <c r="P65" s="83"/>
    </row>
    <row r="66" spans="1:16" s="1232" customFormat="1" ht="14.25">
      <c r="A66" s="2121"/>
      <c r="D66" s="2071"/>
      <c r="E66" s="2071"/>
      <c r="F66" s="2071"/>
      <c r="G66" s="2071"/>
      <c r="H66" s="2071"/>
      <c r="I66" s="1850"/>
      <c r="J66" s="1850"/>
      <c r="K66" s="1850"/>
      <c r="L66" s="1850"/>
      <c r="M66" s="1850"/>
      <c r="N66" s="1850"/>
      <c r="O66" s="83"/>
      <c r="P66" s="83"/>
    </row>
    <row r="67" spans="1:16" s="1232" customFormat="1" ht="14.25">
      <c r="A67" s="2121"/>
      <c r="D67" s="2071"/>
      <c r="E67" s="2071"/>
      <c r="F67" s="2071"/>
      <c r="G67" s="2071"/>
      <c r="H67" s="2071"/>
      <c r="I67" s="1850"/>
      <c r="J67" s="1850"/>
      <c r="K67" s="1850"/>
      <c r="L67" s="1850"/>
      <c r="M67" s="1850"/>
      <c r="N67" s="1850"/>
      <c r="O67" s="83"/>
      <c r="P67" s="83"/>
    </row>
    <row r="68" spans="1:16" s="1232" customFormat="1" ht="14.25">
      <c r="A68" s="2121"/>
      <c r="D68" s="2071"/>
      <c r="E68" s="2071"/>
      <c r="F68" s="2071"/>
      <c r="G68" s="1848"/>
      <c r="H68" s="1848"/>
      <c r="O68" s="83"/>
      <c r="P68" s="83"/>
    </row>
    <row r="69" spans="1:16" s="1232" customFormat="1">
      <c r="A69" s="2121"/>
      <c r="D69" s="1848"/>
      <c r="E69" s="1848"/>
      <c r="F69" s="1848"/>
      <c r="G69" s="1848"/>
      <c r="H69" s="1848"/>
      <c r="O69" s="83"/>
      <c r="P69" s="83"/>
    </row>
    <row r="70" spans="1:16" s="1232" customFormat="1">
      <c r="A70" s="2121"/>
      <c r="D70" s="1848"/>
      <c r="E70" s="1848"/>
      <c r="F70" s="1848"/>
      <c r="G70" s="1848"/>
      <c r="H70" s="1848"/>
      <c r="O70" s="83"/>
      <c r="P70" s="83"/>
    </row>
    <row r="71" spans="1:16" s="1232" customFormat="1">
      <c r="A71" s="2121"/>
      <c r="D71" s="1848"/>
      <c r="E71" s="1848"/>
      <c r="F71" s="1848"/>
      <c r="G71" s="1848"/>
      <c r="H71" s="1848"/>
      <c r="O71" s="83"/>
      <c r="P71" s="83"/>
    </row>
    <row r="72" spans="1:16" s="1232" customFormat="1">
      <c r="A72" s="2121"/>
      <c r="D72" s="1848"/>
      <c r="E72" s="1848"/>
      <c r="F72" s="1848"/>
      <c r="G72" s="1848"/>
      <c r="H72" s="1848"/>
      <c r="O72" s="83"/>
      <c r="P72" s="83"/>
    </row>
    <row r="73" spans="1:16" s="1232" customFormat="1">
      <c r="A73" s="2121"/>
      <c r="D73" s="1848"/>
      <c r="E73" s="1848"/>
      <c r="F73" s="1848"/>
      <c r="G73" s="1848"/>
      <c r="H73" s="1848"/>
      <c r="O73" s="83"/>
      <c r="P73" s="83"/>
    </row>
    <row r="74" spans="1:16" s="1232" customFormat="1">
      <c r="A74" s="2121"/>
      <c r="D74" s="1848"/>
      <c r="E74" s="1848"/>
      <c r="F74" s="1848"/>
      <c r="G74" s="1848"/>
      <c r="H74" s="1848"/>
      <c r="O74" s="83"/>
      <c r="P74" s="83"/>
    </row>
    <row r="75" spans="1:16" s="1232" customFormat="1">
      <c r="A75" s="2121"/>
      <c r="D75" s="1848"/>
      <c r="E75" s="1848"/>
      <c r="F75" s="1848"/>
      <c r="G75" s="1848"/>
      <c r="H75" s="1848"/>
      <c r="O75" s="83"/>
      <c r="P75" s="83"/>
    </row>
    <row r="76" spans="1:16" s="1232" customFormat="1">
      <c r="A76" s="2121"/>
      <c r="D76" s="1848"/>
      <c r="E76" s="1848"/>
      <c r="F76" s="1848"/>
      <c r="G76" s="1848"/>
      <c r="H76" s="1848"/>
      <c r="O76" s="83"/>
      <c r="P76" s="83"/>
    </row>
    <row r="77" spans="1:16" s="1232" customFormat="1">
      <c r="A77" s="2121"/>
      <c r="D77" s="1848"/>
      <c r="E77" s="1848"/>
      <c r="F77" s="1848"/>
      <c r="G77" s="1848"/>
      <c r="H77" s="1848"/>
      <c r="O77" s="83"/>
      <c r="P77" s="83"/>
    </row>
    <row r="78" spans="1:16" s="1232" customFormat="1">
      <c r="A78" s="2121"/>
      <c r="D78" s="1848"/>
      <c r="E78" s="1848"/>
      <c r="F78" s="1848"/>
      <c r="G78" s="1848"/>
      <c r="H78" s="1848"/>
      <c r="O78" s="83"/>
      <c r="P78" s="83"/>
    </row>
    <row r="79" spans="1:16" s="1232" customFormat="1">
      <c r="A79" s="2121"/>
      <c r="D79" s="1848"/>
      <c r="E79" s="1848"/>
      <c r="F79" s="1848"/>
      <c r="G79" s="1848"/>
      <c r="H79" s="1848"/>
      <c r="O79" s="83"/>
      <c r="P79" s="83"/>
    </row>
    <row r="80" spans="1:16" s="1232" customFormat="1">
      <c r="A80" s="2121"/>
      <c r="D80" s="1848"/>
      <c r="E80" s="1848"/>
      <c r="F80" s="1848"/>
      <c r="G80" s="1848"/>
      <c r="H80" s="1848"/>
      <c r="O80" s="83"/>
      <c r="P80" s="83"/>
    </row>
    <row r="81" spans="1:16" s="1232" customFormat="1">
      <c r="A81" s="2121"/>
      <c r="D81" s="1848"/>
      <c r="E81" s="1848"/>
      <c r="F81" s="1848"/>
      <c r="G81" s="1848"/>
      <c r="H81" s="1848"/>
      <c r="O81" s="83"/>
      <c r="P81" s="83"/>
    </row>
    <row r="82" spans="1:16" s="1232" customFormat="1">
      <c r="A82" s="2121"/>
      <c r="D82" s="1848"/>
      <c r="E82" s="1848"/>
      <c r="F82" s="1848"/>
      <c r="G82" s="1848"/>
      <c r="H82" s="1848"/>
      <c r="O82" s="83"/>
      <c r="P82" s="83"/>
    </row>
    <row r="83" spans="1:16" s="1232" customFormat="1">
      <c r="A83" s="2121"/>
      <c r="D83" s="1848"/>
      <c r="E83" s="1848"/>
      <c r="F83" s="1848"/>
      <c r="G83" s="1848"/>
      <c r="H83" s="1848"/>
      <c r="O83" s="83"/>
      <c r="P83" s="83"/>
    </row>
    <row r="84" spans="1:16" s="1232" customFormat="1">
      <c r="A84" s="2121"/>
      <c r="D84" s="1848"/>
      <c r="E84" s="1848"/>
      <c r="F84" s="1848"/>
      <c r="G84" s="1848"/>
      <c r="H84" s="1848"/>
      <c r="O84" s="83"/>
      <c r="P84" s="83"/>
    </row>
    <row r="85" spans="1:16" s="1232" customFormat="1">
      <c r="A85" s="2121"/>
      <c r="D85" s="1848"/>
      <c r="E85" s="1848"/>
      <c r="F85" s="1848"/>
      <c r="G85" s="1848"/>
      <c r="H85" s="1848"/>
      <c r="O85" s="83"/>
      <c r="P85" s="83"/>
    </row>
    <row r="86" spans="1:16" s="1232" customFormat="1">
      <c r="A86" s="2121"/>
      <c r="D86" s="1848"/>
      <c r="E86" s="1848"/>
      <c r="F86" s="1848"/>
      <c r="G86" s="1848"/>
      <c r="H86" s="1848"/>
      <c r="O86" s="83"/>
      <c r="P86" s="83"/>
    </row>
    <row r="87" spans="1:16" s="1232" customFormat="1">
      <c r="A87" s="2121"/>
      <c r="D87" s="1848"/>
      <c r="E87" s="1848"/>
      <c r="F87" s="1848"/>
      <c r="G87" s="1848"/>
      <c r="H87" s="1848"/>
      <c r="O87" s="83"/>
      <c r="P87" s="83"/>
    </row>
    <row r="88" spans="1:16" s="1232" customFormat="1">
      <c r="A88" s="2121"/>
      <c r="D88" s="1848"/>
      <c r="E88" s="1848"/>
      <c r="F88" s="1848"/>
      <c r="G88" s="1848"/>
      <c r="H88" s="1848"/>
      <c r="O88" s="83"/>
      <c r="P88" s="83"/>
    </row>
    <row r="89" spans="1:16" s="1232" customFormat="1">
      <c r="A89" s="2121"/>
      <c r="D89" s="1848"/>
      <c r="E89" s="1848"/>
      <c r="F89" s="1848"/>
      <c r="G89" s="1848"/>
      <c r="H89" s="1848"/>
      <c r="O89" s="83"/>
      <c r="P89" s="83"/>
    </row>
    <row r="90" spans="1:16" s="1232" customFormat="1">
      <c r="A90" s="2121"/>
      <c r="D90" s="1848"/>
      <c r="E90" s="1848"/>
      <c r="F90" s="1848"/>
      <c r="G90" s="1848"/>
      <c r="H90" s="1848"/>
      <c r="O90" s="83"/>
      <c r="P90" s="83"/>
    </row>
    <row r="91" spans="1:16" s="1232" customFormat="1">
      <c r="A91" s="2121"/>
      <c r="D91" s="1848"/>
      <c r="E91" s="1848"/>
      <c r="F91" s="1848"/>
      <c r="G91" s="1848"/>
      <c r="H91" s="1848"/>
      <c r="O91" s="83"/>
      <c r="P91" s="83"/>
    </row>
    <row r="92" spans="1:16" s="1232" customFormat="1">
      <c r="A92" s="2121"/>
      <c r="D92" s="1848"/>
      <c r="E92" s="1848"/>
      <c r="F92" s="1848"/>
      <c r="G92" s="1848"/>
      <c r="H92" s="1848"/>
      <c r="O92" s="83"/>
      <c r="P92" s="83"/>
    </row>
    <row r="93" spans="1:16" s="1232" customFormat="1">
      <c r="A93" s="2121"/>
      <c r="D93" s="1848"/>
      <c r="E93" s="1848"/>
      <c r="F93" s="1848"/>
      <c r="G93" s="1848"/>
      <c r="H93" s="1848"/>
      <c r="O93" s="83"/>
      <c r="P93" s="83"/>
    </row>
    <row r="94" spans="1:16" s="1232" customFormat="1">
      <c r="A94" s="2121"/>
      <c r="D94" s="1848"/>
      <c r="E94" s="1848"/>
      <c r="F94" s="1848"/>
      <c r="G94" s="1848"/>
      <c r="H94" s="1848"/>
      <c r="O94" s="83"/>
      <c r="P94" s="83"/>
    </row>
    <row r="95" spans="1:16" s="1232" customFormat="1">
      <c r="A95" s="2121"/>
      <c r="D95" s="1848"/>
      <c r="E95" s="1848"/>
      <c r="F95" s="1848"/>
      <c r="G95" s="1848"/>
      <c r="H95" s="1848"/>
      <c r="O95" s="83"/>
      <c r="P95" s="83"/>
    </row>
    <row r="96" spans="1:16" s="1232" customFormat="1">
      <c r="A96" s="2121"/>
      <c r="D96" s="1848"/>
      <c r="E96" s="1848"/>
      <c r="F96" s="1848"/>
      <c r="G96" s="1848"/>
      <c r="H96" s="1848"/>
      <c r="O96" s="83"/>
      <c r="P96" s="83"/>
    </row>
    <row r="97" spans="1:16" s="1232" customFormat="1">
      <c r="A97" s="2121"/>
      <c r="D97" s="1848"/>
      <c r="E97" s="1848"/>
      <c r="F97" s="1848"/>
      <c r="G97" s="1848"/>
      <c r="H97" s="1848"/>
      <c r="O97" s="83"/>
      <c r="P97" s="83"/>
    </row>
    <row r="98" spans="1:16" s="1232" customFormat="1">
      <c r="A98" s="2121"/>
      <c r="D98" s="1848"/>
      <c r="E98" s="1848"/>
      <c r="F98" s="1848"/>
      <c r="G98" s="1848"/>
      <c r="H98" s="1848"/>
      <c r="O98" s="83"/>
      <c r="P98" s="83"/>
    </row>
    <row r="99" spans="1:16" s="1232" customFormat="1">
      <c r="A99" s="2121"/>
      <c r="D99" s="1848"/>
      <c r="E99" s="1848"/>
      <c r="F99" s="1848"/>
      <c r="G99" s="1848"/>
      <c r="H99" s="1848"/>
      <c r="O99" s="83"/>
      <c r="P99" s="83"/>
    </row>
    <row r="100" spans="1:16" s="1232" customFormat="1">
      <c r="A100" s="2121"/>
      <c r="D100" s="1848"/>
      <c r="E100" s="1848"/>
      <c r="F100" s="1848"/>
      <c r="G100" s="1848"/>
      <c r="H100" s="1848"/>
      <c r="O100" s="83"/>
      <c r="P100" s="83"/>
    </row>
    <row r="101" spans="1:16" s="1232" customFormat="1">
      <c r="A101" s="2121"/>
      <c r="D101" s="1848"/>
      <c r="E101" s="1848"/>
      <c r="F101" s="1848"/>
      <c r="G101" s="1848"/>
      <c r="H101" s="1848"/>
      <c r="O101" s="83"/>
      <c r="P101" s="83"/>
    </row>
    <row r="102" spans="1:16" s="1232" customFormat="1">
      <c r="A102" s="2121"/>
      <c r="D102" s="1848"/>
      <c r="E102" s="1848"/>
      <c r="F102" s="1848"/>
      <c r="G102" s="1848"/>
      <c r="H102" s="1848"/>
      <c r="O102" s="83"/>
      <c r="P102" s="83"/>
    </row>
    <row r="103" spans="1:16" s="1232" customFormat="1">
      <c r="A103" s="2121"/>
      <c r="D103" s="1848"/>
      <c r="E103" s="1848"/>
      <c r="F103" s="1848"/>
      <c r="G103" s="1848"/>
      <c r="H103" s="1848"/>
      <c r="O103" s="83"/>
      <c r="P103" s="83"/>
    </row>
    <row r="104" spans="1:16" s="1232" customFormat="1">
      <c r="A104" s="2121"/>
      <c r="D104" s="1848"/>
      <c r="E104" s="1848"/>
      <c r="F104" s="1848"/>
      <c r="G104" s="1848"/>
      <c r="H104" s="1848"/>
      <c r="O104" s="83"/>
      <c r="P104" s="83"/>
    </row>
    <row r="105" spans="1:16" s="1232" customFormat="1">
      <c r="A105" s="2121"/>
      <c r="D105" s="1848"/>
      <c r="E105" s="1848"/>
      <c r="F105" s="1848"/>
      <c r="G105" s="1848"/>
      <c r="H105" s="1848"/>
      <c r="O105" s="83"/>
      <c r="P105" s="83"/>
    </row>
    <row r="106" spans="1:16" s="1232" customFormat="1">
      <c r="A106" s="2121"/>
      <c r="D106" s="1848"/>
      <c r="E106" s="1848"/>
      <c r="F106" s="1848"/>
      <c r="G106" s="1848"/>
      <c r="H106" s="1848"/>
      <c r="O106" s="83"/>
      <c r="P106" s="83"/>
    </row>
    <row r="107" spans="1:16" s="1232" customFormat="1">
      <c r="A107" s="2121"/>
      <c r="D107" s="1848"/>
      <c r="E107" s="1848"/>
      <c r="F107" s="1848"/>
      <c r="G107" s="1848"/>
      <c r="H107" s="1848"/>
      <c r="O107" s="83"/>
      <c r="P107" s="83"/>
    </row>
    <row r="108" spans="1:16" s="1232" customFormat="1">
      <c r="A108" s="2121"/>
      <c r="D108" s="1848"/>
      <c r="E108" s="1848"/>
      <c r="F108" s="1848"/>
      <c r="G108" s="1848"/>
      <c r="H108" s="1848"/>
      <c r="O108" s="83"/>
      <c r="P108" s="83"/>
    </row>
    <row r="109" spans="1:16" s="1232" customFormat="1">
      <c r="A109" s="2121"/>
      <c r="D109" s="1848"/>
      <c r="E109" s="1848"/>
      <c r="F109" s="1848"/>
      <c r="G109" s="1848"/>
      <c r="H109" s="1848"/>
      <c r="O109" s="83"/>
      <c r="P109" s="83"/>
    </row>
    <row r="110" spans="1:16" s="1232" customFormat="1">
      <c r="A110" s="2121"/>
      <c r="D110" s="1848"/>
      <c r="E110" s="1848"/>
      <c r="F110" s="1848"/>
      <c r="G110" s="1848"/>
      <c r="H110" s="1848"/>
      <c r="O110" s="83"/>
      <c r="P110" s="83"/>
    </row>
    <row r="111" spans="1:16" s="1232" customFormat="1">
      <c r="A111" s="2121"/>
      <c r="D111" s="1848"/>
      <c r="E111" s="1848"/>
      <c r="F111" s="1848"/>
      <c r="G111" s="1848"/>
      <c r="H111" s="1848"/>
      <c r="O111" s="83"/>
      <c r="P111" s="83"/>
    </row>
    <row r="112" spans="1:16" s="1232" customFormat="1">
      <c r="A112" s="2121"/>
      <c r="D112" s="1848"/>
      <c r="E112" s="1848"/>
      <c r="F112" s="1848"/>
      <c r="G112" s="1848"/>
      <c r="H112" s="1848"/>
      <c r="O112" s="83"/>
      <c r="P112" s="83"/>
    </row>
    <row r="113" spans="1:16" s="1232" customFormat="1">
      <c r="A113" s="2121"/>
      <c r="D113" s="1848"/>
      <c r="E113" s="1848"/>
      <c r="F113" s="1848"/>
      <c r="G113" s="1848"/>
      <c r="H113" s="1848"/>
      <c r="O113" s="83"/>
      <c r="P113" s="83"/>
    </row>
    <row r="114" spans="1:16" s="1232" customFormat="1">
      <c r="A114" s="2121"/>
      <c r="D114" s="1848"/>
      <c r="E114" s="1848"/>
      <c r="F114" s="1848"/>
      <c r="G114" s="1848"/>
      <c r="H114" s="1848"/>
      <c r="O114" s="83"/>
      <c r="P114" s="83"/>
    </row>
    <row r="115" spans="1:16" s="1232" customFormat="1">
      <c r="A115" s="2121"/>
      <c r="D115" s="1848"/>
      <c r="E115" s="1848"/>
      <c r="F115" s="1848"/>
      <c r="G115" s="1848"/>
      <c r="H115" s="1848"/>
      <c r="O115" s="83"/>
      <c r="P115" s="83"/>
    </row>
    <row r="116" spans="1:16" s="1232" customFormat="1">
      <c r="A116" s="2121"/>
      <c r="D116" s="1848"/>
      <c r="E116" s="1848"/>
      <c r="F116" s="1848"/>
      <c r="G116" s="1848"/>
      <c r="H116" s="1848"/>
      <c r="O116" s="83"/>
      <c r="P116" s="83"/>
    </row>
    <row r="117" spans="1:16" s="1232" customFormat="1">
      <c r="A117" s="2121"/>
      <c r="D117" s="1848"/>
      <c r="E117" s="1848"/>
      <c r="F117" s="1848"/>
      <c r="G117" s="1848"/>
      <c r="H117" s="1848"/>
      <c r="O117" s="83"/>
      <c r="P117" s="83"/>
    </row>
    <row r="118" spans="1:16" s="1232" customFormat="1">
      <c r="A118" s="2121"/>
      <c r="D118" s="1848"/>
      <c r="E118" s="1848"/>
      <c r="F118" s="1848"/>
      <c r="G118" s="1848"/>
      <c r="H118" s="1848"/>
      <c r="O118" s="83"/>
      <c r="P118" s="83"/>
    </row>
    <row r="119" spans="1:16" s="1232" customFormat="1">
      <c r="A119" s="2121"/>
      <c r="D119" s="1848"/>
      <c r="E119" s="1848"/>
      <c r="F119" s="1848"/>
      <c r="G119" s="1848"/>
      <c r="H119" s="1848"/>
      <c r="O119" s="83"/>
      <c r="P119" s="83"/>
    </row>
    <row r="120" spans="1:16" s="1232" customFormat="1">
      <c r="A120" s="2121"/>
      <c r="D120" s="1848"/>
      <c r="E120" s="1848"/>
      <c r="F120" s="1848"/>
      <c r="G120" s="1848"/>
      <c r="H120" s="1848"/>
      <c r="O120" s="83"/>
      <c r="P120" s="83"/>
    </row>
    <row r="121" spans="1:16" s="1232" customFormat="1">
      <c r="A121" s="2121"/>
      <c r="D121" s="1848"/>
      <c r="E121" s="1848"/>
      <c r="F121" s="1848"/>
      <c r="G121" s="1848"/>
      <c r="H121" s="1848"/>
      <c r="O121" s="83"/>
      <c r="P121" s="83"/>
    </row>
    <row r="122" spans="1:16" s="1232" customFormat="1">
      <c r="A122" s="2121"/>
      <c r="D122" s="1848"/>
      <c r="E122" s="1848"/>
      <c r="F122" s="1848"/>
      <c r="G122" s="1848"/>
      <c r="H122" s="1848"/>
      <c r="O122" s="83"/>
      <c r="P122" s="83"/>
    </row>
    <row r="123" spans="1:16" s="1232" customFormat="1">
      <c r="A123" s="2121"/>
      <c r="D123" s="1848"/>
      <c r="E123" s="1848"/>
      <c r="F123" s="1848"/>
      <c r="G123" s="1848"/>
      <c r="H123" s="1848"/>
      <c r="O123" s="83"/>
      <c r="P123" s="83"/>
    </row>
    <row r="124" spans="1:16" s="1232" customFormat="1">
      <c r="A124" s="2121"/>
      <c r="D124" s="1848"/>
      <c r="E124" s="1848"/>
      <c r="F124" s="1848"/>
      <c r="G124" s="1848"/>
      <c r="H124" s="1848"/>
      <c r="O124" s="83"/>
      <c r="P124" s="83"/>
    </row>
    <row r="125" spans="1:16" s="1232" customFormat="1">
      <c r="A125" s="2121"/>
      <c r="D125" s="1848"/>
      <c r="E125" s="1848"/>
      <c r="F125" s="1848"/>
      <c r="G125" s="1848"/>
      <c r="H125" s="1848"/>
      <c r="O125" s="83"/>
      <c r="P125" s="83"/>
    </row>
    <row r="126" spans="1:16" s="1232" customFormat="1">
      <c r="A126" s="2121"/>
      <c r="D126" s="1848"/>
      <c r="E126" s="1848"/>
      <c r="F126" s="1848"/>
      <c r="G126" s="1848"/>
      <c r="H126" s="1848"/>
      <c r="O126" s="83"/>
      <c r="P126" s="83"/>
    </row>
    <row r="127" spans="1:16" s="1232" customFormat="1">
      <c r="A127" s="2121"/>
      <c r="D127" s="1848"/>
      <c r="E127" s="1848"/>
      <c r="F127" s="1848"/>
      <c r="G127" s="1848"/>
      <c r="H127" s="1848"/>
      <c r="O127" s="83"/>
      <c r="P127" s="83"/>
    </row>
    <row r="128" spans="1:16" s="1232" customFormat="1">
      <c r="A128" s="2121"/>
      <c r="D128" s="1848"/>
      <c r="E128" s="1848"/>
      <c r="F128" s="1848"/>
      <c r="G128" s="1848"/>
      <c r="H128" s="1848"/>
      <c r="O128" s="83"/>
      <c r="P128" s="83"/>
    </row>
    <row r="129" spans="1:16" s="1232" customFormat="1">
      <c r="A129" s="2121"/>
      <c r="D129" s="1848"/>
      <c r="E129" s="1848"/>
      <c r="F129" s="1848"/>
      <c r="G129" s="1848"/>
      <c r="H129" s="1848"/>
      <c r="O129" s="83"/>
      <c r="P129" s="83"/>
    </row>
    <row r="130" spans="1:16" s="1232" customFormat="1">
      <c r="A130" s="2121"/>
      <c r="D130" s="1848"/>
      <c r="E130" s="1848"/>
      <c r="F130" s="1848"/>
      <c r="G130" s="1848"/>
      <c r="H130" s="1848"/>
      <c r="O130" s="83"/>
      <c r="P130" s="83"/>
    </row>
    <row r="131" spans="1:16" s="1232" customFormat="1">
      <c r="A131" s="2121"/>
      <c r="D131" s="1848"/>
      <c r="E131" s="1848"/>
      <c r="F131" s="1848"/>
      <c r="G131" s="1848"/>
      <c r="H131" s="1848"/>
      <c r="O131" s="83"/>
      <c r="P131" s="83"/>
    </row>
    <row r="132" spans="1:16" s="1232" customFormat="1">
      <c r="A132" s="2121"/>
      <c r="D132" s="1848"/>
      <c r="E132" s="1848"/>
      <c r="F132" s="1848"/>
      <c r="G132" s="1848"/>
      <c r="H132" s="1848"/>
      <c r="O132" s="83"/>
      <c r="P132" s="83"/>
    </row>
    <row r="133" spans="1:16" s="1232" customFormat="1">
      <c r="A133" s="2121"/>
      <c r="D133" s="1848"/>
      <c r="E133" s="1848"/>
      <c r="F133" s="1848"/>
      <c r="G133" s="1848"/>
      <c r="H133" s="1848"/>
      <c r="O133" s="83"/>
      <c r="P133" s="83"/>
    </row>
    <row r="134" spans="1:16" s="1232" customFormat="1">
      <c r="A134" s="2121"/>
      <c r="D134" s="1848"/>
      <c r="E134" s="1848"/>
      <c r="F134" s="1848"/>
      <c r="G134" s="1848"/>
      <c r="H134" s="1848"/>
      <c r="O134" s="83"/>
      <c r="P134" s="83"/>
    </row>
    <row r="135" spans="1:16" s="1232" customFormat="1">
      <c r="A135" s="2121"/>
      <c r="D135" s="1848"/>
      <c r="E135" s="1848"/>
      <c r="F135" s="1848"/>
      <c r="G135" s="1848"/>
      <c r="H135" s="1848"/>
      <c r="O135" s="83"/>
      <c r="P135" s="83"/>
    </row>
    <row r="136" spans="1:16" s="1232" customFormat="1">
      <c r="A136" s="2121"/>
      <c r="D136" s="1848"/>
      <c r="E136" s="1848"/>
      <c r="F136" s="1848"/>
      <c r="G136" s="1848"/>
      <c r="H136" s="1848"/>
      <c r="O136" s="83"/>
      <c r="P136" s="83"/>
    </row>
    <row r="137" spans="1:16" s="1232" customFormat="1">
      <c r="A137" s="2121"/>
      <c r="D137" s="1848"/>
      <c r="E137" s="1848"/>
      <c r="F137" s="1848"/>
      <c r="G137" s="1848"/>
      <c r="H137" s="1848"/>
      <c r="O137" s="83"/>
      <c r="P137" s="83"/>
    </row>
    <row r="138" spans="1:16" s="1232" customFormat="1">
      <c r="A138" s="2121"/>
      <c r="D138" s="1848"/>
      <c r="E138" s="1848"/>
      <c r="F138" s="1848"/>
      <c r="G138" s="1848"/>
      <c r="H138" s="1848"/>
      <c r="O138" s="83"/>
      <c r="P138" s="83"/>
    </row>
    <row r="139" spans="1:16" s="1232" customFormat="1">
      <c r="A139" s="2121"/>
      <c r="D139" s="1848"/>
      <c r="E139" s="1848"/>
      <c r="F139" s="1848"/>
      <c r="G139" s="1848"/>
      <c r="H139" s="1848"/>
      <c r="O139" s="83"/>
      <c r="P139" s="83"/>
    </row>
    <row r="140" spans="1:16" s="1232" customFormat="1">
      <c r="A140" s="2121"/>
      <c r="D140" s="1848"/>
      <c r="E140" s="1848"/>
      <c r="F140" s="1848"/>
      <c r="G140" s="1848"/>
      <c r="H140" s="1848"/>
      <c r="O140" s="83"/>
      <c r="P140" s="83"/>
    </row>
    <row r="141" spans="1:16" s="1232" customFormat="1">
      <c r="A141" s="2121"/>
      <c r="D141" s="1848"/>
      <c r="E141" s="1848"/>
      <c r="F141" s="1848"/>
      <c r="G141" s="1848"/>
      <c r="H141" s="1848"/>
      <c r="O141" s="83"/>
      <c r="P141" s="83"/>
    </row>
    <row r="142" spans="1:16" s="1232" customFormat="1">
      <c r="A142" s="2121"/>
      <c r="D142" s="1848"/>
      <c r="E142" s="1848"/>
      <c r="F142" s="1848"/>
      <c r="G142" s="1848"/>
      <c r="H142" s="1848"/>
      <c r="O142" s="83"/>
      <c r="P142" s="83"/>
    </row>
    <row r="143" spans="1:16" s="1232" customFormat="1">
      <c r="A143" s="2121"/>
      <c r="D143" s="1848"/>
      <c r="E143" s="1848"/>
      <c r="F143" s="1848"/>
      <c r="G143" s="1848"/>
      <c r="H143" s="1848"/>
      <c r="O143" s="83"/>
      <c r="P143" s="83"/>
    </row>
    <row r="144" spans="1:16" s="1232" customFormat="1">
      <c r="A144" s="2121"/>
      <c r="D144" s="1848"/>
      <c r="E144" s="1848"/>
      <c r="F144" s="1848"/>
      <c r="G144" s="1848"/>
      <c r="H144" s="1848"/>
      <c r="O144" s="83"/>
      <c r="P144" s="83"/>
    </row>
    <row r="145" spans="1:16" s="1232" customFormat="1">
      <c r="A145" s="2121"/>
      <c r="D145" s="1848"/>
      <c r="E145" s="1848"/>
      <c r="F145" s="1848"/>
      <c r="G145" s="1848"/>
      <c r="H145" s="1848"/>
      <c r="O145" s="83"/>
      <c r="P145" s="83"/>
    </row>
    <row r="146" spans="1:16" s="1232" customFormat="1">
      <c r="A146" s="2121"/>
      <c r="D146" s="1848"/>
      <c r="E146" s="1848"/>
      <c r="F146" s="1848"/>
      <c r="G146" s="1848"/>
      <c r="H146" s="1848"/>
      <c r="O146" s="83"/>
      <c r="P146" s="83"/>
    </row>
    <row r="147" spans="1:16" s="1232" customFormat="1">
      <c r="A147" s="2121"/>
      <c r="D147" s="1848"/>
      <c r="E147" s="1848"/>
      <c r="F147" s="1848"/>
      <c r="G147" s="1848"/>
      <c r="H147" s="1848"/>
      <c r="O147" s="83"/>
      <c r="P147" s="83"/>
    </row>
    <row r="148" spans="1:16" s="1232" customFormat="1">
      <c r="A148" s="2121"/>
      <c r="D148" s="1848"/>
      <c r="E148" s="1848"/>
      <c r="F148" s="1848"/>
      <c r="G148" s="1848"/>
      <c r="H148" s="1848"/>
      <c r="O148" s="83"/>
      <c r="P148" s="83"/>
    </row>
    <row r="149" spans="1:16" s="1232" customFormat="1">
      <c r="A149" s="2121"/>
      <c r="D149" s="1848"/>
      <c r="E149" s="1848"/>
      <c r="F149" s="1848"/>
      <c r="G149" s="1848"/>
      <c r="H149" s="1848"/>
      <c r="O149" s="83"/>
      <c r="P149" s="83"/>
    </row>
    <row r="150" spans="1:16" s="1232" customFormat="1">
      <c r="A150" s="2121"/>
      <c r="D150" s="1848"/>
      <c r="E150" s="1848"/>
      <c r="F150" s="1848"/>
      <c r="G150" s="1848"/>
      <c r="H150" s="1848"/>
      <c r="O150" s="83"/>
      <c r="P150" s="83"/>
    </row>
    <row r="151" spans="1:16" s="1232" customFormat="1">
      <c r="A151" s="2121"/>
      <c r="D151" s="1848"/>
      <c r="E151" s="1848"/>
      <c r="F151" s="1848"/>
      <c r="G151" s="1848"/>
      <c r="H151" s="1848"/>
      <c r="O151" s="83"/>
      <c r="P151" s="83"/>
    </row>
    <row r="152" spans="1:16" s="1232" customFormat="1">
      <c r="A152" s="2121"/>
      <c r="D152" s="1848"/>
      <c r="E152" s="1848"/>
      <c r="F152" s="1848"/>
      <c r="G152" s="1848"/>
      <c r="H152" s="1848"/>
      <c r="O152" s="83"/>
      <c r="P152" s="83"/>
    </row>
    <row r="153" spans="1:16" s="1232" customFormat="1">
      <c r="A153" s="2122"/>
      <c r="B153" s="2068"/>
      <c r="D153" s="1848"/>
      <c r="E153" s="1848"/>
      <c r="F153" s="1848"/>
      <c r="G153" s="1848"/>
      <c r="H153" s="1848"/>
      <c r="O153" s="83"/>
      <c r="P153" s="83"/>
    </row>
    <row r="154" spans="1:16" s="1232" customFormat="1">
      <c r="A154" s="2122"/>
      <c r="B154" s="2068"/>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5" sqref="K15"/>
    </sheetView>
  </sheetViews>
  <sheetFormatPr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25" t="s">
        <v>1735</v>
      </c>
      <c r="B1" s="2826"/>
      <c r="C1" s="2826"/>
      <c r="D1" s="2826"/>
      <c r="E1" s="2826"/>
      <c r="F1" s="2826"/>
      <c r="G1" s="282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1736</v>
      </c>
      <c r="D2" s="2133"/>
      <c r="E2" s="2134"/>
      <c r="F2" s="2135"/>
      <c r="G2" s="2132" t="s">
        <v>1737</v>
      </c>
      <c r="H2" s="2136"/>
      <c r="I2" s="2136"/>
      <c r="J2" s="2136"/>
      <c r="K2" s="2136"/>
      <c r="L2" s="2136"/>
      <c r="M2" s="2136"/>
      <c r="N2" s="2136"/>
      <c r="O2" s="2136"/>
      <c r="P2" s="2136"/>
      <c r="Q2" s="2136"/>
      <c r="R2" s="2136"/>
    </row>
    <row r="3" spans="1:29" ht="54">
      <c r="A3" s="394" t="s">
        <v>1738</v>
      </c>
      <c r="B3" s="2138" t="s">
        <v>1739</v>
      </c>
      <c r="C3" s="2139" t="s">
        <v>1740</v>
      </c>
      <c r="D3" s="2140"/>
      <c r="E3" s="410" t="s">
        <v>1738</v>
      </c>
      <c r="F3" s="2141" t="s">
        <v>1741</v>
      </c>
      <c r="G3" s="2142" t="s">
        <v>1742</v>
      </c>
      <c r="H3" s="2136"/>
      <c r="I3" s="2136"/>
      <c r="J3" s="2136"/>
      <c r="K3" s="2136"/>
      <c r="L3" s="2136"/>
      <c r="M3" s="2136"/>
      <c r="N3" s="2136"/>
      <c r="O3" s="2136"/>
      <c r="P3" s="2136"/>
      <c r="Q3" s="2136"/>
      <c r="R3" s="2136"/>
    </row>
    <row r="4" spans="1:29" ht="41.25">
      <c r="A4" s="410"/>
      <c r="B4" s="1882" t="s">
        <v>1743</v>
      </c>
      <c r="C4" s="2143" t="s">
        <v>1744</v>
      </c>
      <c r="D4" s="2140"/>
      <c r="E4" s="2144"/>
      <c r="F4" s="2145" t="s">
        <v>1745</v>
      </c>
      <c r="G4" s="2146" t="s">
        <v>1746</v>
      </c>
      <c r="H4" s="2136"/>
      <c r="I4" s="2136"/>
      <c r="J4" s="2136"/>
      <c r="K4" s="2136"/>
      <c r="L4" s="2136"/>
      <c r="M4" s="2136"/>
      <c r="N4" s="2136"/>
      <c r="O4" s="2136"/>
      <c r="P4" s="2136"/>
      <c r="Q4" s="2136"/>
      <c r="R4" s="2136"/>
    </row>
    <row r="5" spans="1:29" ht="41.25">
      <c r="A5" s="410"/>
      <c r="B5" s="1882" t="s">
        <v>1747</v>
      </c>
      <c r="C5" s="2143" t="s">
        <v>1748</v>
      </c>
      <c r="D5" s="2140"/>
      <c r="E5" s="2144"/>
      <c r="F5" s="1882" t="s">
        <v>1749</v>
      </c>
      <c r="G5" s="2146" t="s">
        <v>1750</v>
      </c>
      <c r="H5" s="2136"/>
      <c r="I5" s="2136"/>
      <c r="J5" s="2136"/>
      <c r="K5" s="2136"/>
      <c r="L5" s="2136"/>
      <c r="M5" s="2136"/>
      <c r="N5" s="2136"/>
      <c r="O5" s="2136"/>
      <c r="P5" s="2136"/>
      <c r="Q5" s="2136"/>
      <c r="R5" s="2136"/>
    </row>
    <row r="6" spans="1:29" ht="54">
      <c r="A6" s="410"/>
      <c r="B6" s="1882" t="s">
        <v>1751</v>
      </c>
      <c r="C6" s="2146" t="s">
        <v>1746</v>
      </c>
      <c r="D6" s="2140"/>
      <c r="E6" s="2144"/>
      <c r="F6" s="1882" t="s">
        <v>1752</v>
      </c>
      <c r="G6" s="2146" t="s">
        <v>1753</v>
      </c>
      <c r="H6" s="2136"/>
      <c r="I6" s="2136"/>
      <c r="J6" s="2136"/>
      <c r="K6" s="2136"/>
      <c r="L6" s="2136"/>
      <c r="M6" s="2136"/>
      <c r="N6" s="2136"/>
      <c r="O6" s="2136"/>
      <c r="P6" s="2136"/>
      <c r="Q6" s="2136"/>
      <c r="R6" s="2136"/>
    </row>
    <row r="7" spans="1:29" ht="41.25" thickBot="1">
      <c r="A7" s="410"/>
      <c r="B7" s="1882" t="s">
        <v>1749</v>
      </c>
      <c r="C7" s="2146" t="s">
        <v>1750</v>
      </c>
      <c r="D7" s="2147"/>
      <c r="E7" s="2148"/>
      <c r="F7" s="2149" t="s">
        <v>1754</v>
      </c>
      <c r="G7" s="2150" t="s">
        <v>1755</v>
      </c>
      <c r="H7" s="2136"/>
      <c r="I7" s="2136"/>
      <c r="J7" s="2136"/>
      <c r="K7" s="2136"/>
      <c r="L7" s="2136"/>
      <c r="M7" s="2136"/>
      <c r="N7" s="2136"/>
      <c r="O7" s="2136"/>
      <c r="P7" s="2136"/>
      <c r="Q7" s="2136"/>
      <c r="R7" s="2136"/>
    </row>
    <row r="8" spans="1:29" ht="27">
      <c r="A8" s="410"/>
      <c r="B8" s="1882" t="s">
        <v>1752</v>
      </c>
      <c r="C8" s="2146" t="s">
        <v>1753</v>
      </c>
      <c r="D8" s="2147"/>
      <c r="E8" s="2147"/>
      <c r="F8" s="1241"/>
      <c r="G8" s="1241"/>
      <c r="H8" s="2136"/>
      <c r="I8" s="2136"/>
      <c r="J8" s="2136"/>
      <c r="K8" s="2136"/>
      <c r="L8" s="2136"/>
      <c r="M8" s="2136"/>
      <c r="N8" s="2136"/>
      <c r="O8" s="2136"/>
      <c r="P8" s="2136"/>
      <c r="Q8" s="2136"/>
      <c r="R8" s="2136"/>
    </row>
    <row r="9" spans="1:29" ht="27">
      <c r="A9" s="410"/>
      <c r="B9" s="1882" t="s">
        <v>1756</v>
      </c>
      <c r="C9" s="2143" t="s">
        <v>1757</v>
      </c>
      <c r="D9" s="2140"/>
      <c r="E9" s="2147"/>
      <c r="F9" s="1241"/>
      <c r="G9" s="1241"/>
      <c r="H9" s="2136"/>
      <c r="I9" s="2136"/>
      <c r="J9" s="2136"/>
      <c r="K9" s="2136"/>
      <c r="L9" s="2136"/>
      <c r="M9" s="2136"/>
      <c r="N9" s="2136"/>
      <c r="O9" s="2136"/>
      <c r="P9" s="2136"/>
      <c r="Q9" s="2136"/>
      <c r="R9" s="2136"/>
    </row>
    <row r="10" spans="1:29" s="35" customFormat="1" ht="15.75" thickBot="1">
      <c r="A10" s="2151"/>
      <c r="B10" s="2152" t="s">
        <v>1758</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1759</v>
      </c>
      <c r="B13" s="2158"/>
      <c r="C13" s="2158"/>
      <c r="D13" s="2133"/>
      <c r="E13" s="2158"/>
      <c r="F13" s="2158"/>
      <c r="G13" s="2158"/>
    </row>
    <row r="14" spans="1:29" ht="15.75" thickBot="1">
      <c r="A14" s="2168"/>
      <c r="B14" s="2169"/>
      <c r="C14" s="2170" t="s">
        <v>1760</v>
      </c>
      <c r="D14" s="2140"/>
      <c r="E14" s="2171"/>
      <c r="F14" s="2171"/>
      <c r="G14" s="2132" t="s">
        <v>1761</v>
      </c>
    </row>
    <row r="15" spans="1:29" ht="57">
      <c r="A15" s="25" t="s">
        <v>1762</v>
      </c>
      <c r="B15" s="2172" t="s">
        <v>1739</v>
      </c>
      <c r="C15" s="2173" t="str">
        <f>C3</f>
        <v>估价对象周边居住用地比例、居住小区规模和社区发展完善程度，综合评价居住社区成熟度一般</v>
      </c>
      <c r="D15" s="2140"/>
      <c r="E15" s="2174" t="s">
        <v>1763</v>
      </c>
      <c r="F15" s="2172" t="s">
        <v>1764</v>
      </c>
      <c r="G15" s="50" t="str">
        <f>G3</f>
        <v>估价对象位于XX开发区，园区建设成熟度XX，产业集聚程度XX</v>
      </c>
    </row>
    <row r="16" spans="1:29" ht="42.75">
      <c r="A16" s="628"/>
      <c r="B16" s="1488" t="s">
        <v>1743</v>
      </c>
      <c r="C16" s="2175" t="str">
        <f>C4</f>
        <v>估价对象位于XX商圈，周边商业氛围成熟，人流量大，商业繁华度好</v>
      </c>
      <c r="D16" s="2140"/>
      <c r="E16" s="2176"/>
      <c r="F16" s="2177" t="s">
        <v>1745</v>
      </c>
      <c r="G16" s="51" t="str">
        <f>G4</f>
        <v>估价对象周边道路状况、公共交通通达情况、停车便捷程度，综合评价交通便捷度较好</v>
      </c>
    </row>
    <row r="17" spans="1:18" ht="42.75">
      <c r="A17" s="628"/>
      <c r="B17" s="1488" t="s">
        <v>1747</v>
      </c>
      <c r="C17" s="2175" t="str">
        <f>C5</f>
        <v>估价对象位于XX商圈，周边办公楼项目较多，入驻率高，办公集聚程度较好</v>
      </c>
      <c r="D17" s="2147"/>
      <c r="E17" s="2176"/>
      <c r="F17" s="2177" t="s">
        <v>1765</v>
      </c>
      <c r="G17" s="2178"/>
    </row>
    <row r="18" spans="1:18" ht="57">
      <c r="A18" s="628"/>
      <c r="B18" s="2177" t="s">
        <v>1751</v>
      </c>
      <c r="C18" s="51" t="str">
        <f>C6</f>
        <v>估价对象周边道路状况、公共交通通达情况、停车便捷程度，综合评价交通便捷度较好</v>
      </c>
      <c r="D18" s="2147"/>
      <c r="E18" s="2176"/>
      <c r="F18" s="2177" t="s">
        <v>1754</v>
      </c>
      <c r="G18" s="51" t="str">
        <f>G7</f>
        <v>该园区内是否有污染型企业，绿化情况，卫生条件，整体环境状况判断</v>
      </c>
    </row>
    <row r="19" spans="1:18" ht="28.5">
      <c r="A19" s="628"/>
      <c r="B19" s="2177" t="s">
        <v>1766</v>
      </c>
      <c r="C19" s="2178"/>
      <c r="D19" s="2140"/>
      <c r="E19" s="2176"/>
      <c r="F19" s="1882" t="s">
        <v>1749</v>
      </c>
      <c r="G19" s="51" t="str">
        <f>G5</f>
        <v>估价对象所在区域公共配套设施齐备情况</v>
      </c>
    </row>
    <row r="20" spans="1:18" ht="28.5">
      <c r="A20" s="628"/>
      <c r="B20" s="2177" t="s">
        <v>1767</v>
      </c>
      <c r="C20" s="2175" t="str">
        <f>C9</f>
        <v>区域自然环境：；人文环境；综合评价环境状况一般</v>
      </c>
      <c r="D20" s="2147"/>
      <c r="E20" s="2176"/>
      <c r="F20" s="1882" t="s">
        <v>1768</v>
      </c>
      <c r="G20" s="51" t="str">
        <f>G6</f>
        <v>估价对象所在区域基础设施水平</v>
      </c>
    </row>
    <row r="21" spans="1:18" ht="28.5">
      <c r="A21" s="628"/>
      <c r="B21" s="1882" t="s">
        <v>1749</v>
      </c>
      <c r="C21" s="51" t="str">
        <f>C7</f>
        <v>估价对象所在区域公共配套设施齐备情况</v>
      </c>
      <c r="D21" s="2140"/>
      <c r="E21" s="2176"/>
      <c r="F21" s="2177" t="s">
        <v>1769</v>
      </c>
      <c r="G21" s="2179"/>
    </row>
    <row r="22" spans="1:18" ht="28.5">
      <c r="A22" s="628"/>
      <c r="B22" s="1882" t="s">
        <v>1752</v>
      </c>
      <c r="C22" s="51" t="str">
        <f>C8</f>
        <v>估价对象所在区域基础设施水平</v>
      </c>
      <c r="D22" s="2140"/>
      <c r="E22" s="2176"/>
      <c r="F22" s="2177" t="s">
        <v>1758</v>
      </c>
      <c r="G22" s="2180"/>
    </row>
    <row r="23" spans="1:18" s="2136" customFormat="1" ht="15.75" thickBot="1">
      <c r="A23" s="628"/>
      <c r="B23" s="2177" t="s">
        <v>1769</v>
      </c>
      <c r="C23" s="2179"/>
      <c r="D23" s="2165"/>
      <c r="E23" s="2181"/>
      <c r="F23" s="2182" t="s">
        <v>1770</v>
      </c>
      <c r="G23" s="2183"/>
      <c r="H23" s="2165"/>
      <c r="I23" s="2166"/>
      <c r="J23" s="2165"/>
      <c r="K23" s="2165"/>
      <c r="L23" s="2166"/>
      <c r="M23" s="2165"/>
      <c r="N23" s="2165"/>
      <c r="O23" s="2166"/>
      <c r="P23" s="2165"/>
      <c r="Q23" s="2165"/>
      <c r="R23" s="2167"/>
    </row>
    <row r="24" spans="1:18" s="2136" customFormat="1" ht="15.75" thickBot="1">
      <c r="A24" s="2184"/>
      <c r="B24" s="2182" t="s">
        <v>1771</v>
      </c>
      <c r="C24" s="52">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1225</v>
      </c>
      <c r="B1" s="1825">
        <f>SUM(B14:B23)</f>
        <v>103.71</v>
      </c>
      <c r="C1" s="1826"/>
      <c r="D1" s="1826"/>
      <c r="E1" s="1826"/>
      <c r="F1" s="1826"/>
      <c r="G1" s="1830"/>
    </row>
    <row r="2" spans="1:9" ht="16.5">
      <c r="A2" s="1825" t="s">
        <v>1226</v>
      </c>
      <c r="B2" s="1825">
        <f>SUM(C14:C23)</f>
        <v>0</v>
      </c>
      <c r="C2" s="1826"/>
      <c r="D2" s="1826"/>
      <c r="E2" s="1826"/>
      <c r="F2" s="1826"/>
      <c r="G2" s="1830"/>
    </row>
    <row r="3" spans="1:9" ht="16.5">
      <c r="A3" s="1825" t="s">
        <v>1227</v>
      </c>
      <c r="B3" s="1828">
        <f>项目基本情况!D2</f>
        <v>43257</v>
      </c>
      <c r="C3" s="1826"/>
      <c r="D3" s="1826"/>
      <c r="E3" s="1826"/>
      <c r="F3" s="1826"/>
      <c r="G3" s="1830"/>
    </row>
    <row r="4" spans="1:9" ht="33">
      <c r="A4" s="1825" t="s">
        <v>1228</v>
      </c>
      <c r="B4" s="1825" t="s">
        <v>1229</v>
      </c>
      <c r="C4" s="1825" t="s">
        <v>1230</v>
      </c>
      <c r="D4" s="1825" t="s">
        <v>1231</v>
      </c>
      <c r="E4" s="1826"/>
      <c r="F4" s="1830"/>
      <c r="G4" s="1830"/>
    </row>
    <row r="5" spans="1:9" ht="16.5">
      <c r="A5" s="1825" t="s">
        <v>1232</v>
      </c>
      <c r="B5" s="1825">
        <f ca="1">SUM(D14:D23)</f>
        <v>413.46319999999997</v>
      </c>
      <c r="C5" s="1825">
        <f ca="1">ROUND(B5*10000/$B$1,0)</f>
        <v>39867</v>
      </c>
      <c r="D5" s="1825" t="e">
        <f ca="1">ROUND(B5*10000/$B$2,0)</f>
        <v>#DIV/0!</v>
      </c>
      <c r="E5" s="1826"/>
      <c r="F5" s="1830"/>
      <c r="G5" s="1830"/>
    </row>
    <row r="6" spans="1:9" ht="16.5">
      <c r="A6" s="1825" t="s">
        <v>1233</v>
      </c>
      <c r="B6" s="1825">
        <f ca="1">SUM(G14:G23)</f>
        <v>413.46319999999997</v>
      </c>
      <c r="C6" s="1825">
        <f ca="1">ROUND(B6*10000/$B$1,0)</f>
        <v>39867</v>
      </c>
      <c r="D6" s="1825" t="e">
        <f ca="1">ROUND(B6*10000/$B$2,0)</f>
        <v>#DIV/0!</v>
      </c>
      <c r="E6" s="1826"/>
      <c r="F6" s="1830"/>
      <c r="G6" s="1830"/>
    </row>
    <row r="7" spans="1:9" ht="16.5">
      <c r="A7" s="1825" t="s">
        <v>1234</v>
      </c>
      <c r="B7" s="1825" t="e">
        <f>SUM(H14:H23)</f>
        <v>#VALUE!</v>
      </c>
      <c r="C7" s="1825" t="e">
        <f>ROUND(B7*10000/$B$1,0)</f>
        <v>#VALUE!</v>
      </c>
      <c r="D7" s="1825" t="e">
        <f>ROUND(B7*10000/$B$2,0)</f>
        <v>#VALUE!</v>
      </c>
      <c r="E7" s="1826"/>
      <c r="F7" s="1830"/>
      <c r="G7" s="1830"/>
    </row>
    <row r="8" spans="1:9" ht="16.5">
      <c r="A8" s="1825" t="s">
        <v>1235</v>
      </c>
      <c r="B8" s="1825" t="e">
        <f>SUM(I14:I23)</f>
        <v>#VALUE!</v>
      </c>
      <c r="C8" s="1825" t="e">
        <f>ROUND(B8*10000/$B$1,0)</f>
        <v>#VALUE!</v>
      </c>
      <c r="D8" s="1825" t="e">
        <f>ROUND(B8*10000/$B$2,0)</f>
        <v>#VALUE!</v>
      </c>
      <c r="E8" s="1826"/>
      <c r="F8" s="1830"/>
      <c r="G8" s="1830"/>
    </row>
    <row r="9" spans="1:9" ht="16.5">
      <c r="A9" s="1825" t="s">
        <v>1236</v>
      </c>
      <c r="B9" s="1831"/>
      <c r="C9" s="1826"/>
      <c r="D9" s="1826"/>
      <c r="E9" s="1826"/>
      <c r="F9" s="1830"/>
      <c r="G9" s="1830"/>
    </row>
    <row r="10" spans="1:9" ht="16.5">
      <c r="A10" s="1825" t="s">
        <v>1237</v>
      </c>
      <c r="B10" s="1831"/>
      <c r="C10" s="1826"/>
      <c r="D10" s="1826"/>
      <c r="E10" s="1826"/>
      <c r="F10" s="1830"/>
      <c r="G10" s="1830"/>
    </row>
    <row r="11" spans="1:9" ht="16.5">
      <c r="A11" s="1825" t="s">
        <v>1252</v>
      </c>
      <c r="B11" s="1831"/>
      <c r="C11" s="1826"/>
      <c r="D11" s="1826"/>
      <c r="E11" s="1826"/>
      <c r="F11" s="1830"/>
      <c r="G11" s="1830"/>
    </row>
    <row r="12" spans="1:9" ht="16.5">
      <c r="A12" s="1826"/>
      <c r="B12" s="1826"/>
      <c r="C12" s="1826"/>
      <c r="D12" s="1826"/>
      <c r="E12" s="1826"/>
      <c r="F12" s="1830"/>
      <c r="G12" s="1830"/>
    </row>
    <row r="13" spans="1:9" ht="33">
      <c r="A13" s="1835" t="s">
        <v>1251</v>
      </c>
      <c r="B13" s="1829" t="s">
        <v>1225</v>
      </c>
      <c r="C13" s="1829" t="s">
        <v>1226</v>
      </c>
      <c r="D13" s="1829" t="s">
        <v>1238</v>
      </c>
      <c r="E13" s="1825" t="s">
        <v>1230</v>
      </c>
      <c r="F13" s="1825" t="s">
        <v>1231</v>
      </c>
      <c r="G13" s="1829" t="s">
        <v>1239</v>
      </c>
      <c r="H13" s="1829" t="s">
        <v>1240</v>
      </c>
      <c r="I13" s="1829" t="s">
        <v>1241</v>
      </c>
    </row>
    <row r="14" spans="1:9" ht="16.5">
      <c r="A14" s="1832" t="s">
        <v>2901</v>
      </c>
      <c r="B14" s="1829">
        <f>项目基本情况!C12</f>
        <v>103.71</v>
      </c>
      <c r="C14" s="1829">
        <f>项目基本情况!C13</f>
        <v>0</v>
      </c>
      <c r="D14" s="1829">
        <f ca="1">IF('数据-取费表'!B3="万元",IF(A14="估价对象1（结果表）",结果表!H121,'结果表 (1修多)'!H124),IF(A14="估价对象1（结果表）",结果表!H121,'结果表 (1修多)'!H124)/10000)</f>
        <v>413.46319999999997</v>
      </c>
      <c r="E14" s="1829">
        <f ca="1">ROUND(D14*10000/B14,0)</f>
        <v>39867</v>
      </c>
      <c r="F14" s="1829" t="e">
        <f ca="1">ROUND(D14*10000/C14,0)</f>
        <v>#DIV/0!</v>
      </c>
      <c r="G14" s="1829">
        <f ca="1">IF('数据-取费表'!B3="万元",IF(A14="估价对象1（结果表）",结果表!D125,'结果表 (1修多)'!D128),IF(A14="估价对象1（结果表）",结果表!D125,'结果表 (1修多)'!D128)/10000)</f>
        <v>413.46319999999997</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1242</v>
      </c>
      <c r="B15" s="1833"/>
      <c r="C15" s="1833"/>
      <c r="D15" s="1833"/>
      <c r="E15" s="1829" t="e">
        <f t="shared" ref="E15:E23" si="0">ROUND(D15*10000/B15,0)</f>
        <v>#DIV/0!</v>
      </c>
      <c r="F15" s="1829" t="e">
        <f t="shared" ref="F15:F23" si="1">ROUND(D15*10000/C15,0)</f>
        <v>#DIV/0!</v>
      </c>
      <c r="G15" s="1834"/>
      <c r="H15" s="1834"/>
      <c r="I15" s="1833"/>
    </row>
    <row r="16" spans="1:9" ht="16.5">
      <c r="A16" s="1827" t="s">
        <v>1243</v>
      </c>
      <c r="B16" s="1833"/>
      <c r="C16" s="1833"/>
      <c r="D16" s="1833"/>
      <c r="E16" s="1829" t="e">
        <f t="shared" si="0"/>
        <v>#DIV/0!</v>
      </c>
      <c r="F16" s="1829" t="e">
        <f t="shared" si="1"/>
        <v>#DIV/0!</v>
      </c>
      <c r="G16" s="1834"/>
      <c r="H16" s="1834"/>
      <c r="I16" s="1833"/>
    </row>
    <row r="17" spans="1:9" ht="16.5">
      <c r="A17" s="1827" t="s">
        <v>1244</v>
      </c>
      <c r="B17" s="1833"/>
      <c r="C17" s="1833"/>
      <c r="D17" s="1833"/>
      <c r="E17" s="1829" t="e">
        <f t="shared" si="0"/>
        <v>#DIV/0!</v>
      </c>
      <c r="F17" s="1829" t="e">
        <f t="shared" si="1"/>
        <v>#DIV/0!</v>
      </c>
      <c r="G17" s="1834"/>
      <c r="H17" s="1834"/>
      <c r="I17" s="1833"/>
    </row>
    <row r="18" spans="1:9" ht="16.5">
      <c r="A18" s="1827" t="s">
        <v>1245</v>
      </c>
      <c r="B18" s="1833"/>
      <c r="C18" s="1833"/>
      <c r="D18" s="1833"/>
      <c r="E18" s="1829" t="e">
        <f t="shared" si="0"/>
        <v>#DIV/0!</v>
      </c>
      <c r="F18" s="1829" t="e">
        <f t="shared" si="1"/>
        <v>#DIV/0!</v>
      </c>
      <c r="G18" s="1833"/>
      <c r="H18" s="1833"/>
      <c r="I18" s="1833"/>
    </row>
    <row r="19" spans="1:9" ht="16.5">
      <c r="A19" s="1827" t="s">
        <v>1246</v>
      </c>
      <c r="B19" s="1833"/>
      <c r="C19" s="1833"/>
      <c r="D19" s="1833"/>
      <c r="E19" s="1829" t="e">
        <f t="shared" si="0"/>
        <v>#DIV/0!</v>
      </c>
      <c r="F19" s="1829" t="e">
        <f t="shared" si="1"/>
        <v>#DIV/0!</v>
      </c>
      <c r="G19" s="1833"/>
      <c r="H19" s="1833"/>
      <c r="I19" s="1833"/>
    </row>
    <row r="20" spans="1:9" ht="16.5">
      <c r="A20" s="1827" t="s">
        <v>1247</v>
      </c>
      <c r="B20" s="1833"/>
      <c r="C20" s="1833"/>
      <c r="D20" s="1833"/>
      <c r="E20" s="1829" t="e">
        <f t="shared" si="0"/>
        <v>#DIV/0!</v>
      </c>
      <c r="F20" s="1829" t="e">
        <f t="shared" si="1"/>
        <v>#DIV/0!</v>
      </c>
      <c r="G20" s="1833"/>
      <c r="H20" s="1833"/>
      <c r="I20" s="1833"/>
    </row>
    <row r="21" spans="1:9" ht="16.5">
      <c r="A21" s="1827" t="s">
        <v>1248</v>
      </c>
      <c r="B21" s="1833"/>
      <c r="C21" s="1833"/>
      <c r="D21" s="1833"/>
      <c r="E21" s="1829" t="e">
        <f t="shared" si="0"/>
        <v>#DIV/0!</v>
      </c>
      <c r="F21" s="1829" t="e">
        <f t="shared" si="1"/>
        <v>#DIV/0!</v>
      </c>
      <c r="G21" s="1833"/>
      <c r="H21" s="1833"/>
      <c r="I21" s="1833"/>
    </row>
    <row r="22" spans="1:9" ht="16.5">
      <c r="A22" s="1827" t="s">
        <v>1249</v>
      </c>
      <c r="B22" s="1833"/>
      <c r="C22" s="1833"/>
      <c r="D22" s="1833"/>
      <c r="E22" s="1829" t="e">
        <f t="shared" si="0"/>
        <v>#DIV/0!</v>
      </c>
      <c r="F22" s="1829" t="e">
        <f t="shared" si="1"/>
        <v>#DIV/0!</v>
      </c>
      <c r="G22" s="1833"/>
      <c r="H22" s="1833"/>
      <c r="I22" s="1833"/>
    </row>
    <row r="23" spans="1:9" ht="16.5">
      <c r="A23" s="1827" t="s">
        <v>1250</v>
      </c>
      <c r="B23" s="1833"/>
      <c r="C23" s="1833"/>
      <c r="D23" s="1833"/>
      <c r="E23" s="1825" t="e">
        <f t="shared" si="0"/>
        <v>#DIV/0!</v>
      </c>
      <c r="F23" s="1825" t="e">
        <f t="shared" si="1"/>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35" sqref="H35"/>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0"/>
    <col min="36" max="16384" width="12.625" style="2192"/>
  </cols>
  <sheetData>
    <row r="1" spans="1:12" ht="21.75" customHeight="1">
      <c r="A1" s="2190" t="s">
        <v>1772</v>
      </c>
      <c r="B1" s="2191"/>
      <c r="C1" s="2191"/>
      <c r="D1" s="2191"/>
      <c r="E1" s="2191"/>
      <c r="F1" s="2191"/>
      <c r="G1" s="2191"/>
      <c r="H1" s="2191"/>
      <c r="I1" s="2191"/>
    </row>
    <row r="2" spans="1:12" ht="21.75" customHeight="1">
      <c r="A2" s="2903" t="str">
        <f>项目基本情况!B1</f>
        <v>北京市房地产抵押价值预评估</v>
      </c>
      <c r="B2" s="2903"/>
      <c r="C2" s="2903"/>
      <c r="D2" s="2903"/>
      <c r="E2" s="2903"/>
      <c r="F2" s="2903"/>
      <c r="G2" s="2903"/>
      <c r="H2" s="2903"/>
      <c r="I2" s="2903"/>
    </row>
    <row r="3" spans="1:12" ht="12.75">
      <c r="A3" s="2909" t="s">
        <v>1773</v>
      </c>
      <c r="B3" s="2910"/>
      <c r="C3" s="2910"/>
      <c r="D3" s="2910"/>
      <c r="E3" s="2910"/>
      <c r="F3" s="2910"/>
      <c r="G3" s="2910"/>
      <c r="H3" s="2910"/>
      <c r="I3" s="2910"/>
    </row>
    <row r="4" spans="1:12" ht="14.25">
      <c r="A4" s="2193" t="s">
        <v>1774</v>
      </c>
      <c r="B4" s="2194" t="s">
        <v>1775</v>
      </c>
      <c r="C4" s="2195" t="s">
        <v>2841</v>
      </c>
      <c r="D4" s="2195" t="s">
        <v>2842</v>
      </c>
      <c r="E4" s="2914" t="s">
        <v>1776</v>
      </c>
      <c r="F4" s="2915"/>
      <c r="G4" s="2915"/>
      <c r="H4" s="2915"/>
      <c r="I4" s="2916"/>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04" t="s">
        <v>1777</v>
      </c>
      <c r="B5" s="2849">
        <v>25</v>
      </c>
      <c r="C5" s="2911"/>
      <c r="D5" s="2908"/>
      <c r="E5" s="55" t="s">
        <v>1778</v>
      </c>
      <c r="F5" s="2196"/>
      <c r="G5" s="2196"/>
      <c r="H5" s="2196"/>
      <c r="I5" s="2197"/>
    </row>
    <row r="6" spans="1:12" ht="12.75">
      <c r="A6" s="2904"/>
      <c r="B6" s="2849"/>
      <c r="C6" s="2912"/>
      <c r="D6" s="2908"/>
      <c r="E6" s="55" t="s">
        <v>1779</v>
      </c>
      <c r="F6" s="2196"/>
      <c r="G6" s="2196"/>
      <c r="H6" s="2196"/>
      <c r="I6" s="2197"/>
    </row>
    <row r="7" spans="1:12" ht="12.75">
      <c r="A7" s="2904"/>
      <c r="B7" s="2849"/>
      <c r="C7" s="2913"/>
      <c r="D7" s="2908"/>
      <c r="E7" s="55" t="s">
        <v>1780</v>
      </c>
      <c r="F7" s="2196"/>
      <c r="G7" s="2196"/>
      <c r="H7" s="2196"/>
      <c r="I7" s="2197"/>
    </row>
    <row r="8" spans="1:12" ht="12.75">
      <c r="A8" s="2904" t="s">
        <v>1781</v>
      </c>
      <c r="B8" s="2849">
        <v>15</v>
      </c>
      <c r="C8" s="2911"/>
      <c r="D8" s="2908"/>
      <c r="E8" s="55" t="s">
        <v>1782</v>
      </c>
      <c r="F8" s="2196"/>
      <c r="G8" s="2196"/>
      <c r="H8" s="2196"/>
      <c r="I8" s="2197"/>
    </row>
    <row r="9" spans="1:12" ht="12.75">
      <c r="A9" s="2904"/>
      <c r="B9" s="2849"/>
      <c r="C9" s="2913"/>
      <c r="D9" s="2908"/>
      <c r="E9" s="55" t="s">
        <v>1783</v>
      </c>
      <c r="F9" s="2196"/>
      <c r="G9" s="2196"/>
      <c r="H9" s="2196"/>
      <c r="I9" s="2197"/>
    </row>
    <row r="10" spans="1:12" ht="12.75">
      <c r="A10" s="2904" t="s">
        <v>1784</v>
      </c>
      <c r="B10" s="2849">
        <v>15</v>
      </c>
      <c r="C10" s="2911"/>
      <c r="D10" s="2908"/>
      <c r="E10" s="55" t="s">
        <v>1785</v>
      </c>
      <c r="F10" s="2196"/>
      <c r="G10" s="2196"/>
      <c r="H10" s="2196"/>
      <c r="I10" s="2197"/>
    </row>
    <row r="11" spans="1:12" ht="12.75">
      <c r="A11" s="2904"/>
      <c r="B11" s="2849"/>
      <c r="C11" s="2913"/>
      <c r="D11" s="2908"/>
      <c r="E11" s="55" t="s">
        <v>1786</v>
      </c>
      <c r="F11" s="2196"/>
      <c r="G11" s="2196"/>
      <c r="H11" s="2196"/>
      <c r="I11" s="2197"/>
    </row>
    <row r="12" spans="1:12" ht="12.75">
      <c r="A12" s="2904" t="s">
        <v>1787</v>
      </c>
      <c r="B12" s="2849">
        <v>15</v>
      </c>
      <c r="C12" s="2911"/>
      <c r="D12" s="2908"/>
      <c r="E12" s="55" t="s">
        <v>1788</v>
      </c>
      <c r="F12" s="2196"/>
      <c r="G12" s="2196"/>
      <c r="H12" s="2196"/>
      <c r="I12" s="2197"/>
    </row>
    <row r="13" spans="1:12" ht="12.75">
      <c r="A13" s="2904"/>
      <c r="B13" s="2849"/>
      <c r="C13" s="2913"/>
      <c r="D13" s="2908"/>
      <c r="E13" s="55" t="s">
        <v>1789</v>
      </c>
      <c r="F13" s="2196"/>
      <c r="G13" s="2196"/>
      <c r="H13" s="2196"/>
      <c r="I13" s="2197"/>
    </row>
    <row r="14" spans="1:12" ht="12.75">
      <c r="A14" s="2904" t="s">
        <v>1790</v>
      </c>
      <c r="B14" s="2849">
        <v>30</v>
      </c>
      <c r="C14" s="2911">
        <v>1</v>
      </c>
      <c r="D14" s="2908">
        <v>9</v>
      </c>
      <c r="E14" s="55" t="s">
        <v>1791</v>
      </c>
      <c r="F14" s="2196"/>
      <c r="G14" s="2196"/>
      <c r="H14" s="2196"/>
      <c r="I14" s="2197"/>
    </row>
    <row r="15" spans="1:12" ht="12.75">
      <c r="A15" s="2904"/>
      <c r="B15" s="2849"/>
      <c r="C15" s="2912"/>
      <c r="D15" s="2908"/>
      <c r="E15" s="55" t="s">
        <v>1792</v>
      </c>
      <c r="F15" s="2196"/>
      <c r="G15" s="2196"/>
      <c r="H15" s="2196"/>
      <c r="I15" s="2197"/>
    </row>
    <row r="16" spans="1:12" ht="12.75">
      <c r="A16" s="2904"/>
      <c r="B16" s="2849"/>
      <c r="C16" s="2913"/>
      <c r="D16" s="2908"/>
      <c r="E16" s="55" t="s">
        <v>1793</v>
      </c>
      <c r="F16" s="2196"/>
      <c r="G16" s="2196"/>
      <c r="H16" s="2196"/>
      <c r="I16" s="2197"/>
    </row>
    <row r="17" spans="1:35" ht="15">
      <c r="A17" s="2198" t="s">
        <v>1794</v>
      </c>
      <c r="B17" s="2199"/>
      <c r="C17" s="56">
        <f>SUM(C5:C16)</f>
        <v>1</v>
      </c>
      <c r="D17" s="56">
        <f>SUM(D5:D16)</f>
        <v>9</v>
      </c>
      <c r="E17" s="2191"/>
      <c r="F17" s="2191"/>
      <c r="G17" s="2191"/>
      <c r="H17" s="2191"/>
      <c r="I17" s="2191"/>
    </row>
    <row r="18" spans="1:35" ht="15.75" thickBot="1">
      <c r="A18" s="2200" t="s">
        <v>1795</v>
      </c>
      <c r="B18" s="2201"/>
      <c r="C18" s="57">
        <f>ROUND(C17/SUM(C17:D17),2)</f>
        <v>0.1</v>
      </c>
      <c r="D18" s="57">
        <f>1-C18</f>
        <v>0.9</v>
      </c>
      <c r="E18" s="2191"/>
      <c r="F18" s="2191"/>
      <c r="G18" s="2191"/>
      <c r="H18" s="2191"/>
      <c r="I18" s="2191"/>
    </row>
    <row r="19" spans="1:35" ht="15">
      <c r="A19" s="2202" t="s">
        <v>1796</v>
      </c>
      <c r="B19" s="2203" t="s">
        <v>1797</v>
      </c>
      <c r="C19" s="58">
        <f ca="1">SUMIF(INDIRECT("'"&amp;C4&amp;"'"&amp;"!A:A"),结果表!B19,INDIRECT("'"&amp;C4&amp;"'"&amp;"!B:B"))</f>
        <v>2000203</v>
      </c>
      <c r="D19" s="59">
        <f ca="1">SUMIF(INDIRECT("'"&amp;D4&amp;"'"&amp;"!A:A"),结果表!B19,INDIRECT("'"&amp;D4&amp;"'"&amp;"!B:B"))</f>
        <v>4371791</v>
      </c>
      <c r="E19" s="2202" t="s">
        <v>1798</v>
      </c>
      <c r="F19" s="2203" t="s">
        <v>1797</v>
      </c>
      <c r="G19" s="60">
        <f ca="1">ROUND(C19*$C$18+D19*$D$18,0)</f>
        <v>4134632</v>
      </c>
      <c r="H19" s="2204" t="str">
        <f>'数据-取费表'!B3</f>
        <v>元</v>
      </c>
      <c r="I19" s="2191"/>
    </row>
    <row r="20" spans="1:35" ht="15">
      <c r="A20" s="2205"/>
      <c r="B20" s="2206" t="s">
        <v>1799</v>
      </c>
      <c r="C20" s="61">
        <f ca="1">SUMIF(INDIRECT("'"&amp;C4&amp;"'"&amp;"!A:A"),结果表!B20,INDIRECT("'"&amp;C4&amp;"'"&amp;"!B:B"))</f>
        <v>19287</v>
      </c>
      <c r="D20" s="62">
        <f ca="1">SUMIF(INDIRECT("'"&amp;D4&amp;"'"&amp;"!A:A"),结果表!B20,INDIRECT("'"&amp;D4&amp;"'"&amp;"!B:B"))</f>
        <v>42154</v>
      </c>
      <c r="E20" s="2205"/>
      <c r="F20" s="2206" t="s">
        <v>1799</v>
      </c>
      <c r="G20" s="63">
        <f ca="1">ROUND(C20*$C$18+D20*$D$18,0)</f>
        <v>39867</v>
      </c>
      <c r="H20" s="2207" t="s">
        <v>1800</v>
      </c>
      <c r="I20" s="2191"/>
    </row>
    <row r="21" spans="1:35" ht="15" customHeight="1" thickBot="1">
      <c r="A21" s="2208"/>
      <c r="B21" s="2209"/>
      <c r="C21" s="768"/>
      <c r="D21" s="769"/>
      <c r="E21" s="2208"/>
      <c r="F21" s="2209"/>
      <c r="G21" s="64"/>
      <c r="H21" s="2210"/>
      <c r="I21" s="2191"/>
    </row>
    <row r="22" spans="1:35" ht="15" thickBot="1">
      <c r="A22" s="2211" t="s">
        <v>1801</v>
      </c>
      <c r="B22" s="2212"/>
      <c r="C22" s="2213"/>
      <c r="D22" s="770">
        <f ca="1">IF(C19&lt;D19,D19/C19-1,C19/D19-1)</f>
        <v>1.1856736541241064</v>
      </c>
      <c r="E22" s="2191"/>
      <c r="F22" s="2191"/>
      <c r="G22" s="2191"/>
      <c r="H22" s="2191"/>
      <c r="I22" s="2191"/>
    </row>
    <row r="23" spans="1:35" ht="13.5" thickBot="1">
      <c r="A23" s="2191"/>
      <c r="B23" s="2191"/>
      <c r="C23" s="2191"/>
      <c r="D23" s="2191"/>
      <c r="E23" s="2191"/>
      <c r="F23" s="2191"/>
      <c r="G23" s="2191"/>
      <c r="H23" s="2191"/>
      <c r="I23" s="2191"/>
    </row>
    <row r="24" spans="1:35" ht="21.75" customHeight="1">
      <c r="A24" s="2917" t="s">
        <v>1802</v>
      </c>
      <c r="B24" s="2203" t="s">
        <v>1797</v>
      </c>
      <c r="C24" s="60">
        <f>D30</f>
        <v>0</v>
      </c>
      <c r="D24" s="992"/>
      <c r="E24" s="2191"/>
      <c r="F24" s="2191"/>
      <c r="G24" s="2191"/>
      <c r="H24" s="2191"/>
      <c r="I24" s="2191"/>
    </row>
    <row r="25" spans="1:35" ht="21.75" customHeight="1">
      <c r="A25" s="2918"/>
      <c r="B25" s="2206" t="s">
        <v>1799</v>
      </c>
      <c r="C25" s="65">
        <f>IF(B30=0,0,C30)</f>
        <v>0</v>
      </c>
      <c r="D25" s="2214"/>
      <c r="E25" s="2191"/>
      <c r="F25" s="2191"/>
      <c r="G25" s="2191"/>
      <c r="H25" s="2191"/>
      <c r="I25" s="2191"/>
    </row>
    <row r="26" spans="1:35" ht="13.5" customHeight="1">
      <c r="A26" s="2215" t="s">
        <v>1803</v>
      </c>
      <c r="B26" s="66" t="s">
        <v>1804</v>
      </c>
      <c r="C26" s="66" t="s">
        <v>1805</v>
      </c>
      <c r="D26" s="67" t="s">
        <v>1806</v>
      </c>
      <c r="E26" s="2191"/>
      <c r="F26" s="2191"/>
      <c r="G26" s="2191"/>
      <c r="H26" s="2191"/>
      <c r="I26" s="2191"/>
    </row>
    <row r="27" spans="1:35" ht="14.25">
      <c r="A27" s="2216"/>
      <c r="B27" s="66">
        <v>0</v>
      </c>
      <c r="C27" s="66">
        <v>0</v>
      </c>
      <c r="D27" s="67">
        <f>ROUND(C27*B27/10000,0)</f>
        <v>0</v>
      </c>
      <c r="E27" s="2191"/>
      <c r="F27" s="2191"/>
      <c r="G27" s="2191"/>
      <c r="H27" s="2191"/>
      <c r="I27" s="2191"/>
    </row>
    <row r="28" spans="1:35" ht="14.25">
      <c r="A28" s="2215"/>
      <c r="B28" s="66"/>
      <c r="C28" s="66"/>
      <c r="D28" s="67">
        <f>ROUND(C28*B28/10000,0)</f>
        <v>0</v>
      </c>
      <c r="E28" s="2191"/>
      <c r="F28" s="2191"/>
      <c r="G28" s="2191"/>
      <c r="H28" s="2191"/>
      <c r="I28" s="2191"/>
    </row>
    <row r="29" spans="1:35" ht="14.25">
      <c r="A29" s="2215"/>
      <c r="B29" s="66"/>
      <c r="C29" s="66"/>
      <c r="D29" s="67">
        <f>ROUND(C29*B29/10000,0)</f>
        <v>0</v>
      </c>
      <c r="E29" s="2191"/>
      <c r="F29" s="2191"/>
      <c r="G29" s="2191"/>
      <c r="H29" s="2191"/>
      <c r="I29" s="2191"/>
    </row>
    <row r="30" spans="1:35" ht="14.25">
      <c r="A30" s="66" t="s">
        <v>1807</v>
      </c>
      <c r="B30" s="66"/>
      <c r="C30" s="66"/>
      <c r="D30" s="66"/>
      <c r="E30" s="2711" t="s">
        <v>2810</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9" t="s">
        <v>1808</v>
      </c>
      <c r="B32" s="2220" t="str">
        <f>'数据-取费表'!B4</f>
        <v>总价</v>
      </c>
      <c r="C32" s="1140">
        <f ca="1">IF(B32="总价",G19-C24,G20-C25)</f>
        <v>4134632</v>
      </c>
      <c r="D32" s="2191" t="str">
        <f>IF(B32="楼面单价","元/平方米",H19)</f>
        <v>元</v>
      </c>
      <c r="E32" s="2191"/>
      <c r="F32" s="2191"/>
      <c r="G32" s="2191"/>
      <c r="H32" s="2191"/>
      <c r="I32" s="2191"/>
    </row>
    <row r="33" spans="1:16" ht="15">
      <c r="A33" s="2221" t="s">
        <v>1809</v>
      </c>
      <c r="B33" s="2222"/>
      <c r="C33" s="2223"/>
      <c r="D33" s="2224"/>
      <c r="E33" s="2225" t="s">
        <v>1810</v>
      </c>
      <c r="F33" s="2226" t="str">
        <f>IF(B32="楼面单价","取值（单价）","取值（总价）")</f>
        <v>取值（总价）</v>
      </c>
      <c r="G33" s="2191"/>
      <c r="H33" s="2191"/>
      <c r="I33" s="2191"/>
    </row>
    <row r="34" spans="1:16" ht="15">
      <c r="A34" s="2227"/>
      <c r="B34" s="2228" t="s">
        <v>1811</v>
      </c>
      <c r="C34" s="71">
        <f ca="1">IF(D33="自定义",F34,C32-C35)</f>
        <v>3262225</v>
      </c>
      <c r="D34" s="1086">
        <f ca="1">IF(D33="自定义",ROUND(C34/C32,3),1-D35)</f>
        <v>0.78900000000000003</v>
      </c>
      <c r="E34" s="2229" t="s">
        <v>1812</v>
      </c>
      <c r="F34" s="1823">
        <v>2000</v>
      </c>
      <c r="G34" s="2191"/>
      <c r="H34" s="2191"/>
      <c r="I34" s="2191"/>
    </row>
    <row r="35" spans="1:16" ht="15.75" thickBot="1">
      <c r="A35" s="2230"/>
      <c r="B35" s="2231" t="s">
        <v>1813</v>
      </c>
      <c r="C35" s="72">
        <f ca="1">IF(D33="自定义",F35,ROUND(C32*D35,0))</f>
        <v>872407</v>
      </c>
      <c r="D35" s="1085">
        <f ca="1">IF(D33="自定义",ROUND(C35/C32,3),IF(D33="成本法成本比率",成本法!C56,IF(D33="收益法收益比率",收益法!J38,收益法!J41)))</f>
        <v>0.21099999999999999</v>
      </c>
      <c r="E35" s="2232" t="s">
        <v>1814</v>
      </c>
      <c r="F35" s="78">
        <v>4460</v>
      </c>
      <c r="G35" s="2191"/>
      <c r="H35" s="2191"/>
      <c r="I35" s="2191"/>
    </row>
    <row r="36" spans="1:16" ht="15.75" thickBot="1">
      <c r="A36" s="2922" t="s">
        <v>1815</v>
      </c>
      <c r="B36" s="2233" t="s">
        <v>1816</v>
      </c>
      <c r="C36" s="68">
        <v>0</v>
      </c>
      <c r="D36" s="2234"/>
      <c r="E36" s="2235"/>
      <c r="F36" s="2235"/>
      <c r="G36" s="2191"/>
      <c r="H36" s="2191"/>
      <c r="I36" s="2191"/>
    </row>
    <row r="37" spans="1:16" ht="15.75" thickBot="1">
      <c r="A37" s="2923"/>
      <c r="B37" s="2236" t="s">
        <v>1817</v>
      </c>
      <c r="C37" s="70">
        <v>0</v>
      </c>
      <c r="D37" s="2201"/>
      <c r="E37" s="2201"/>
      <c r="F37" s="2235"/>
      <c r="G37" s="2201"/>
      <c r="H37" s="2201"/>
      <c r="I37" s="2201"/>
    </row>
    <row r="38" spans="1:16" ht="15.75" thickBot="1">
      <c r="A38" s="2924"/>
      <c r="B38" s="2237" t="s">
        <v>1818</v>
      </c>
      <c r="C38" s="710">
        <v>0</v>
      </c>
      <c r="D38" s="2238" t="s">
        <v>1819</v>
      </c>
      <c r="E38" s="2201"/>
      <c r="F38" s="2235"/>
      <c r="G38" s="2201"/>
      <c r="H38" s="2201"/>
      <c r="I38" s="2201"/>
    </row>
    <row r="39" spans="1:16" ht="15">
      <c r="A39" s="2205" t="s">
        <v>1820</v>
      </c>
      <c r="B39" s="2239" t="s">
        <v>1804</v>
      </c>
      <c r="C39" s="2240" t="s">
        <v>1805</v>
      </c>
      <c r="D39" s="2240" t="s">
        <v>1821</v>
      </c>
      <c r="E39" s="2241" t="s">
        <v>1806</v>
      </c>
      <c r="F39" s="2235"/>
      <c r="G39" s="2201"/>
      <c r="H39" s="2201"/>
      <c r="I39" s="2201"/>
    </row>
    <row r="40" spans="1:16" ht="14.25">
      <c r="A40" s="2242" t="s">
        <v>1822</v>
      </c>
      <c r="B40" s="73"/>
      <c r="C40" s="74"/>
      <c r="D40" s="74"/>
      <c r="E40" s="75"/>
      <c r="F40" s="2235"/>
      <c r="G40" s="2201"/>
      <c r="H40" s="2201"/>
      <c r="I40" s="2201"/>
    </row>
    <row r="41" spans="1:16" ht="14.25">
      <c r="A41" s="2242" t="s">
        <v>1823</v>
      </c>
      <c r="B41" s="73"/>
      <c r="C41" s="74"/>
      <c r="D41" s="74"/>
      <c r="E41" s="75"/>
      <c r="F41" s="2235"/>
      <c r="G41" s="2201"/>
      <c r="H41" s="2201"/>
      <c r="I41" s="2201"/>
    </row>
    <row r="42" spans="1:16" ht="15" thickBot="1">
      <c r="A42" s="2243"/>
      <c r="B42" s="76"/>
      <c r="C42" s="77"/>
      <c r="D42" s="77"/>
      <c r="E42" s="78"/>
      <c r="F42" s="2235"/>
      <c r="G42" s="2201"/>
      <c r="H42" s="2201"/>
      <c r="I42" s="2201"/>
    </row>
    <row r="43" spans="1:16" ht="12.75">
      <c r="A43" s="2244"/>
      <c r="B43" s="2244"/>
      <c r="C43" s="2244"/>
      <c r="D43" s="2244"/>
      <c r="E43" s="2244"/>
      <c r="F43" s="2245"/>
      <c r="G43" s="2245"/>
      <c r="H43" s="2245"/>
      <c r="I43" s="2246"/>
    </row>
    <row r="44" spans="1:16" ht="18.75">
      <c r="A44" s="2247" t="s">
        <v>1824</v>
      </c>
      <c r="B44" s="2248"/>
      <c r="C44" s="2248"/>
      <c r="D44" s="2249"/>
      <c r="E44" s="2249"/>
      <c r="F44" s="2250"/>
      <c r="G44" s="2250"/>
      <c r="H44" s="2250"/>
      <c r="I44" s="2250"/>
      <c r="J44" s="2251" t="s">
        <v>1825</v>
      </c>
      <c r="K44" s="2252"/>
      <c r="L44" s="2252"/>
      <c r="M44" s="2252"/>
      <c r="N44" s="2252"/>
      <c r="O44" s="2252"/>
      <c r="P44" s="1840"/>
    </row>
    <row r="45" spans="1:16" ht="14.25" customHeight="1" thickBot="1">
      <c r="A45" s="2927" t="s">
        <v>1826</v>
      </c>
      <c r="B45" s="2928"/>
      <c r="C45" s="2929"/>
      <c r="D45" s="79">
        <f ca="1">ROUND(I102*F45,0)</f>
        <v>4134632</v>
      </c>
      <c r="E45" s="80" t="s">
        <v>1827</v>
      </c>
      <c r="F45" s="81">
        <v>1</v>
      </c>
      <c r="G45" s="82" t="s">
        <v>1828</v>
      </c>
      <c r="H45" s="2191"/>
      <c r="I45" s="2191"/>
      <c r="J45" s="2839" t="s">
        <v>1829</v>
      </c>
      <c r="K45" s="2839"/>
      <c r="L45" s="2839"/>
      <c r="M45" s="2839"/>
      <c r="N45" s="2839"/>
      <c r="O45" s="2839"/>
      <c r="P45" s="1840"/>
    </row>
    <row r="46" spans="1:16" ht="14.25" customHeight="1">
      <c r="A46" s="2919" t="s">
        <v>1830</v>
      </c>
      <c r="B46" s="2920"/>
      <c r="C46" s="2920"/>
      <c r="D46" s="2920"/>
      <c r="E46" s="2920"/>
      <c r="F46" s="2920"/>
      <c r="G46" s="2921"/>
      <c r="H46" s="2253"/>
      <c r="I46" s="1139"/>
      <c r="J46" s="1878">
        <v>1</v>
      </c>
      <c r="K46" s="2839" t="s">
        <v>1831</v>
      </c>
      <c r="L46" s="2839"/>
      <c r="M46" s="2840" t="str">
        <f>项目基本情况!B1</f>
        <v>北京市房地产抵押价值预评估</v>
      </c>
      <c r="N46" s="2840"/>
      <c r="O46" s="2840"/>
      <c r="P46" s="1840"/>
    </row>
    <row r="47" spans="1:16" ht="12" customHeight="1">
      <c r="A47" s="84" t="s">
        <v>1832</v>
      </c>
      <c r="B47" s="85"/>
      <c r="C47" s="86"/>
      <c r="D47" s="87" t="s">
        <v>1833</v>
      </c>
      <c r="E47" s="14" t="s">
        <v>1834</v>
      </c>
      <c r="F47" s="88" t="s">
        <v>1835</v>
      </c>
      <c r="G47" s="89" t="s">
        <v>1836</v>
      </c>
      <c r="H47" s="2253"/>
      <c r="I47" s="1139"/>
      <c r="J47" s="1878">
        <v>2</v>
      </c>
      <c r="K47" s="2839" t="s">
        <v>1837</v>
      </c>
      <c r="L47" s="2839"/>
      <c r="M47" s="2841">
        <f>'数据-取费表'!B2</f>
        <v>43257</v>
      </c>
      <c r="N47" s="2841"/>
      <c r="O47" s="2841"/>
      <c r="P47" s="1840"/>
    </row>
    <row r="48" spans="1:16" ht="25.5">
      <c r="A48" s="2925" t="s">
        <v>1838</v>
      </c>
      <c r="B48" s="2926"/>
      <c r="C48" s="2926"/>
      <c r="D48" s="55">
        <f ca="1">IF(H48="情况1",0,IF(H48="情况2",D52,IF(H48="情况3",D53,IF(H48="情况4",D54))))</f>
        <v>216576</v>
      </c>
      <c r="E48" s="1888" t="str">
        <f>IF(H48="情况4","(销售额-原购置价)×税（费）率","销售额×税（费）率")</f>
        <v>销售额×税（费）率</v>
      </c>
      <c r="F48" s="90">
        <f>IF(H48="情况1","免征",'数据-取费表'!E29)</f>
        <v>5.5000000000000007E-2</v>
      </c>
      <c r="G48" s="2254" t="s">
        <v>1839</v>
      </c>
      <c r="H48" s="2255" t="s">
        <v>1840</v>
      </c>
      <c r="I48" s="2253"/>
      <c r="J48" s="1878">
        <v>3</v>
      </c>
      <c r="K48" s="2839" t="s">
        <v>1841</v>
      </c>
      <c r="L48" s="2839"/>
      <c r="M48" s="2840">
        <f ca="1">I102</f>
        <v>4134632</v>
      </c>
      <c r="N48" s="2840"/>
      <c r="O48" s="2840"/>
      <c r="P48" s="1840"/>
    </row>
    <row r="49" spans="1:16" ht="25.5" customHeight="1">
      <c r="A49" s="91" t="s">
        <v>1842</v>
      </c>
      <c r="B49" s="2906" t="s">
        <v>1843</v>
      </c>
      <c r="C49" s="2906"/>
      <c r="D49" s="92">
        <v>0</v>
      </c>
      <c r="E49" s="13" t="s">
        <v>1844</v>
      </c>
      <c r="F49" s="18" t="s">
        <v>48</v>
      </c>
      <c r="G49" s="2830"/>
      <c r="H49" s="2191"/>
      <c r="I49" s="2256"/>
      <c r="J49" s="1878">
        <v>4</v>
      </c>
      <c r="K49" s="2839" t="str">
        <f>IF(项目基本情况!F5="房地产抵押价值","房地产抵押价值","抵押担保权已注销时的房地产抵押价值")</f>
        <v>房地产抵押价值</v>
      </c>
      <c r="L49" s="2839"/>
      <c r="M49" s="2840">
        <f ca="1">IF(项目基本情况!F5="房地产抵押价值",I110,I112)</f>
        <v>4134632</v>
      </c>
      <c r="N49" s="2840"/>
      <c r="O49" s="2840"/>
      <c r="P49" s="1840"/>
    </row>
    <row r="50" spans="1:16" ht="25.5" customHeight="1">
      <c r="A50" s="93"/>
      <c r="B50" s="2906" t="s">
        <v>1845</v>
      </c>
      <c r="C50" s="2906"/>
      <c r="D50" s="94"/>
      <c r="E50" s="21"/>
      <c r="F50" s="95"/>
      <c r="G50" s="2831"/>
      <c r="H50" s="2191"/>
      <c r="I50" s="2256"/>
      <c r="J50" s="2839" t="s">
        <v>1846</v>
      </c>
      <c r="K50" s="2839"/>
      <c r="L50" s="2839"/>
      <c r="M50" s="2839"/>
      <c r="N50" s="2839"/>
      <c r="O50" s="2839"/>
      <c r="P50" s="1840"/>
    </row>
    <row r="51" spans="1:16" ht="12" customHeight="1">
      <c r="A51" s="96"/>
      <c r="B51" s="2906" t="s">
        <v>1847</v>
      </c>
      <c r="C51" s="2906"/>
      <c r="D51" s="97"/>
      <c r="E51" s="20"/>
      <c r="F51" s="95"/>
      <c r="G51" s="2832"/>
      <c r="H51" s="2191"/>
      <c r="I51" s="2256"/>
      <c r="J51" s="2257" t="s">
        <v>1848</v>
      </c>
      <c r="K51" s="2839" t="s">
        <v>1849</v>
      </c>
      <c r="L51" s="2839"/>
      <c r="M51" s="2257" t="s">
        <v>1850</v>
      </c>
      <c r="N51" s="2257" t="s">
        <v>1851</v>
      </c>
      <c r="O51" s="2257" t="s">
        <v>1852</v>
      </c>
      <c r="P51" s="1840"/>
    </row>
    <row r="52" spans="1:16" ht="24" customHeight="1">
      <c r="A52" s="98" t="s">
        <v>1853</v>
      </c>
      <c r="B52" s="2906" t="s">
        <v>1854</v>
      </c>
      <c r="C52" s="2906"/>
      <c r="D52" s="97">
        <f ca="1">ROUND(D45*'数据-取费表'!E29/(1+'数据-取费表'!F30),0)</f>
        <v>216576</v>
      </c>
      <c r="E52" s="10" t="s">
        <v>1855</v>
      </c>
      <c r="F52" s="99">
        <f>'数据-取费表'!E29</f>
        <v>5.5000000000000007E-2</v>
      </c>
      <c r="G52" s="2258"/>
      <c r="H52" s="2191"/>
      <c r="I52" s="2256"/>
      <c r="J52" s="1878">
        <v>1</v>
      </c>
      <c r="K52" s="2829" t="s">
        <v>1856</v>
      </c>
      <c r="L52" s="2829"/>
      <c r="M52" s="776">
        <f ca="1">D48</f>
        <v>216576</v>
      </c>
      <c r="N52" s="1878" t="str">
        <f>E48</f>
        <v>销售额×税（费）率</v>
      </c>
      <c r="O52" s="777">
        <f>F48</f>
        <v>5.5000000000000007E-2</v>
      </c>
      <c r="P52" s="1840"/>
    </row>
    <row r="53" spans="1:16" ht="12" customHeight="1">
      <c r="A53" s="98" t="s">
        <v>1857</v>
      </c>
      <c r="B53" s="2905" t="s">
        <v>1858</v>
      </c>
      <c r="C53" s="2799"/>
      <c r="D53" s="97">
        <f ca="1">ROUND(D45*'数据-取费表'!E29/(1+'数据-取费表'!F30),0)</f>
        <v>216576</v>
      </c>
      <c r="E53" s="10" t="s">
        <v>1855</v>
      </c>
      <c r="F53" s="99">
        <f>'数据-取费表'!E29</f>
        <v>5.5000000000000007E-2</v>
      </c>
      <c r="G53" s="2258"/>
      <c r="H53" s="2191"/>
      <c r="I53" s="2256"/>
      <c r="J53" s="1878">
        <v>2</v>
      </c>
      <c r="K53" s="2829" t="s">
        <v>1859</v>
      </c>
      <c r="L53" s="2829"/>
      <c r="M53" s="776">
        <f t="shared" ref="M53:O54" ca="1" si="0">D55</f>
        <v>2067</v>
      </c>
      <c r="N53" s="1878" t="str">
        <f t="shared" si="0"/>
        <v>销售额×税（费）率</v>
      </c>
      <c r="O53" s="777">
        <f t="shared" si="0"/>
        <v>5.0000000000000001E-4</v>
      </c>
      <c r="P53" s="1840"/>
    </row>
    <row r="54" spans="1:16" ht="12" customHeight="1">
      <c r="A54" s="98" t="s">
        <v>1860</v>
      </c>
      <c r="B54" s="2905" t="s">
        <v>1861</v>
      </c>
      <c r="C54" s="2799"/>
      <c r="D54" s="97">
        <f ca="1">C68</f>
        <v>216576</v>
      </c>
      <c r="E54" s="20" t="s">
        <v>1862</v>
      </c>
      <c r="F54" s="99">
        <f>'数据-取费表'!E29</f>
        <v>5.5000000000000007E-2</v>
      </c>
      <c r="G54" s="2258"/>
      <c r="H54" s="2259"/>
      <c r="I54" s="2256"/>
      <c r="J54" s="1878">
        <v>3</v>
      </c>
      <c r="K54" s="2829" t="s">
        <v>1863</v>
      </c>
      <c r="L54" s="2829"/>
      <c r="M54" s="776">
        <f t="shared" ca="1" si="0"/>
        <v>2343942</v>
      </c>
      <c r="N54" s="1878" t="str">
        <f t="shared" si="0"/>
        <v>增值额×税（费）率</v>
      </c>
      <c r="O54" s="778" t="str">
        <f t="shared" si="0"/>
        <v>——</v>
      </c>
      <c r="P54" s="1840"/>
    </row>
    <row r="55" spans="1:16" ht="24" customHeight="1">
      <c r="A55" s="2791" t="s">
        <v>1864</v>
      </c>
      <c r="B55" s="2926"/>
      <c r="C55" s="2926"/>
      <c r="D55" s="100">
        <f ca="1">IF(H55="个人住宅",0,ROUND(D45*I55,0))</f>
        <v>2067</v>
      </c>
      <c r="E55" s="10" t="s">
        <v>1865</v>
      </c>
      <c r="F55" s="99">
        <f>IF(H55="正常",I55,"免征")</f>
        <v>5.0000000000000001E-4</v>
      </c>
      <c r="G55" s="2258"/>
      <c r="H55" s="2255" t="s">
        <v>1866</v>
      </c>
      <c r="I55" s="101">
        <f>'数据-取费表'!E37</f>
        <v>5.0000000000000001E-4</v>
      </c>
      <c r="J55" s="1878">
        <f>IF(H59="非个人房产","",4)</f>
        <v>4</v>
      </c>
      <c r="K55" s="2829" t="str">
        <f>IF(H59="非个人房产","——","个人所得税")</f>
        <v>个人所得税</v>
      </c>
      <c r="L55" s="2829"/>
      <c r="M55" s="779">
        <f ca="1">D59</f>
        <v>41346</v>
      </c>
      <c r="N55" s="1881" t="str">
        <f>E59</f>
        <v>销售额×税（费）率</v>
      </c>
      <c r="O55" s="780">
        <f>F59</f>
        <v>0.01</v>
      </c>
      <c r="P55" s="1840"/>
    </row>
    <row r="56" spans="1:16" ht="24.75">
      <c r="A56" s="2791" t="s">
        <v>1867</v>
      </c>
      <c r="B56" s="2926"/>
      <c r="C56" s="2926"/>
      <c r="D56" s="100">
        <f ca="1">IF(H56="个人住宅",D57,D58)</f>
        <v>2343942</v>
      </c>
      <c r="E56" s="10" t="s">
        <v>1868</v>
      </c>
      <c r="F56" s="99" t="str">
        <f>IF(H56="正常",F58,"免征")</f>
        <v>——</v>
      </c>
      <c r="G56" s="2260" t="s">
        <v>1869</v>
      </c>
      <c r="H56" s="2261" t="s">
        <v>1866</v>
      </c>
      <c r="I56" s="1017"/>
      <c r="J56" s="1878" t="str">
        <f>IF(项目基本情况!I6="上海银行",IF(J55="",4,J55+1),"")</f>
        <v/>
      </c>
      <c r="K56" s="2846" t="str">
        <f>IF(项目基本情况!I6="上海银行","其他处置费用","")</f>
        <v/>
      </c>
      <c r="L56" s="2847"/>
      <c r="M56" s="776" t="str">
        <f>IF(项目基本情况!I6="上海银行",M69,"")</f>
        <v/>
      </c>
      <c r="N56" s="2827" t="str">
        <f>IF(项目基本情况!I6="上海银行","包含处置中涉及的律师、诉讼、拍卖、评估等费用","")</f>
        <v/>
      </c>
      <c r="O56" s="2828"/>
      <c r="P56" s="1840"/>
    </row>
    <row r="57" spans="1:16" ht="12.75">
      <c r="A57" s="98" t="s">
        <v>1842</v>
      </c>
      <c r="B57" s="2914" t="s">
        <v>1870</v>
      </c>
      <c r="C57" s="2916"/>
      <c r="D57" s="102">
        <v>0</v>
      </c>
      <c r="E57" s="13" t="s">
        <v>1844</v>
      </c>
      <c r="F57" s="69"/>
      <c r="G57" s="2258"/>
      <c r="H57" s="1017"/>
      <c r="I57" s="1017"/>
      <c r="J57" s="2829">
        <f>IF(AND(J55="",J56=""),4,IF(项目基本情况!I6="上海银行",J56+1,J55+1))</f>
        <v>5</v>
      </c>
      <c r="K57" s="2829" t="s">
        <v>1871</v>
      </c>
      <c r="L57" s="2262" t="s">
        <v>1872</v>
      </c>
      <c r="M57" s="781"/>
      <c r="N57" s="782">
        <f ca="1">SUMIF(M52:M56,"&lt;9e307")</f>
        <v>2603931</v>
      </c>
      <c r="O57" s="2263"/>
      <c r="P57" s="1836">
        <f ca="1">N57/M49</f>
        <v>0.62978543193203163</v>
      </c>
    </row>
    <row r="58" spans="1:16" ht="24.75">
      <c r="A58" s="98" t="s">
        <v>1853</v>
      </c>
      <c r="B58" s="2914" t="s">
        <v>1873</v>
      </c>
      <c r="C58" s="2915"/>
      <c r="D58" s="100">
        <f ca="1">IF(H58="转让取得",C81,C97)</f>
        <v>2343942</v>
      </c>
      <c r="E58" s="10" t="s">
        <v>1868</v>
      </c>
      <c r="F58" s="14" t="s">
        <v>48</v>
      </c>
      <c r="G58" s="2258"/>
      <c r="H58" s="2261" t="s">
        <v>1874</v>
      </c>
      <c r="I58" s="1017"/>
      <c r="J58" s="2829"/>
      <c r="K58" s="2829"/>
      <c r="L58" s="2262" t="s">
        <v>1875</v>
      </c>
      <c r="M58" s="783"/>
      <c r="N58" s="2264" t="str">
        <f ca="1">IF(H19="元",NUMBERSTRING(INT(N57),2)&amp;"元整",NUMBERSTRING(INT(N57*10000),2)&amp;"元整")</f>
        <v>贰佰陆拾万叁仟玖佰叁拾壹元整</v>
      </c>
      <c r="O58" s="2265"/>
      <c r="P58" s="1840"/>
    </row>
    <row r="59" spans="1:16" ht="26.25" thickBot="1">
      <c r="A59" s="2792" t="s">
        <v>1876</v>
      </c>
      <c r="B59" s="2795"/>
      <c r="C59" s="2795"/>
      <c r="D59" s="103">
        <f ca="1">IF(H59="非个人房产","——",IF(H59="个人住宅",0,ROUND(D45*I59,0)))</f>
        <v>41346</v>
      </c>
      <c r="E59" s="104" t="str">
        <f>IF(H59="非个人房产","——","销售额×税（费）率")</f>
        <v>销售额×税（费）率</v>
      </c>
      <c r="F59" s="105">
        <f>IF(H59="非个人房产","——",IF(H59="个人住宅","免征",I59))</f>
        <v>0.01</v>
      </c>
      <c r="G59" s="2266" t="s">
        <v>1869</v>
      </c>
      <c r="H59" s="2261" t="s">
        <v>1877</v>
      </c>
      <c r="I59" s="106">
        <v>0.01</v>
      </c>
      <c r="J59" s="2883">
        <f>J57+1</f>
        <v>6</v>
      </c>
      <c r="K59" s="2829" t="s">
        <v>1878</v>
      </c>
      <c r="L59" s="1878" t="s">
        <v>1872</v>
      </c>
      <c r="M59" s="784"/>
      <c r="N59" s="785">
        <f ca="1">M49-N57</f>
        <v>1530701</v>
      </c>
      <c r="O59" s="2267"/>
      <c r="P59" s="1840"/>
    </row>
    <row r="60" spans="1:16" ht="12" customHeight="1">
      <c r="A60" s="2062"/>
      <c r="B60" s="2191"/>
      <c r="C60" s="2191"/>
      <c r="D60" s="2191"/>
      <c r="E60" s="1017"/>
      <c r="F60" s="1017"/>
      <c r="G60" s="1017"/>
      <c r="H60" s="2244"/>
      <c r="I60" s="2191"/>
      <c r="J60" s="2884"/>
      <c r="K60" s="2829"/>
      <c r="L60" s="2262" t="s">
        <v>1875</v>
      </c>
      <c r="M60" s="783"/>
      <c r="N60" s="2264" t="str">
        <f ca="1">IF(H19="元",NUMBERSTRING(INT(N59),2)&amp;"元整",NUMBERSTRING(INT(N59*10000),2)&amp;"元整")</f>
        <v>壹佰伍拾叁万零柒佰零壹元整</v>
      </c>
      <c r="O60" s="2265"/>
      <c r="P60" s="1840"/>
    </row>
    <row r="61" spans="1:16" ht="13.5" thickBot="1">
      <c r="A61" s="2930" t="s">
        <v>1879</v>
      </c>
      <c r="B61" s="2930"/>
      <c r="C61" s="2930"/>
      <c r="D61" s="2930"/>
      <c r="E61" s="2930"/>
      <c r="F61" s="1017"/>
      <c r="G61" s="1017"/>
      <c r="H61" s="2244"/>
      <c r="I61" s="2191"/>
      <c r="J61" s="1878">
        <f>J59+1</f>
        <v>7</v>
      </c>
      <c r="K61" s="2829" t="s">
        <v>1880</v>
      </c>
      <c r="L61" s="2829"/>
      <c r="M61" s="786"/>
      <c r="N61" s="787">
        <f ca="1">IF(H19="元",ROUND(N59/项目基本情况!C12,0),ROUND(N59*10000/项目基本情况!C12,0))</f>
        <v>14759</v>
      </c>
      <c r="O61" s="2268"/>
      <c r="P61" s="1840"/>
    </row>
    <row r="62" spans="1:16" ht="12.75">
      <c r="A62" s="2867" t="s">
        <v>1881</v>
      </c>
      <c r="B62" s="2868"/>
      <c r="C62" s="1880"/>
      <c r="D62" s="1880" t="s">
        <v>1882</v>
      </c>
      <c r="E62" s="107" t="s">
        <v>1883</v>
      </c>
      <c r="F62" s="1017"/>
      <c r="G62" s="1017"/>
      <c r="H62" s="2244"/>
      <c r="I62" s="2191"/>
      <c r="J62" s="1840"/>
      <c r="K62" s="1840"/>
      <c r="L62" s="1840"/>
      <c r="M62" s="1840"/>
      <c r="N62" s="1840"/>
      <c r="O62" s="1840"/>
      <c r="P62" s="1840"/>
    </row>
    <row r="63" spans="1:16" ht="12.75">
      <c r="A63" s="108">
        <v>1</v>
      </c>
      <c r="B63" s="109" t="s">
        <v>1884</v>
      </c>
      <c r="C63" s="110">
        <f ca="1">ROUND((C64+C65)/(1+'数据-取费表'!F30),0)</f>
        <v>3937745</v>
      </c>
      <c r="D63" s="111"/>
      <c r="E63" s="112"/>
      <c r="F63" s="1017"/>
      <c r="G63" s="1017"/>
      <c r="H63" s="2244"/>
      <c r="I63" s="2191"/>
      <c r="J63" s="2848" t="s">
        <v>1885</v>
      </c>
      <c r="K63" s="2269" t="s">
        <v>1886</v>
      </c>
      <c r="L63" s="1839">
        <f ca="1">IF(M49&gt;10000,M49*0.5%,IF(AND(M49&gt;1000,M49&lt;=10000),M49*1%,IF(AND(M49&gt;100,M49&lt;=1000),M49*3%,IF(AND(M49&gt;10,M49&lt;=100),M49*5%,M49*8%))))</f>
        <v>20673.16</v>
      </c>
      <c r="M63" s="14">
        <f ca="1">ROUND(L63,1)</f>
        <v>20673.2</v>
      </c>
      <c r="N63" s="1840"/>
      <c r="O63" s="1840"/>
      <c r="P63" s="1840"/>
    </row>
    <row r="64" spans="1:16" ht="12.75">
      <c r="A64" s="113" t="s">
        <v>71</v>
      </c>
      <c r="B64" s="114" t="s">
        <v>1887</v>
      </c>
      <c r="C64" s="115">
        <f ca="1">D45</f>
        <v>4134632</v>
      </c>
      <c r="D64" s="116" t="s">
        <v>41</v>
      </c>
      <c r="E64" s="117"/>
      <c r="F64" s="1017"/>
      <c r="G64" s="1017"/>
      <c r="H64" s="2244"/>
      <c r="I64" s="2191"/>
      <c r="J64" s="2848"/>
      <c r="K64" s="2269" t="s">
        <v>1888</v>
      </c>
      <c r="L64" s="1839">
        <f ca="1">IF(M49&gt;2000,M49*0.5%,IF(AND(M49&gt;1000,M49&lt;=2000),M49*0.6%,IF(AND(M49&gt;500,M49&lt;=1000),M49*0.7%,IF(AND(M49&gt;200,M49&lt;=500),M49*0.8%,IF(AND(M49&gt;100,M49&lt;=200),M49*0.9%,IF(AND(M49&gt;50,M49&lt;=100),M49*1%,IF(AND(M49&gt;20,M49&lt;=50),M49*1.5%,IF(AND(M49&gt;10,M49&lt;=20),M49*2%,IF(AND(M49&gt;1,M49&lt;=10),M49*2.5%)))))))))</f>
        <v>20673.16</v>
      </c>
      <c r="M64" s="14">
        <f ca="1">ROUND(L64,1)</f>
        <v>20673.2</v>
      </c>
      <c r="N64" s="1840" t="s">
        <v>1889</v>
      </c>
      <c r="O64" s="1840"/>
      <c r="P64" s="1840"/>
    </row>
    <row r="65" spans="1:35" ht="12.75">
      <c r="A65" s="113" t="s">
        <v>72</v>
      </c>
      <c r="B65" s="114" t="s">
        <v>1890</v>
      </c>
      <c r="C65" s="118"/>
      <c r="D65" s="116"/>
      <c r="E65" s="117"/>
      <c r="F65" s="1017"/>
      <c r="G65" s="1017"/>
      <c r="H65" s="2244"/>
      <c r="I65" s="2191"/>
      <c r="J65" s="2848"/>
      <c r="K65" s="2269" t="s">
        <v>1891</v>
      </c>
      <c r="L65" s="1839">
        <f ca="1">IF(M49&gt;1000,M49*0.1%,IF(AND(M49&gt;500,M49&lt;=1000),M49*0.5%,IF(AND(M49&gt;50,M49&lt;=500),M49*1%,IF(AND(M49&gt;1,M49&lt;=50),M49*1.5%))))</f>
        <v>4134.6320000000005</v>
      </c>
      <c r="M65" s="14">
        <f ca="1">ROUND(L65,1)</f>
        <v>4134.6000000000004</v>
      </c>
      <c r="N65" s="1840" t="s">
        <v>1889</v>
      </c>
      <c r="O65" s="1840"/>
      <c r="P65" s="1840"/>
    </row>
    <row r="66" spans="1:35" ht="12.75">
      <c r="A66" s="119" t="s">
        <v>47</v>
      </c>
      <c r="B66" s="120" t="s">
        <v>1892</v>
      </c>
      <c r="C66" s="121"/>
      <c r="D66" s="122" t="s">
        <v>41</v>
      </c>
      <c r="E66" s="1856" t="s">
        <v>1893</v>
      </c>
      <c r="F66" s="1017"/>
      <c r="G66" s="1017"/>
      <c r="H66" s="2244"/>
      <c r="I66" s="2191"/>
      <c r="J66" s="2848"/>
      <c r="K66" s="2269" t="s">
        <v>1894</v>
      </c>
      <c r="L66" s="1839">
        <f ca="1">M49*0.5%</f>
        <v>20673.16</v>
      </c>
      <c r="M66" s="14">
        <f ca="1">IF(L66&gt;0.5,0.5,ROUND(L66,0))</f>
        <v>0.5</v>
      </c>
      <c r="N66" s="1840" t="s">
        <v>1895</v>
      </c>
      <c r="O66" s="1840"/>
      <c r="P66" s="1840"/>
    </row>
    <row r="67" spans="1:35" ht="12.75">
      <c r="A67" s="119" t="s">
        <v>42</v>
      </c>
      <c r="B67" s="120" t="s">
        <v>1896</v>
      </c>
      <c r="C67" s="123">
        <f ca="1">C63-C66</f>
        <v>3937745</v>
      </c>
      <c r="D67" s="116" t="s">
        <v>41</v>
      </c>
      <c r="E67" s="117"/>
      <c r="F67" s="1017"/>
      <c r="G67" s="1017"/>
      <c r="H67" s="2244"/>
      <c r="I67" s="2191"/>
      <c r="J67" s="2848"/>
      <c r="K67" s="2269" t="s">
        <v>1897</v>
      </c>
      <c r="L67" s="1839">
        <f ca="1">IF(M49&gt;=10000,(8.25+(M49-10000)*0.01%),IF(AND(M49&gt;=8000,M49&lt;10000),(7.85+(M49-8000)*0.02%),IF(AND(M49&gt;=5000,M49&lt;8000),(6.65+(M49-5000)*0.04%),IF(AND(M49&gt;=2000,M49&lt;5000),(4.25+(PM49-2000)*0.08%),IF(AND(M49&gt;=1000,M49&lt;2000),(2.75+(M49-1000)*0.15%),IF(AND(M49&gt;=100,M49&lt;1000),(0.5+(M49-100)*0.25%),IF(AND(M49&gt;0,M49&lt;100),M49*0.5%)))))))</f>
        <v>420.71320000000003</v>
      </c>
      <c r="M67" s="14">
        <f ca="1">ROUND(L67*0.9,1)</f>
        <v>378.6</v>
      </c>
      <c r="N67" s="1840"/>
      <c r="O67" s="1840"/>
      <c r="P67" s="1840"/>
    </row>
    <row r="68" spans="1:35" ht="13.5" thickBot="1">
      <c r="A68" s="124" t="s">
        <v>46</v>
      </c>
      <c r="B68" s="125" t="s">
        <v>1898</v>
      </c>
      <c r="C68" s="126">
        <f ca="1">IF(C67&lt;=0,0,ROUND(C67*D68,0))</f>
        <v>216576</v>
      </c>
      <c r="D68" s="127">
        <f>'数据-取费表'!E29</f>
        <v>5.5000000000000007E-2</v>
      </c>
      <c r="E68" s="128"/>
      <c r="F68" s="1017"/>
      <c r="G68" s="1017"/>
      <c r="H68" s="2244"/>
      <c r="I68" s="2191"/>
      <c r="J68" s="2848"/>
      <c r="K68" s="2269" t="s">
        <v>1899</v>
      </c>
      <c r="L68" s="1839">
        <f ca="1">IF(M49&gt;10000,M49*0.5%,IF(AND(M49&gt;5000,M49&lt;=10000),M49*1%,IF(AND(M49&gt;1000,M49&lt;=5000),M49*2%,IF(AND(M49&gt;200,M49&lt;=1000),M49*3%,M49*5%))))</f>
        <v>20673.16</v>
      </c>
      <c r="M68" s="14">
        <f ca="1">ROUND(L68,1)</f>
        <v>20673.2</v>
      </c>
      <c r="N68" s="1840"/>
      <c r="O68" s="1840"/>
      <c r="P68" s="1840"/>
    </row>
    <row r="69" spans="1:35" s="2218" customFormat="1" ht="7.5" customHeight="1">
      <c r="A69" s="2270"/>
      <c r="B69" s="2271"/>
      <c r="C69" s="2272"/>
      <c r="D69" s="2273"/>
      <c r="E69" s="2274"/>
      <c r="F69" s="1017"/>
      <c r="G69" s="1017"/>
      <c r="H69" s="2244"/>
      <c r="I69" s="2191"/>
      <c r="J69" s="2848"/>
      <c r="K69" s="2269" t="s">
        <v>1900</v>
      </c>
      <c r="L69" s="2275"/>
      <c r="M69" s="14">
        <f ca="1">ROUND(SUM(M63:M68),0)</f>
        <v>66533</v>
      </c>
      <c r="N69" s="1836">
        <f ca="1">M69/M49</f>
        <v>1.609163765965145E-2</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7" customFormat="1" ht="15" thickBot="1">
      <c r="A70" s="2869" t="s">
        <v>1901</v>
      </c>
      <c r="B70" s="2870"/>
      <c r="C70" s="2870"/>
      <c r="D70" s="2870"/>
      <c r="E70" s="2870"/>
      <c r="F70" s="2870"/>
      <c r="G70" s="2870"/>
      <c r="H70" s="2870"/>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867" t="s">
        <v>1881</v>
      </c>
      <c r="B71" s="2868"/>
      <c r="C71" s="1880"/>
      <c r="D71" s="1880" t="s">
        <v>1882</v>
      </c>
      <c r="E71" s="129" t="s">
        <v>1883</v>
      </c>
      <c r="F71" s="130"/>
      <c r="G71" s="130"/>
      <c r="H71" s="131"/>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2">
        <v>1</v>
      </c>
      <c r="B72" s="120" t="s">
        <v>1902</v>
      </c>
      <c r="C72" s="123">
        <f ca="1">ROUND(D45/(1+'数据-取费表'!F30),0)</f>
        <v>3937745</v>
      </c>
      <c r="D72" s="116" t="s">
        <v>41</v>
      </c>
      <c r="E72" s="12" t="s">
        <v>1903</v>
      </c>
      <c r="F72" s="1884"/>
      <c r="G72" s="1884"/>
      <c r="H72" s="133"/>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4">
        <v>2</v>
      </c>
      <c r="B73" s="88" t="s">
        <v>1904</v>
      </c>
      <c r="C73" s="123">
        <f ca="1">C74+C78</f>
        <v>19689</v>
      </c>
      <c r="D73" s="116" t="s">
        <v>41</v>
      </c>
      <c r="E73" s="1883"/>
      <c r="F73" s="1884"/>
      <c r="G73" s="1884"/>
      <c r="H73" s="133"/>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5" t="s">
        <v>73</v>
      </c>
      <c r="B74" s="114" t="s">
        <v>1905</v>
      </c>
      <c r="C74" s="116">
        <f>ROUND(IF(G77="2016年5月1日后购买",C75/(1+'数据-取费表'!F30)+C76+C77,C75+C76+C77),0)</f>
        <v>0</v>
      </c>
      <c r="D74" s="116" t="s">
        <v>41</v>
      </c>
      <c r="E74" s="1883"/>
      <c r="F74" s="1884"/>
      <c r="G74" s="1884"/>
      <c r="H74" s="133"/>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5" t="s">
        <v>74</v>
      </c>
      <c r="B75" s="114" t="s">
        <v>1906</v>
      </c>
      <c r="C75" s="136"/>
      <c r="D75" s="116" t="s">
        <v>41</v>
      </c>
      <c r="E75" s="137" t="s">
        <v>1907</v>
      </c>
      <c r="F75" s="2280" t="s">
        <v>1908</v>
      </c>
      <c r="G75" s="137" t="s">
        <v>1909</v>
      </c>
      <c r="H75" s="138"/>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5" t="s">
        <v>75</v>
      </c>
      <c r="B76" s="139" t="s">
        <v>1910</v>
      </c>
      <c r="C76" s="116">
        <f>IF(F75="购房发票",ROUND(C75*H75*D76,0),0)</f>
        <v>0</v>
      </c>
      <c r="D76" s="140">
        <v>0.05</v>
      </c>
      <c r="E76" s="2905" t="s">
        <v>1911</v>
      </c>
      <c r="F76" s="2906"/>
      <c r="G76" s="2906"/>
      <c r="H76" s="2907"/>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5" t="s">
        <v>76</v>
      </c>
      <c r="B77" s="114" t="s">
        <v>1912</v>
      </c>
      <c r="C77" s="116">
        <f>ROUND(IF(G77="个人住宅",0,IF(G77="2016年5月1日前购买",C75*D77,C75*D77/(1+'数据-取费表'!F30))),0)</f>
        <v>0</v>
      </c>
      <c r="D77" s="141">
        <f>'数据-取费表'!E36+'数据-取费表'!E37</f>
        <v>3.0499999999999999E-2</v>
      </c>
      <c r="E77" s="12" t="s">
        <v>1913</v>
      </c>
      <c r="F77" s="142"/>
      <c r="G77" s="2281" t="s">
        <v>1914</v>
      </c>
      <c r="H77" s="1885"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5" t="s">
        <v>77</v>
      </c>
      <c r="B78" s="114" t="s">
        <v>1915</v>
      </c>
      <c r="C78" s="143">
        <f ca="1">ROUND(D45*D78/(1+'数据-取费表'!F30),0)</f>
        <v>19689</v>
      </c>
      <c r="D78" s="144">
        <f>'数据-取费表'!E31</f>
        <v>5.000000000000001E-3</v>
      </c>
      <c r="E78" s="2836" t="s">
        <v>1916</v>
      </c>
      <c r="F78" s="2837"/>
      <c r="G78" s="2837"/>
      <c r="H78" s="2857"/>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5" t="s">
        <v>42</v>
      </c>
      <c r="B79" s="120" t="s">
        <v>1917</v>
      </c>
      <c r="C79" s="123">
        <f ca="1">C72-C73</f>
        <v>3918056</v>
      </c>
      <c r="D79" s="116" t="s">
        <v>41</v>
      </c>
      <c r="E79" s="1883"/>
      <c r="F79" s="1884"/>
      <c r="G79" s="1884"/>
      <c r="H79" s="133"/>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5" t="s">
        <v>43</v>
      </c>
      <c r="B80" s="120" t="s">
        <v>1918</v>
      </c>
      <c r="C80" s="146">
        <f ca="1">IF(C79&lt;=0,0,C79/C73)</f>
        <v>198.99720656203971</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3"/>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7" t="s">
        <v>44</v>
      </c>
      <c r="B81" s="125" t="s">
        <v>1919</v>
      </c>
      <c r="C81" s="148">
        <f ca="1">ROUND(IF(C79&lt;=0,0,IF(C80&gt;=200%,C79*60%-C73*35%,IF(C80&gt;=100%,C79*50%-C73*15%,IF(C80&gt;=50%,C79*40%-C73*5%,IF(C80&lt;50%,C79*30%,0))))),0)</f>
        <v>2343942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869" t="s">
        <v>1920</v>
      </c>
      <c r="B83" s="2870"/>
      <c r="C83" s="2870"/>
      <c r="D83" s="2870"/>
      <c r="E83" s="2870"/>
      <c r="F83" s="2870"/>
      <c r="G83" s="2870"/>
      <c r="H83" s="2870"/>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867" t="s">
        <v>1881</v>
      </c>
      <c r="B84" s="2868"/>
      <c r="C84" s="1880"/>
      <c r="D84" s="1880" t="s">
        <v>1882</v>
      </c>
      <c r="E84" s="129" t="s">
        <v>1883</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2">
        <v>1</v>
      </c>
      <c r="B85" s="120" t="s">
        <v>1902</v>
      </c>
      <c r="C85" s="123">
        <f ca="1">ROUND(D45/(1+'数据-取费表'!F30),0)</f>
        <v>3937745</v>
      </c>
      <c r="D85" s="116" t="s">
        <v>41</v>
      </c>
      <c r="E85" s="1883" t="s">
        <v>1903</v>
      </c>
      <c r="F85" s="1884"/>
      <c r="G85" s="1884"/>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4">
        <v>2</v>
      </c>
      <c r="B86" s="88" t="s">
        <v>1904</v>
      </c>
      <c r="C86" s="123">
        <f ca="1">IF(H88="仅含出让金",C87+C90+C91+C92+C93+C94,C87+C91+C92+C93+C94)</f>
        <v>19689</v>
      </c>
      <c r="D86" s="155"/>
      <c r="E86" s="1883"/>
      <c r="F86" s="1884"/>
      <c r="G86" s="1884"/>
      <c r="H86" s="154"/>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t="s">
        <v>73</v>
      </c>
      <c r="B87" s="114" t="s">
        <v>1921</v>
      </c>
      <c r="C87" s="143">
        <f>C88+C89</f>
        <v>0</v>
      </c>
      <c r="D87" s="144"/>
      <c r="E87" s="1876"/>
      <c r="F87" s="1877"/>
      <c r="G87" s="1877"/>
      <c r="H87" s="1879"/>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5" t="s">
        <v>74</v>
      </c>
      <c r="B88" s="114" t="s">
        <v>1922</v>
      </c>
      <c r="C88" s="156"/>
      <c r="D88" s="144"/>
      <c r="E88" s="157" t="s">
        <v>1923</v>
      </c>
      <c r="F88" s="1877"/>
      <c r="G88" s="158" t="s">
        <v>1924</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5" t="s">
        <v>75</v>
      </c>
      <c r="B89" s="114" t="s">
        <v>1912</v>
      </c>
      <c r="C89" s="143">
        <f>ROUND(C88*D89,0)</f>
        <v>0</v>
      </c>
      <c r="D89" s="144">
        <f>'数据-取费表'!E36+'数据-取费表'!E37</f>
        <v>3.0499999999999999E-2</v>
      </c>
      <c r="E89" s="157" t="s">
        <v>1925</v>
      </c>
      <c r="F89" s="1877"/>
      <c r="G89" s="1877"/>
      <c r="H89" s="1879"/>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5" t="s">
        <v>77</v>
      </c>
      <c r="B90" s="114" t="s">
        <v>1926</v>
      </c>
      <c r="C90" s="156"/>
      <c r="D90" s="144"/>
      <c r="E90" s="157" t="str">
        <f>IF(H88="-","土地取得成本中已包含该笔费用"," ")</f>
        <v xml:space="preserve"> </v>
      </c>
      <c r="F90" s="1877"/>
      <c r="G90" s="1877"/>
      <c r="H90" s="1879"/>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5" t="s">
        <v>78</v>
      </c>
      <c r="B91" s="114" t="s">
        <v>1927</v>
      </c>
      <c r="C91" s="143">
        <f>IF(H91="——",成本法!C33,I91)</f>
        <v>0</v>
      </c>
      <c r="D91" s="144"/>
      <c r="E91" s="2836" t="s">
        <v>1928</v>
      </c>
      <c r="F91" s="2837"/>
      <c r="G91" s="2837"/>
      <c r="H91" s="2284" t="s">
        <v>1929</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5" t="s">
        <v>79</v>
      </c>
      <c r="B92" s="114" t="s">
        <v>1930</v>
      </c>
      <c r="C92" s="143">
        <f>ROUND((C87+C90+C91)*D92,0)</f>
        <v>0</v>
      </c>
      <c r="D92" s="144">
        <v>0.1</v>
      </c>
      <c r="E92" s="2836" t="s">
        <v>1931</v>
      </c>
      <c r="F92" s="2837"/>
      <c r="G92" s="2837"/>
      <c r="H92" s="2857"/>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5" t="s">
        <v>80</v>
      </c>
      <c r="B93" s="114" t="s">
        <v>1915</v>
      </c>
      <c r="C93" s="143">
        <f ca="1">ROUND(D45*D93/(1+'数据-取费表'!F30),0)</f>
        <v>19689</v>
      </c>
      <c r="D93" s="144">
        <f>'数据-取费表'!E31</f>
        <v>5.000000000000001E-3</v>
      </c>
      <c r="E93" s="2836" t="s">
        <v>1916</v>
      </c>
      <c r="F93" s="2837"/>
      <c r="G93" s="2837"/>
      <c r="H93" s="285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5" t="s">
        <v>81</v>
      </c>
      <c r="B94" s="114" t="s">
        <v>1932</v>
      </c>
      <c r="C94" s="143">
        <f>ROUND((C87+C90+C91)*D94,0)</f>
        <v>0</v>
      </c>
      <c r="D94" s="144">
        <v>0.2</v>
      </c>
      <c r="E94" s="2836" t="s">
        <v>1933</v>
      </c>
      <c r="F94" s="2837"/>
      <c r="G94" s="2837"/>
      <c r="H94" s="285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5" t="s">
        <v>42</v>
      </c>
      <c r="B95" s="120" t="s">
        <v>1917</v>
      </c>
      <c r="C95" s="123">
        <f ca="1">ROUND(C85-C86,0)</f>
        <v>3918056</v>
      </c>
      <c r="D95" s="116" t="s">
        <v>41</v>
      </c>
      <c r="E95" s="1883"/>
      <c r="F95" s="1884"/>
      <c r="G95" s="1884"/>
      <c r="H95" s="154"/>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5" t="s">
        <v>43</v>
      </c>
      <c r="B96" s="120" t="s">
        <v>1918</v>
      </c>
      <c r="C96" s="146">
        <f ca="1">IF(C95&lt;=0,0,C95/C86)</f>
        <v>198.99720656203971</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4"/>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7" t="s">
        <v>44</v>
      </c>
      <c r="B97" s="125" t="s">
        <v>1919</v>
      </c>
      <c r="C97" s="148">
        <f ca="1">ROUND(IF(C95&lt;=0,0,IF(C96&gt;=200%,C95*60%-C86*35%,IF(C96&gt;=100%,C95*50%-C86*15%,IF(C96&gt;=50%,C95*40%-C86*5%,IF(C96&lt;50%,C95*30%,0))))),0)</f>
        <v>2343942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1934</v>
      </c>
      <c r="B98" s="2191"/>
      <c r="C98" s="2191"/>
      <c r="D98" s="2191"/>
      <c r="E98" s="1017"/>
      <c r="F98" s="1017"/>
      <c r="G98" s="1017"/>
      <c r="H98" s="2244"/>
      <c r="I98" s="2191"/>
    </row>
    <row r="99" spans="1:35" ht="15.75">
      <c r="A99" s="2854" t="s">
        <v>1935</v>
      </c>
      <c r="B99" s="2855"/>
      <c r="C99" s="2855"/>
      <c r="D99" s="2856"/>
      <c r="E99" s="2191"/>
      <c r="F99" s="2864" t="s">
        <v>1936</v>
      </c>
      <c r="G99" s="2865"/>
      <c r="H99" s="2865"/>
      <c r="I99" s="2866"/>
    </row>
    <row r="100" spans="1:35" ht="15.75">
      <c r="A100" s="2871" t="s">
        <v>1937</v>
      </c>
      <c r="B100" s="2872"/>
      <c r="C100" s="718" t="str">
        <f>C4</f>
        <v>收益法</v>
      </c>
      <c r="D100" s="719" t="str">
        <f>D4</f>
        <v>比较法-住宅</v>
      </c>
      <c r="E100" s="2191"/>
      <c r="F100" s="2873" t="s">
        <v>1938</v>
      </c>
      <c r="G100" s="2875"/>
      <c r="H100" s="2873" t="s">
        <v>1939</v>
      </c>
      <c r="I100" s="2874"/>
    </row>
    <row r="101" spans="1:35" ht="15.75">
      <c r="A101" s="2893" t="s">
        <v>1940</v>
      </c>
      <c r="B101" s="2286" t="str">
        <f>IF(H19="元","总价（元）","总价（万元）")</f>
        <v>总价（元）</v>
      </c>
      <c r="C101" s="718">
        <f ca="1">C19</f>
        <v>2000203</v>
      </c>
      <c r="D101" s="719">
        <f ca="1">D19</f>
        <v>4371791</v>
      </c>
      <c r="E101" s="2191"/>
      <c r="F101" s="2873" t="str">
        <f>项目基本情况!I1</f>
        <v>北京市房地产</v>
      </c>
      <c r="G101" s="2875"/>
      <c r="H101" s="2934">
        <f>项目基本情况!C12</f>
        <v>103.71</v>
      </c>
      <c r="I101" s="2874"/>
    </row>
    <row r="102" spans="1:35" ht="15.75">
      <c r="A102" s="2893"/>
      <c r="B102" s="2286" t="s">
        <v>1941</v>
      </c>
      <c r="C102" s="720">
        <f ca="1">C20</f>
        <v>19287</v>
      </c>
      <c r="D102" s="721">
        <f ca="1">D20</f>
        <v>42154</v>
      </c>
      <c r="E102" s="2191"/>
      <c r="F102" s="2948" t="s">
        <v>1942</v>
      </c>
      <c r="G102" s="2949"/>
      <c r="H102" s="2287" t="str">
        <f>C106</f>
        <v>总价（元）</v>
      </c>
      <c r="I102" s="1857">
        <f ca="1">H121</f>
        <v>4134632</v>
      </c>
    </row>
    <row r="103" spans="1:35" ht="15">
      <c r="A103" s="2893" t="s">
        <v>1943</v>
      </c>
      <c r="B103" s="2288" t="str">
        <f>B101</f>
        <v>总价（元）</v>
      </c>
      <c r="C103" s="722">
        <f ca="1">H121</f>
        <v>4134632</v>
      </c>
      <c r="D103" s="723"/>
      <c r="E103" s="2191"/>
      <c r="F103" s="2948"/>
      <c r="G103" s="2949"/>
      <c r="H103" s="2287" t="s">
        <v>1941</v>
      </c>
      <c r="I103" s="1045">
        <f ca="1">I121</f>
        <v>39867</v>
      </c>
    </row>
    <row r="104" spans="1:35" ht="16.5" thickBot="1">
      <c r="A104" s="2894"/>
      <c r="B104" s="2289" t="s">
        <v>1941</v>
      </c>
      <c r="C104" s="724">
        <f ca="1">I121</f>
        <v>39867</v>
      </c>
      <c r="D104" s="725"/>
      <c r="E104" s="2191"/>
      <c r="F104" s="2860"/>
      <c r="G104" s="2861"/>
      <c r="H104" s="2895"/>
      <c r="I104" s="2896"/>
    </row>
    <row r="105" spans="1:35" ht="15.75">
      <c r="A105" s="2854" t="s">
        <v>1944</v>
      </c>
      <c r="B105" s="2855"/>
      <c r="C105" s="2855"/>
      <c r="D105" s="2856"/>
      <c r="E105" s="2191"/>
      <c r="F105" s="2899" t="s">
        <v>1945</v>
      </c>
      <c r="G105" s="2900"/>
      <c r="H105" s="2290" t="str">
        <f>C108</f>
        <v>总额（元）</v>
      </c>
      <c r="I105" s="1857">
        <f>SUMIF(I106:I108,"&lt;9E307")</f>
        <v>0</v>
      </c>
    </row>
    <row r="106" spans="1:35" ht="15">
      <c r="A106" s="2901" t="s">
        <v>1946</v>
      </c>
      <c r="B106" s="2902"/>
      <c r="C106" s="2287" t="str">
        <f>B101</f>
        <v>总价（元）</v>
      </c>
      <c r="D106" s="1046">
        <f ca="1">H121</f>
        <v>4134632</v>
      </c>
      <c r="E106" s="2191"/>
      <c r="F106" s="2862" t="s">
        <v>1947</v>
      </c>
      <c r="G106" s="2863"/>
      <c r="H106" s="2290" t="str">
        <f>C109</f>
        <v>总额（元）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01"/>
      <c r="B107" s="2902"/>
      <c r="C107" s="2287" t="s">
        <v>1941</v>
      </c>
      <c r="D107" s="1047">
        <f ca="1">I121</f>
        <v>39867</v>
      </c>
      <c r="E107" s="2191"/>
      <c r="F107" s="2862" t="s">
        <v>1948</v>
      </c>
      <c r="G107" s="2863"/>
      <c r="H107" s="2290" t="str">
        <f>C110</f>
        <v>总额（元）</v>
      </c>
      <c r="I107" s="1045">
        <f>C37</f>
        <v>0</v>
      </c>
      <c r="K107" s="2291"/>
    </row>
    <row r="108" spans="1:35" ht="15">
      <c r="A108" s="2944" t="s">
        <v>1949</v>
      </c>
      <c r="B108" s="2945"/>
      <c r="C108" s="2290" t="str">
        <f>IF(H19="元","总额（元）","总额（万元）")</f>
        <v>总额（元）</v>
      </c>
      <c r="D108" s="1046">
        <f>IF(D36="正常操作",I106+I107+I108,I107+I108)</f>
        <v>0</v>
      </c>
      <c r="E108" s="2191"/>
      <c r="F108" s="2862" t="s">
        <v>1950</v>
      </c>
      <c r="G108" s="2863"/>
      <c r="H108" s="2290" t="str">
        <f>C111</f>
        <v>总额（元）</v>
      </c>
      <c r="I108" s="1045">
        <f>C38</f>
        <v>0</v>
      </c>
    </row>
    <row r="109" spans="1:35" ht="15.75">
      <c r="A109" s="2862" t="s">
        <v>1947</v>
      </c>
      <c r="B109" s="2863"/>
      <c r="C109" s="2290" t="str">
        <f>C108</f>
        <v>总额（元）</v>
      </c>
      <c r="D109" s="636">
        <f>IF(D36="同一抵押权人同一抵押物续贷",C36&amp;"（未扣减，详见特别提示）",C36)</f>
        <v>0</v>
      </c>
      <c r="E109" s="2191"/>
      <c r="F109" s="2860"/>
      <c r="G109" s="2861"/>
      <c r="H109" s="2897"/>
      <c r="I109" s="2898"/>
    </row>
    <row r="110" spans="1:35" ht="28.5" customHeight="1">
      <c r="A110" s="2862" t="s">
        <v>1948</v>
      </c>
      <c r="B110" s="2863"/>
      <c r="C110" s="2290" t="str">
        <f>C108</f>
        <v>总额（元）</v>
      </c>
      <c r="D110" s="636">
        <f>C37</f>
        <v>0</v>
      </c>
      <c r="E110" s="2191"/>
      <c r="F110" s="2842" t="str">
        <f>IF(项目基本情况!F5="已注销","——","3.房地产抵押价值")</f>
        <v>3.房地产抵押价值</v>
      </c>
      <c r="G110" s="2843"/>
      <c r="H110" s="2292" t="str">
        <f>C112</f>
        <v>总价（元）</v>
      </c>
      <c r="I110" s="1858">
        <f ca="1">IF(F110="——","——",I102-I105)</f>
        <v>4134632</v>
      </c>
    </row>
    <row r="111" spans="1:35" ht="15">
      <c r="A111" s="2862" t="s">
        <v>1950</v>
      </c>
      <c r="B111" s="2863"/>
      <c r="C111" s="2290" t="str">
        <f>C108</f>
        <v>总额（元）</v>
      </c>
      <c r="D111" s="636">
        <f>C38</f>
        <v>0</v>
      </c>
      <c r="E111" s="2191"/>
      <c r="F111" s="2844"/>
      <c r="G111" s="2845"/>
      <c r="H111" s="2287" t="s">
        <v>1941</v>
      </c>
      <c r="I111" s="2293">
        <f ca="1">D113</f>
        <v>39867</v>
      </c>
    </row>
    <row r="112" spans="1:35" ht="26.25" customHeight="1">
      <c r="A112" s="2901" t="str">
        <f>IF(项目基本情况!F5="已注销","——","3.房地产抵押价值")</f>
        <v>3.房地产抵押价值</v>
      </c>
      <c r="B112" s="2902"/>
      <c r="C112" s="2287" t="str">
        <f>B101</f>
        <v>总价（元）</v>
      </c>
      <c r="D112" s="1046">
        <f ca="1">IF(A112="——","——",D106-D108)</f>
        <v>4134632</v>
      </c>
      <c r="E112" s="2191"/>
      <c r="F112" s="2842" t="str">
        <f>IF(项目基本情况!F5="已注销及未注销","4.抵押担保权已注销时的房地产抵押价值",IF(项目基本情况!F5="已注销","3.抵押担保权已注销时的房地产抵押价值","——"))</f>
        <v>——</v>
      </c>
      <c r="G112" s="2843"/>
      <c r="H112" s="2292" t="str">
        <f>C114</f>
        <v>总价（元）</v>
      </c>
      <c r="I112" s="1858" t="str">
        <f>IF(F112="——","——",I102-I107-I108)</f>
        <v>——</v>
      </c>
    </row>
    <row r="113" spans="1:15" ht="15">
      <c r="A113" s="2901"/>
      <c r="B113" s="2902"/>
      <c r="C113" s="2287" t="s">
        <v>1941</v>
      </c>
      <c r="D113" s="1047">
        <f ca="1">ROUND(IF(D112=D106,D107,IF(H19="元",D112/项目基本情况!C12,D112*10000/项目基本情况!C12)),0)</f>
        <v>39867</v>
      </c>
      <c r="E113" s="2191"/>
      <c r="F113" s="2844"/>
      <c r="G113" s="2845"/>
      <c r="H113" s="2287" t="s">
        <v>1941</v>
      </c>
      <c r="I113" s="2294" t="str">
        <f>D115</f>
        <v>——</v>
      </c>
    </row>
    <row r="114" spans="1:15" ht="15.75">
      <c r="A114" s="2901" t="str">
        <f>IF(项目基本情况!F5="已注销及未注销","4.抵押担保权已注销时的房地产抵押价值",IF(项目基本情况!F5="已注销","3.抵押担保权已注销时的房地产抵押价值","——"))</f>
        <v>——</v>
      </c>
      <c r="B114" s="2902"/>
      <c r="C114" s="2287" t="str">
        <f>B101</f>
        <v>总价（元）</v>
      </c>
      <c r="D114" s="1046" t="str">
        <f>IF(A114="——","——",D106-D110-D111)</f>
        <v>——</v>
      </c>
      <c r="E114" s="2191"/>
      <c r="F114" s="2842" t="str">
        <f>IF(项目基本情况!G5="抵押净值",IF(OR(项目基本情况!F5="已注销",项目基本情况!F5="房地产抵押价值"),"4.抵押净值","5.抵押净值"),"——")</f>
        <v>——</v>
      </c>
      <c r="G114" s="2843"/>
      <c r="H114" s="2287" t="str">
        <f>C116</f>
        <v>总价（元）</v>
      </c>
      <c r="I114" s="1857" t="str">
        <f>IF(F114="——","——",N59)</f>
        <v>——</v>
      </c>
    </row>
    <row r="115" spans="1:15" ht="15.75" thickBot="1">
      <c r="A115" s="2901"/>
      <c r="B115" s="2902"/>
      <c r="C115" s="2287" t="s">
        <v>1941</v>
      </c>
      <c r="D115" s="1047" t="str">
        <f>IF(A114="——","——",ROUND(IF(D114=D106,D107,IF(H19="元",D114/项目基本情况!C12,D114*10000/项目基本情况!C12)),0))</f>
        <v>——</v>
      </c>
      <c r="E115" s="2191"/>
      <c r="F115" s="2935"/>
      <c r="G115" s="2936"/>
      <c r="H115" s="2295" t="s">
        <v>1941</v>
      </c>
      <c r="I115" s="1859" t="str">
        <f ca="1">D117</f>
        <v>——</v>
      </c>
    </row>
    <row r="116" spans="1:15" ht="15.75">
      <c r="A116" s="2901" t="str">
        <f>IF(项目基本情况!G5="抵押净值",IF(OR(项目基本情况!F5="已注销",项目基本情况!F5="房地产抵押价值"),"4.抵押净值","5.抵押净值"),"——")</f>
        <v>——</v>
      </c>
      <c r="B116" s="2902"/>
      <c r="C116" s="2287" t="str">
        <f>B101</f>
        <v>总价（元）</v>
      </c>
      <c r="D116" s="1046" t="str">
        <f>IF(A116="——","——",N59)</f>
        <v>——</v>
      </c>
      <c r="E116" s="2191"/>
      <c r="F116" s="2838"/>
      <c r="G116" s="2838"/>
      <c r="H116" s="2880"/>
      <c r="I116" s="2880"/>
      <c r="N116" s="54"/>
      <c r="O116" s="54"/>
    </row>
    <row r="117" spans="1:15" ht="15.75" thickBot="1">
      <c r="A117" s="2942"/>
      <c r="B117" s="2943"/>
      <c r="C117" s="2295" t="s">
        <v>1941</v>
      </c>
      <c r="D117" s="1048" t="str">
        <f ca="1">IF(D116=D112,D113,IF(A116="——","——",N61))</f>
        <v>——</v>
      </c>
      <c r="E117" s="2191"/>
      <c r="F117" s="2932" t="str">
        <f>IF(B32="总价","（以上估价结果中单价为总价除以建筑面积得出）","（以上估价结果中总价为楼面单价乘以建筑面积得出）")</f>
        <v>（以上估价结果中单价为总价除以建筑面积得出）</v>
      </c>
      <c r="G117" s="2932"/>
      <c r="H117" s="2932"/>
      <c r="I117" s="2932"/>
      <c r="N117" s="54"/>
      <c r="O117" s="54"/>
    </row>
    <row r="118" spans="1:15" ht="15">
      <c r="A118" s="2881" t="s">
        <v>1951</v>
      </c>
      <c r="B118" s="2882"/>
      <c r="C118" s="2882"/>
      <c r="D118" s="2882"/>
      <c r="E118" s="2882"/>
      <c r="F118" s="2882"/>
      <c r="G118" s="2882"/>
      <c r="H118" s="2882"/>
      <c r="I118" s="2882"/>
    </row>
    <row r="119" spans="1:15" ht="14.25">
      <c r="A119" s="2853" t="s">
        <v>1952</v>
      </c>
      <c r="B119" s="2851" t="s">
        <v>1953</v>
      </c>
      <c r="C119" s="2851" t="s">
        <v>1954</v>
      </c>
      <c r="D119" s="2858" t="s">
        <v>1955</v>
      </c>
      <c r="E119" s="2859"/>
      <c r="F119" s="2849" t="s">
        <v>1813</v>
      </c>
      <c r="G119" s="2849"/>
      <c r="H119" s="2849" t="s">
        <v>1956</v>
      </c>
      <c r="I119" s="2850"/>
    </row>
    <row r="120" spans="1:15" ht="14.25">
      <c r="A120" s="2853"/>
      <c r="B120" s="2852"/>
      <c r="C120" s="2852"/>
      <c r="D120" s="1882" t="s">
        <v>1957</v>
      </c>
      <c r="E120" s="1882" t="s">
        <v>1958</v>
      </c>
      <c r="F120" s="1882" t="s">
        <v>1957</v>
      </c>
      <c r="G120" s="1882" t="s">
        <v>1959</v>
      </c>
      <c r="H120" s="1882" t="s">
        <v>1957</v>
      </c>
      <c r="I120" s="636" t="s">
        <v>1959</v>
      </c>
    </row>
    <row r="121" spans="1:15" ht="14.25">
      <c r="A121" s="2177" t="str">
        <f>项目基本情况!I1</f>
        <v>北京市房地产</v>
      </c>
      <c r="B121" s="1882">
        <f>项目基本情况!C12</f>
        <v>103.71</v>
      </c>
      <c r="C121" s="1882">
        <f>项目基本情况!C13</f>
        <v>0</v>
      </c>
      <c r="D121" s="1882">
        <f ca="1">ROUND(IF(B32="总价",C34,IF('数据-取费表'!B3="万元",E121*B121/10000,E121*B121)),0)</f>
        <v>3262225</v>
      </c>
      <c r="E121" s="1882">
        <f ca="1">ROUND(IF(B32="楼面单价",C34,IF(H19="元",D121/B121,D121*10000/B121)),0)</f>
        <v>31455</v>
      </c>
      <c r="F121" s="1882">
        <f ca="1">ROUND(IF(B32="总价",C35,IF('数据-取费表'!B3="万元",G121*B121/10000,G121*B121)),0)</f>
        <v>872407</v>
      </c>
      <c r="G121" s="1882">
        <f ca="1">ROUND(IF(B32="楼面单价",C35,IF(H19="元",F121/B121,F121*10000/B121)),0)</f>
        <v>8412</v>
      </c>
      <c r="H121" s="1882">
        <f ca="1">ROUND(IF(B32="总价",C32,IF('数据-取费表'!B3="万元",I121*B121/10000,I121*B121)),0)</f>
        <v>4134632</v>
      </c>
      <c r="I121" s="636">
        <f ca="1">ROUND(IF(B32="楼面单价",C32,IF(H19="元",H121/B121,H121*10000/B121)),0)</f>
        <v>39867</v>
      </c>
    </row>
    <row r="122" spans="1:15" ht="14.25">
      <c r="A122" s="2853" t="s">
        <v>1960</v>
      </c>
      <c r="B122" s="2849"/>
      <c r="C122" s="2849"/>
      <c r="D122" s="2885" t="str">
        <f ca="1">IF(H19="元",NUMBERSTRING(INT(D121),2)&amp;"元整",NUMBERSTRING(INT(D121*10000),2)&amp;"元整")</f>
        <v>叁佰贰拾陆万贰仟贰佰贰拾伍元整</v>
      </c>
      <c r="E122" s="2886"/>
      <c r="F122" s="2885" t="str">
        <f ca="1">IF(H19="元",NUMBERSTRING(INT(F121),2)&amp;"元整",NUMBERSTRING(INT(F121*10000),2)&amp;"元整")</f>
        <v>捌拾柒万贰仟肆佰零柒元整</v>
      </c>
      <c r="G122" s="2886"/>
      <c r="H122" s="2885" t="str">
        <f ca="1">IF(H19="元",NUMBERSTRING(INT(H121),2)&amp;"元整",NUMBERSTRING(INT(H121*10000),2)&amp;"元整")</f>
        <v>肆佰壹拾叁万肆仟陆佰叁拾贰元整</v>
      </c>
      <c r="I122" s="2950"/>
    </row>
    <row r="123" spans="1:15" ht="15">
      <c r="A123" s="2887" t="str">
        <f>IF(项目基本情况!D5="房地产市场价值","——",MID(A108,3,LEN(A108)-2))</f>
        <v>估价师所知悉的法定优先受偿款</v>
      </c>
      <c r="B123" s="2888"/>
      <c r="C123" s="2889"/>
      <c r="D123" s="2878">
        <f>I105</f>
        <v>0</v>
      </c>
      <c r="E123" s="2888"/>
      <c r="F123" s="2888"/>
      <c r="G123" s="2888"/>
      <c r="H123" s="2888"/>
      <c r="I123" s="2937"/>
    </row>
    <row r="124" spans="1:15" ht="14.25">
      <c r="A124" s="2890" t="s">
        <v>1960</v>
      </c>
      <c r="B124" s="2891"/>
      <c r="C124" s="2892"/>
      <c r="D124" s="2938">
        <f>H109</f>
        <v>0</v>
      </c>
      <c r="E124" s="2939"/>
      <c r="F124" s="2939"/>
      <c r="G124" s="2939"/>
      <c r="H124" s="2939"/>
      <c r="I124" s="2940"/>
    </row>
    <row r="125" spans="1:15" ht="15">
      <c r="A125" s="2876" t="str">
        <f>IF(项目基本情况!D5="房地产市场价值","——",MID(A112,3,LEN(A112)-2))</f>
        <v>房地产抵押价值</v>
      </c>
      <c r="B125" s="2877"/>
      <c r="C125" s="2877"/>
      <c r="D125" s="2878">
        <f ca="1">I110</f>
        <v>4134632</v>
      </c>
      <c r="E125" s="2888"/>
      <c r="F125" s="2888"/>
      <c r="G125" s="2888"/>
      <c r="H125" s="2888"/>
      <c r="I125" s="2937"/>
    </row>
    <row r="126" spans="1:15" ht="14.25">
      <c r="A126" s="2853" t="s">
        <v>1960</v>
      </c>
      <c r="B126" s="2849"/>
      <c r="C126" s="2849"/>
      <c r="D126" s="2938">
        <f ca="1">I111</f>
        <v>39867</v>
      </c>
      <c r="E126" s="2939"/>
      <c r="F126" s="2939"/>
      <c r="G126" s="2939"/>
      <c r="H126" s="2939"/>
      <c r="I126" s="2940"/>
    </row>
    <row r="127" spans="1:15" ht="15.75" thickBot="1">
      <c r="A127" s="2876" t="str">
        <f>IF(项目基本情况!D5="房地产市场价值","——",MID(A114,3,LEN(A114)-2))</f>
        <v/>
      </c>
      <c r="B127" s="2877"/>
      <c r="C127" s="2877"/>
      <c r="D127" s="2833" t="str">
        <f>I112</f>
        <v>——</v>
      </c>
      <c r="E127" s="2834"/>
      <c r="F127" s="2834"/>
      <c r="G127" s="2834"/>
      <c r="H127" s="2834"/>
      <c r="I127" s="2835"/>
    </row>
    <row r="128" spans="1:15" ht="15.75" thickTop="1" thickBot="1">
      <c r="A128" s="2853" t="s">
        <v>1960</v>
      </c>
      <c r="B128" s="2849"/>
      <c r="C128" s="2933"/>
      <c r="D128" s="2879" t="str">
        <f>I113</f>
        <v>——</v>
      </c>
      <c r="E128" s="2879"/>
      <c r="F128" s="2879"/>
      <c r="G128" s="2879"/>
      <c r="H128" s="2879"/>
      <c r="I128" s="2879"/>
    </row>
    <row r="129" spans="1:9" ht="16.5" thickTop="1" thickBot="1">
      <c r="A129" s="2876" t="str">
        <f>IF(项目基本情况!D5="房地产市场价值","——",MID(F114,3,LEN(F114)-2))</f>
        <v/>
      </c>
      <c r="B129" s="2877"/>
      <c r="C129" s="2878"/>
      <c r="D129" s="2941" t="str">
        <f>I114</f>
        <v>——</v>
      </c>
      <c r="E129" s="2941"/>
      <c r="F129" s="2941"/>
      <c r="G129" s="2941"/>
      <c r="H129" s="2941"/>
      <c r="I129" s="2941"/>
    </row>
    <row r="130" spans="1:9" ht="15.75" thickTop="1" thickBot="1">
      <c r="A130" s="2946" t="s">
        <v>1960</v>
      </c>
      <c r="B130" s="2947"/>
      <c r="C130" s="2947"/>
      <c r="D130" s="2951">
        <f>H116</f>
        <v>0</v>
      </c>
      <c r="E130" s="2952"/>
      <c r="F130" s="2952"/>
      <c r="G130" s="2952"/>
      <c r="H130" s="2952"/>
      <c r="I130" s="2953"/>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31" t="str">
        <f>IF(B32="总价","（以上估价结果中楼面单价为总价除以建筑面积得出）","（以上估价结果中总价为楼面单价乘以建筑面积得出）")</f>
        <v>（以上估价结果中楼面单价为总价除以建筑面积得出）</v>
      </c>
      <c r="B132" s="2931"/>
      <c r="C132" s="2931"/>
      <c r="D132" s="2931"/>
      <c r="E132" s="2931"/>
      <c r="F132" s="2931"/>
      <c r="G132" s="2931"/>
      <c r="H132" s="2931"/>
      <c r="I132" s="2931"/>
    </row>
    <row r="133" spans="1:9" ht="21.75" customHeight="1">
      <c r="A133" s="2296" t="s">
        <v>1961</v>
      </c>
      <c r="B133" s="2297"/>
      <c r="C133" s="2298" t="s">
        <v>1962</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4"/>
      <c r="G136" s="54"/>
      <c r="H136" s="54"/>
      <c r="I136" s="54"/>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1963</v>
      </c>
      <c r="G139" s="2310"/>
      <c r="H139" s="2310"/>
      <c r="I139" s="2311" t="s">
        <v>1964</v>
      </c>
    </row>
    <row r="140" spans="1:9" ht="21.75" customHeight="1">
      <c r="A140" s="796"/>
      <c r="B140" s="2312" t="s">
        <v>1965</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1966</v>
      </c>
    </row>
    <row r="143" spans="1:9" ht="21.75" customHeight="1">
      <c r="A143" s="796"/>
      <c r="B143" s="2312" t="s">
        <v>1967</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1966</v>
      </c>
    </row>
    <row r="146" spans="1:35" ht="21.75" customHeight="1">
      <c r="A146" s="796"/>
      <c r="B146" s="2312"/>
      <c r="C146" s="2313"/>
      <c r="D146" s="2314"/>
      <c r="E146" s="2314"/>
      <c r="F146" s="2315"/>
      <c r="G146" s="796"/>
      <c r="H146" s="796"/>
      <c r="I146" s="796"/>
    </row>
    <row r="147" spans="1:35" s="54"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0"/>
    <col min="36" max="16384" width="12.625" style="2192"/>
  </cols>
  <sheetData>
    <row r="1" spans="1:12" ht="21.75" customHeight="1">
      <c r="A1" s="2190" t="s">
        <v>1968</v>
      </c>
      <c r="B1" s="2191"/>
      <c r="C1" s="2191"/>
      <c r="D1" s="2191"/>
      <c r="E1" s="2191"/>
      <c r="F1" s="2191"/>
      <c r="G1" s="2191"/>
      <c r="H1" s="2191"/>
      <c r="I1" s="2191"/>
    </row>
    <row r="2" spans="1:12" ht="21.75" customHeight="1">
      <c r="A2" s="2955" t="s">
        <v>1969</v>
      </c>
      <c r="B2" s="2955"/>
      <c r="C2" s="2955"/>
      <c r="D2" s="2955"/>
      <c r="E2" s="2955"/>
      <c r="F2" s="2955"/>
      <c r="G2" s="2955"/>
      <c r="H2" s="2955"/>
      <c r="I2" s="2955"/>
    </row>
    <row r="3" spans="1:12" ht="12.75">
      <c r="A3" s="2909" t="s">
        <v>1773</v>
      </c>
      <c r="B3" s="2910"/>
      <c r="C3" s="2910"/>
      <c r="D3" s="2910"/>
      <c r="E3" s="2910"/>
      <c r="F3" s="2910"/>
      <c r="G3" s="2910"/>
      <c r="H3" s="2910"/>
      <c r="I3" s="2910"/>
    </row>
    <row r="4" spans="1:12" ht="14.25">
      <c r="A4" s="2193" t="s">
        <v>1774</v>
      </c>
      <c r="B4" s="2194" t="s">
        <v>1775</v>
      </c>
      <c r="C4" s="2195"/>
      <c r="D4" s="2195"/>
      <c r="E4" s="2914" t="s">
        <v>1970</v>
      </c>
      <c r="F4" s="2915"/>
      <c r="G4" s="2915"/>
      <c r="H4" s="2915"/>
      <c r="I4" s="2916"/>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1777</v>
      </c>
      <c r="B5" s="2849">
        <v>25</v>
      </c>
      <c r="C5" s="2911"/>
      <c r="D5" s="2908"/>
      <c r="E5" s="55" t="s">
        <v>1778</v>
      </c>
      <c r="F5" s="2196"/>
      <c r="G5" s="2196"/>
      <c r="H5" s="2196"/>
      <c r="I5" s="2197"/>
    </row>
    <row r="6" spans="1:12" ht="12.75">
      <c r="A6" s="2904"/>
      <c r="B6" s="2849"/>
      <c r="C6" s="2912"/>
      <c r="D6" s="2908"/>
      <c r="E6" s="55" t="s">
        <v>1779</v>
      </c>
      <c r="F6" s="2196"/>
      <c r="G6" s="2196"/>
      <c r="H6" s="2196"/>
      <c r="I6" s="2197"/>
    </row>
    <row r="7" spans="1:12" ht="12.75">
      <c r="A7" s="2904"/>
      <c r="B7" s="2849"/>
      <c r="C7" s="2913"/>
      <c r="D7" s="2908"/>
      <c r="E7" s="55" t="s">
        <v>1780</v>
      </c>
      <c r="F7" s="2196"/>
      <c r="G7" s="2196"/>
      <c r="H7" s="2196"/>
      <c r="I7" s="2197"/>
    </row>
    <row r="8" spans="1:12" ht="12.75">
      <c r="A8" s="2904" t="s">
        <v>1781</v>
      </c>
      <c r="B8" s="2849">
        <v>15</v>
      </c>
      <c r="C8" s="2911"/>
      <c r="D8" s="2908"/>
      <c r="E8" s="55" t="s">
        <v>1782</v>
      </c>
      <c r="F8" s="2196"/>
      <c r="G8" s="2196"/>
      <c r="H8" s="2196"/>
      <c r="I8" s="2197"/>
    </row>
    <row r="9" spans="1:12" ht="12.75">
      <c r="A9" s="2904"/>
      <c r="B9" s="2849"/>
      <c r="C9" s="2913"/>
      <c r="D9" s="2908"/>
      <c r="E9" s="55" t="s">
        <v>1783</v>
      </c>
      <c r="F9" s="2196"/>
      <c r="G9" s="2196"/>
      <c r="H9" s="2196"/>
      <c r="I9" s="2197"/>
    </row>
    <row r="10" spans="1:12" ht="12.75">
      <c r="A10" s="2904" t="s">
        <v>1784</v>
      </c>
      <c r="B10" s="2849">
        <v>15</v>
      </c>
      <c r="C10" s="2911"/>
      <c r="D10" s="2908"/>
      <c r="E10" s="55" t="s">
        <v>1785</v>
      </c>
      <c r="F10" s="2196"/>
      <c r="G10" s="2196"/>
      <c r="H10" s="2196"/>
      <c r="I10" s="2197"/>
    </row>
    <row r="11" spans="1:12" ht="12.75">
      <c r="A11" s="2904"/>
      <c r="B11" s="2849"/>
      <c r="C11" s="2913"/>
      <c r="D11" s="2908"/>
      <c r="E11" s="55" t="s">
        <v>1786</v>
      </c>
      <c r="F11" s="2196"/>
      <c r="G11" s="2196"/>
      <c r="H11" s="2196"/>
      <c r="I11" s="2197"/>
    </row>
    <row r="12" spans="1:12" ht="12.75">
      <c r="A12" s="2904" t="s">
        <v>1787</v>
      </c>
      <c r="B12" s="2849">
        <v>15</v>
      </c>
      <c r="C12" s="2911"/>
      <c r="D12" s="2908"/>
      <c r="E12" s="55" t="s">
        <v>1788</v>
      </c>
      <c r="F12" s="2196"/>
      <c r="G12" s="2196"/>
      <c r="H12" s="2196"/>
      <c r="I12" s="2197"/>
    </row>
    <row r="13" spans="1:12" ht="12.75">
      <c r="A13" s="2904"/>
      <c r="B13" s="2849"/>
      <c r="C13" s="2913"/>
      <c r="D13" s="2908"/>
      <c r="E13" s="55" t="s">
        <v>1789</v>
      </c>
      <c r="F13" s="2196"/>
      <c r="G13" s="2196"/>
      <c r="H13" s="2196"/>
      <c r="I13" s="2197"/>
    </row>
    <row r="14" spans="1:12" ht="12.75">
      <c r="A14" s="2904" t="s">
        <v>1790</v>
      </c>
      <c r="B14" s="2849">
        <v>30</v>
      </c>
      <c r="C14" s="2911"/>
      <c r="D14" s="2908"/>
      <c r="E14" s="55" t="s">
        <v>1791</v>
      </c>
      <c r="F14" s="2196"/>
      <c r="G14" s="2196"/>
      <c r="H14" s="2196"/>
      <c r="I14" s="2197"/>
    </row>
    <row r="15" spans="1:12" ht="12.75">
      <c r="A15" s="2904"/>
      <c r="B15" s="2849"/>
      <c r="C15" s="2912"/>
      <c r="D15" s="2908"/>
      <c r="E15" s="55" t="s">
        <v>1792</v>
      </c>
      <c r="F15" s="2196"/>
      <c r="G15" s="2196"/>
      <c r="H15" s="2196"/>
      <c r="I15" s="2197"/>
    </row>
    <row r="16" spans="1:12" ht="12.75">
      <c r="A16" s="2904"/>
      <c r="B16" s="2849"/>
      <c r="C16" s="2913"/>
      <c r="D16" s="2908"/>
      <c r="E16" s="55" t="s">
        <v>1793</v>
      </c>
      <c r="F16" s="2196"/>
      <c r="G16" s="2196"/>
      <c r="H16" s="2196"/>
      <c r="I16" s="2197"/>
    </row>
    <row r="17" spans="1:35" ht="15">
      <c r="A17" s="2198" t="s">
        <v>1794</v>
      </c>
      <c r="B17" s="2199"/>
      <c r="C17" s="56">
        <f>SUM(C5:C16)</f>
        <v>0</v>
      </c>
      <c r="D17" s="56">
        <f>SUM(D5:D16)</f>
        <v>0</v>
      </c>
      <c r="E17" s="2191"/>
      <c r="F17" s="2191"/>
      <c r="G17" s="2191"/>
      <c r="H17" s="2191"/>
      <c r="I17" s="2191"/>
    </row>
    <row r="18" spans="1:35" ht="15.75" thickBot="1">
      <c r="A18" s="2200" t="s">
        <v>1795</v>
      </c>
      <c r="B18" s="2201"/>
      <c r="C18" s="57" t="e">
        <f>ROUND(C17/SUM(C17:D17),2)</f>
        <v>#DIV/0!</v>
      </c>
      <c r="D18" s="57" t="e">
        <f>1-C18</f>
        <v>#DIV/0!</v>
      </c>
      <c r="E18" s="2191"/>
      <c r="F18" s="2191"/>
      <c r="G18" s="2191"/>
      <c r="H18" s="2191"/>
      <c r="I18" s="2191"/>
    </row>
    <row r="19" spans="1:35" ht="15">
      <c r="A19" s="2202" t="s">
        <v>1796</v>
      </c>
      <c r="B19" s="2203" t="s">
        <v>1797</v>
      </c>
      <c r="C19" s="58" t="e">
        <f ca="1">SUMIF(INDIRECT("'"&amp;C4&amp;"'"&amp;"!A:A"),'结果表 (1修多)'!B19,INDIRECT("'"&amp;C4&amp;"'"&amp;"!B:B"))</f>
        <v>#REF!</v>
      </c>
      <c r="D19" s="59" t="e">
        <f ca="1">SUMIF(INDIRECT("'"&amp;D4&amp;"'"&amp;"!A:A"),'结果表 (1修多)'!B19,INDIRECT("'"&amp;D4&amp;"'"&amp;"!B:B"))</f>
        <v>#REF!</v>
      </c>
      <c r="E19" s="2202" t="s">
        <v>1798</v>
      </c>
      <c r="F19" s="2203" t="s">
        <v>1797</v>
      </c>
      <c r="G19" s="60" t="e">
        <f ca="1">ROUND(C19*$C$18+D19*$D$18,0)</f>
        <v>#REF!</v>
      </c>
      <c r="H19" s="2204" t="str">
        <f>'数据-取费表'!B3</f>
        <v>元</v>
      </c>
      <c r="I19" s="2191"/>
    </row>
    <row r="20" spans="1:35" ht="15">
      <c r="A20" s="2205"/>
      <c r="B20" s="2206" t="s">
        <v>1799</v>
      </c>
      <c r="C20" s="61" t="e">
        <f ca="1">SUMIF(INDIRECT("'"&amp;C4&amp;"'"&amp;"!A:A"),'结果表 (1修多)'!B20,INDIRECT("'"&amp;C4&amp;"'"&amp;"!B:B"))</f>
        <v>#REF!</v>
      </c>
      <c r="D20" s="62" t="e">
        <f ca="1">SUMIF(INDIRECT("'"&amp;D4&amp;"'"&amp;"!A:A"),'结果表 (1修多)'!B20,INDIRECT("'"&amp;D4&amp;"'"&amp;"!B:B"))</f>
        <v>#REF!</v>
      </c>
      <c r="E20" s="2205"/>
      <c r="F20" s="2206" t="s">
        <v>1799</v>
      </c>
      <c r="G20" s="63" t="e">
        <f ca="1">ROUND(C20*$C$18+D20*$D$18,0)</f>
        <v>#REF!</v>
      </c>
      <c r="H20" s="2207" t="s">
        <v>1800</v>
      </c>
      <c r="I20" s="2191"/>
    </row>
    <row r="21" spans="1:35" ht="15" customHeight="1" thickBot="1">
      <c r="A21" s="2208"/>
      <c r="B21" s="2209"/>
      <c r="C21" s="768"/>
      <c r="D21" s="769"/>
      <c r="E21" s="2208"/>
      <c r="F21" s="2209"/>
      <c r="G21" s="64"/>
      <c r="H21" s="2210"/>
      <c r="I21" s="2191"/>
    </row>
    <row r="22" spans="1:35" ht="15" thickBot="1">
      <c r="A22" s="2211" t="s">
        <v>1801</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7" t="s">
        <v>1802</v>
      </c>
      <c r="B24" s="2203" t="s">
        <v>1797</v>
      </c>
      <c r="C24" s="60">
        <f>D30</f>
        <v>0</v>
      </c>
      <c r="D24" s="992"/>
      <c r="E24" s="2191"/>
      <c r="F24" s="2191"/>
      <c r="G24" s="2191"/>
      <c r="H24" s="2191"/>
      <c r="I24" s="2191"/>
    </row>
    <row r="25" spans="1:35" ht="21.75" customHeight="1">
      <c r="A25" s="2918"/>
      <c r="B25" s="2206" t="s">
        <v>1799</v>
      </c>
      <c r="C25" s="65">
        <f>IF(B30=0,0,C30)</f>
        <v>0</v>
      </c>
      <c r="D25" s="2214"/>
      <c r="E25" s="2191"/>
      <c r="F25" s="2191"/>
      <c r="G25" s="2191"/>
      <c r="H25" s="2191"/>
      <c r="I25" s="2191"/>
    </row>
    <row r="26" spans="1:35" ht="13.5" customHeight="1">
      <c r="A26" s="2215" t="s">
        <v>1803</v>
      </c>
      <c r="B26" s="66" t="s">
        <v>1804</v>
      </c>
      <c r="C26" s="66" t="s">
        <v>1805</v>
      </c>
      <c r="D26" s="67" t="s">
        <v>1806</v>
      </c>
      <c r="E26" s="2191"/>
      <c r="F26" s="2191"/>
      <c r="G26" s="2191"/>
      <c r="H26" s="2191"/>
      <c r="I26" s="2191"/>
    </row>
    <row r="27" spans="1:35" ht="14.25">
      <c r="A27" s="2216" t="s">
        <v>1971</v>
      </c>
      <c r="B27" s="66">
        <v>0</v>
      </c>
      <c r="C27" s="66">
        <v>0</v>
      </c>
      <c r="D27" s="67">
        <f>ROUND(C27*B27/10000,0)</f>
        <v>0</v>
      </c>
      <c r="E27" s="2191"/>
      <c r="F27" s="2191"/>
      <c r="G27" s="2191"/>
      <c r="H27" s="2191"/>
      <c r="I27" s="2191"/>
    </row>
    <row r="28" spans="1:35" ht="14.25">
      <c r="A28" s="2215"/>
      <c r="B28" s="66"/>
      <c r="C28" s="66"/>
      <c r="D28" s="67">
        <f>ROUND(C28*B28/10000,0)</f>
        <v>0</v>
      </c>
      <c r="E28" s="2191"/>
      <c r="F28" s="2191"/>
      <c r="G28" s="2191"/>
      <c r="H28" s="2191"/>
      <c r="I28" s="2191"/>
    </row>
    <row r="29" spans="1:35" ht="14.25">
      <c r="A29" s="2215"/>
      <c r="B29" s="66"/>
      <c r="C29" s="66"/>
      <c r="D29" s="67">
        <f>ROUND(C29*B29/10000,0)</f>
        <v>0</v>
      </c>
      <c r="E29" s="2191"/>
      <c r="F29" s="2191"/>
      <c r="G29" s="2191"/>
      <c r="H29" s="2191"/>
      <c r="I29" s="2191"/>
    </row>
    <row r="30" spans="1:35" ht="15" thickBot="1">
      <c r="A30" s="2712" t="s">
        <v>1972</v>
      </c>
      <c r="B30" s="2713"/>
      <c r="C30" s="2713"/>
      <c r="D30" s="2713"/>
      <c r="E30" s="2711" t="s">
        <v>2811</v>
      </c>
      <c r="F30" s="2191"/>
      <c r="G30" s="2191"/>
      <c r="H30" s="2191"/>
      <c r="I30" s="2191"/>
    </row>
    <row r="31" spans="1:35" s="2218" customFormat="1" ht="15.75" thickBot="1">
      <c r="A31" s="2965" t="s">
        <v>1973</v>
      </c>
      <c r="B31" s="2965"/>
      <c r="C31" s="2965"/>
      <c r="D31" s="2965"/>
      <c r="E31" s="2965"/>
      <c r="F31" s="2965"/>
      <c r="G31" s="2965"/>
      <c r="H31" s="2965"/>
      <c r="I31" s="296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6"/>
      <c r="B32" s="2317" t="s">
        <v>1974</v>
      </c>
      <c r="C32" s="1303">
        <f>典型户型修正!R27</f>
        <v>0</v>
      </c>
      <c r="D32" s="2191" t="s">
        <v>1975</v>
      </c>
      <c r="E32" s="2191"/>
      <c r="F32" s="2191"/>
      <c r="G32" s="2191"/>
      <c r="H32" s="2191"/>
      <c r="I32" s="2191"/>
    </row>
    <row r="33" spans="1:16" ht="15">
      <c r="A33" s="2318" t="s">
        <v>1976</v>
      </c>
      <c r="B33" s="2319" t="s">
        <v>1977</v>
      </c>
      <c r="C33" s="1304">
        <f>典型户型修正!B2</f>
        <v>0</v>
      </c>
      <c r="D33" s="2320" t="str">
        <f>IF('数据-取费表'!B3="万元","万元","元")</f>
        <v>元</v>
      </c>
      <c r="E33" s="2191"/>
      <c r="F33" s="2191"/>
      <c r="G33" s="2191"/>
      <c r="H33" s="2191"/>
      <c r="I33" s="2191"/>
    </row>
    <row r="34" spans="1:16" ht="15.75" thickBot="1">
      <c r="A34" s="2321"/>
      <c r="B34" s="2322" t="s">
        <v>1978</v>
      </c>
      <c r="C34" s="769">
        <f>典型户型修正!B3</f>
        <v>0</v>
      </c>
      <c r="D34" s="2191" t="s">
        <v>1979</v>
      </c>
      <c r="E34" s="2191"/>
      <c r="F34" s="2191"/>
      <c r="G34" s="2191"/>
      <c r="H34" s="2191"/>
      <c r="I34" s="2191"/>
    </row>
    <row r="35" spans="1:16" ht="15">
      <c r="A35" s="2323"/>
      <c r="B35" s="2324" t="s">
        <v>1980</v>
      </c>
      <c r="C35" s="1311">
        <f>IF('数据-取费表'!B3="万元",典型户型修正!V25,典型户型修正!U25)</f>
        <v>0</v>
      </c>
      <c r="D35" s="2191" t="str">
        <f>D33</f>
        <v>元</v>
      </c>
      <c r="E35" s="2191"/>
      <c r="F35" s="2191"/>
      <c r="G35" s="2191"/>
      <c r="H35" s="2191"/>
      <c r="I35" s="2191"/>
    </row>
    <row r="36" spans="1:16" ht="15.75" thickBot="1">
      <c r="A36" s="2230"/>
      <c r="B36" s="2325" t="s">
        <v>1981</v>
      </c>
      <c r="C36" s="1312">
        <f>IF('数据-取费表'!B3="万元",典型户型修正!Y25,典型户型修正!X25)</f>
        <v>0</v>
      </c>
      <c r="D36" s="2191" t="str">
        <f>D33</f>
        <v>元</v>
      </c>
      <c r="E36" s="2191"/>
      <c r="F36" s="2191"/>
      <c r="G36" s="2191"/>
      <c r="H36" s="2191"/>
      <c r="I36" s="2191"/>
    </row>
    <row r="37" spans="1:16" ht="15.75" thickBot="1">
      <c r="A37" s="2922" t="s">
        <v>1982</v>
      </c>
      <c r="B37" s="2233" t="s">
        <v>1983</v>
      </c>
      <c r="C37" s="68"/>
      <c r="D37" s="2234"/>
      <c r="E37" s="2235"/>
      <c r="F37" s="2235"/>
      <c r="G37" s="2191"/>
      <c r="H37" s="2191"/>
      <c r="I37" s="2191"/>
    </row>
    <row r="38" spans="1:16" ht="15.75" thickBot="1">
      <c r="A38" s="2923"/>
      <c r="B38" s="2236" t="s">
        <v>1984</v>
      </c>
      <c r="C38" s="70"/>
      <c r="D38" s="2201"/>
      <c r="E38" s="2201"/>
      <c r="F38" s="2235"/>
      <c r="G38" s="2201"/>
      <c r="H38" s="2201"/>
      <c r="I38" s="2201"/>
    </row>
    <row r="39" spans="1:16" ht="15.75" thickBot="1">
      <c r="A39" s="2924"/>
      <c r="B39" s="2237" t="s">
        <v>1985</v>
      </c>
      <c r="C39" s="710"/>
      <c r="D39" s="2238" t="s">
        <v>1986</v>
      </c>
      <c r="E39" s="2201"/>
      <c r="F39" s="2235"/>
      <c r="G39" s="2201"/>
      <c r="H39" s="2201"/>
      <c r="I39" s="2201"/>
    </row>
    <row r="40" spans="1:16" ht="15">
      <c r="A40" s="2205" t="s">
        <v>1987</v>
      </c>
      <c r="B40" s="2239" t="s">
        <v>1988</v>
      </c>
      <c r="C40" s="2240" t="s">
        <v>1989</v>
      </c>
      <c r="D40" s="2240" t="s">
        <v>1990</v>
      </c>
      <c r="E40" s="2241" t="s">
        <v>1991</v>
      </c>
      <c r="F40" s="2235"/>
      <c r="G40" s="2201"/>
      <c r="H40" s="2201"/>
      <c r="I40" s="2201"/>
    </row>
    <row r="41" spans="1:16" ht="14.25">
      <c r="A41" s="2242" t="s">
        <v>1992</v>
      </c>
      <c r="B41" s="73"/>
      <c r="C41" s="74"/>
      <c r="D41" s="74"/>
      <c r="E41" s="75"/>
      <c r="F41" s="2235"/>
      <c r="G41" s="2201"/>
      <c r="H41" s="2201"/>
      <c r="I41" s="2201"/>
    </row>
    <row r="42" spans="1:16" ht="14.25">
      <c r="A42" s="2242" t="s">
        <v>1993</v>
      </c>
      <c r="B42" s="73"/>
      <c r="C42" s="74"/>
      <c r="D42" s="74"/>
      <c r="E42" s="75"/>
      <c r="F42" s="2235"/>
      <c r="G42" s="2201"/>
      <c r="H42" s="2201"/>
      <c r="I42" s="2201"/>
    </row>
    <row r="43" spans="1:16" ht="15" thickBot="1">
      <c r="A43" s="2243"/>
      <c r="B43" s="76"/>
      <c r="C43" s="77"/>
      <c r="D43" s="77"/>
      <c r="E43" s="78"/>
      <c r="F43" s="2235"/>
      <c r="G43" s="2201"/>
      <c r="H43" s="2201"/>
      <c r="I43" s="2201"/>
    </row>
    <row r="44" spans="1:16" ht="12.75">
      <c r="A44" s="2244"/>
      <c r="B44" s="2244"/>
      <c r="C44" s="2244"/>
      <c r="D44" s="2244"/>
      <c r="E44" s="2244"/>
      <c r="F44" s="2245"/>
      <c r="G44" s="2245"/>
      <c r="H44" s="2245"/>
      <c r="I44" s="2246"/>
    </row>
    <row r="45" spans="1:16" ht="18.75">
      <c r="A45" s="2247" t="s">
        <v>1994</v>
      </c>
      <c r="B45" s="2248"/>
      <c r="C45" s="2248"/>
      <c r="D45" s="2249"/>
      <c r="E45" s="2249"/>
      <c r="F45" s="2250"/>
      <c r="G45" s="2250"/>
      <c r="H45" s="2250"/>
      <c r="I45" s="2250"/>
      <c r="J45" s="2251" t="s">
        <v>1825</v>
      </c>
      <c r="K45" s="2252"/>
      <c r="L45" s="2252"/>
      <c r="M45" s="2252"/>
      <c r="N45" s="2252"/>
      <c r="O45" s="2252"/>
      <c r="P45" s="1840"/>
    </row>
    <row r="46" spans="1:16" ht="14.25" customHeight="1" thickBot="1">
      <c r="A46" s="2927" t="s">
        <v>1995</v>
      </c>
      <c r="B46" s="2928"/>
      <c r="C46" s="2929"/>
      <c r="D46" s="79">
        <f>ROUND(I103*F46,0)</f>
        <v>0</v>
      </c>
      <c r="E46" s="80" t="s">
        <v>1996</v>
      </c>
      <c r="F46" s="81">
        <v>1</v>
      </c>
      <c r="G46" s="82" t="s">
        <v>1997</v>
      </c>
      <c r="H46" s="2191"/>
      <c r="I46" s="2191"/>
      <c r="J46" s="2839" t="s">
        <v>1829</v>
      </c>
      <c r="K46" s="2839"/>
      <c r="L46" s="2839"/>
      <c r="M46" s="2839"/>
      <c r="N46" s="2839"/>
      <c r="O46" s="2839"/>
      <c r="P46" s="1840"/>
    </row>
    <row r="47" spans="1:16" ht="14.25" customHeight="1">
      <c r="A47" s="2919" t="s">
        <v>1830</v>
      </c>
      <c r="B47" s="2920"/>
      <c r="C47" s="2920"/>
      <c r="D47" s="2920"/>
      <c r="E47" s="2920"/>
      <c r="F47" s="2920"/>
      <c r="G47" s="2921"/>
      <c r="H47" s="2253"/>
      <c r="I47" s="1139"/>
      <c r="J47" s="1878">
        <v>1</v>
      </c>
      <c r="K47" s="2839" t="s">
        <v>1831</v>
      </c>
      <c r="L47" s="2839"/>
      <c r="M47" s="2954"/>
      <c r="N47" s="2954"/>
      <c r="O47" s="2954"/>
      <c r="P47" s="1840"/>
    </row>
    <row r="48" spans="1:16" ht="12" customHeight="1">
      <c r="A48" s="84" t="s">
        <v>1832</v>
      </c>
      <c r="B48" s="85"/>
      <c r="C48" s="86"/>
      <c r="D48" s="87" t="s">
        <v>1833</v>
      </c>
      <c r="E48" s="14" t="s">
        <v>1834</v>
      </c>
      <c r="F48" s="88" t="s">
        <v>1835</v>
      </c>
      <c r="G48" s="89" t="s">
        <v>1836</v>
      </c>
      <c r="H48" s="2253"/>
      <c r="I48" s="1139"/>
      <c r="J48" s="1878">
        <v>2</v>
      </c>
      <c r="K48" s="2839" t="s">
        <v>1837</v>
      </c>
      <c r="L48" s="2839"/>
      <c r="M48" s="2841">
        <f>'数据-取费表'!B2</f>
        <v>43257</v>
      </c>
      <c r="N48" s="2841"/>
      <c r="O48" s="2841"/>
      <c r="P48" s="1840"/>
    </row>
    <row r="49" spans="1:16" ht="25.5">
      <c r="A49" s="2925" t="s">
        <v>1838</v>
      </c>
      <c r="B49" s="2926"/>
      <c r="C49" s="2926"/>
      <c r="D49" s="55">
        <f>IF(H49="情况1",0,IF(H49="情况2",D53,IF(H49="情况3",D54,IF(H49="情况4",D55))))</f>
        <v>0</v>
      </c>
      <c r="E49" s="1888" t="str">
        <f>IF(H49="情况4","(销售额-原购置价)×税（费）率","销售额×税（费）率")</f>
        <v>销售额×税（费）率</v>
      </c>
      <c r="F49" s="90">
        <f>IF(H49="情况1","免征",'数据-取费表'!E29)</f>
        <v>5.5000000000000007E-2</v>
      </c>
      <c r="G49" s="2254" t="s">
        <v>1839</v>
      </c>
      <c r="H49" s="2255" t="s">
        <v>1840</v>
      </c>
      <c r="I49" s="2253"/>
      <c r="J49" s="1878">
        <v>3</v>
      </c>
      <c r="K49" s="2839" t="s">
        <v>1841</v>
      </c>
      <c r="L49" s="2839"/>
      <c r="M49" s="2840">
        <f>I103</f>
        <v>0</v>
      </c>
      <c r="N49" s="2840"/>
      <c r="O49" s="2840"/>
      <c r="P49" s="1840"/>
    </row>
    <row r="50" spans="1:16" ht="25.5" customHeight="1">
      <c r="A50" s="91" t="s">
        <v>1842</v>
      </c>
      <c r="B50" s="2906" t="s">
        <v>1843</v>
      </c>
      <c r="C50" s="2906"/>
      <c r="D50" s="92">
        <v>0</v>
      </c>
      <c r="E50" s="13" t="s">
        <v>1844</v>
      </c>
      <c r="F50" s="18" t="s">
        <v>48</v>
      </c>
      <c r="G50" s="2830"/>
      <c r="H50" s="2191"/>
      <c r="I50" s="2256"/>
      <c r="J50" s="1878">
        <v>4</v>
      </c>
      <c r="K50" s="2839" t="str">
        <f>IF(项目基本情况!F5="房地产抵押价值","房地产抵押价值","抵押担保权已注销时的房地产抵押价值")</f>
        <v>房地产抵押价值</v>
      </c>
      <c r="L50" s="2839"/>
      <c r="M50" s="2840">
        <f>IF(项目基本情况!F5="房地产抵押价值",I111,I113)</f>
        <v>0</v>
      </c>
      <c r="N50" s="2840"/>
      <c r="O50" s="2840"/>
      <c r="P50" s="1840"/>
    </row>
    <row r="51" spans="1:16" ht="25.5" customHeight="1">
      <c r="A51" s="93"/>
      <c r="B51" s="2906" t="s">
        <v>1845</v>
      </c>
      <c r="C51" s="2906"/>
      <c r="D51" s="94"/>
      <c r="E51" s="21"/>
      <c r="F51" s="95"/>
      <c r="G51" s="2831"/>
      <c r="H51" s="2191"/>
      <c r="I51" s="2256"/>
      <c r="J51" s="2839" t="s">
        <v>1846</v>
      </c>
      <c r="K51" s="2839"/>
      <c r="L51" s="2839"/>
      <c r="M51" s="2839"/>
      <c r="N51" s="2839"/>
      <c r="O51" s="2839"/>
      <c r="P51" s="1840"/>
    </row>
    <row r="52" spans="1:16" ht="12" customHeight="1">
      <c r="A52" s="96"/>
      <c r="B52" s="2906" t="s">
        <v>1847</v>
      </c>
      <c r="C52" s="2906"/>
      <c r="D52" s="97"/>
      <c r="E52" s="20"/>
      <c r="F52" s="95"/>
      <c r="G52" s="2832"/>
      <c r="H52" s="2191"/>
      <c r="I52" s="2256"/>
      <c r="J52" s="2257" t="s">
        <v>1848</v>
      </c>
      <c r="K52" s="2839" t="s">
        <v>1849</v>
      </c>
      <c r="L52" s="2839"/>
      <c r="M52" s="2257" t="s">
        <v>1850</v>
      </c>
      <c r="N52" s="2257" t="s">
        <v>1851</v>
      </c>
      <c r="O52" s="2257" t="s">
        <v>1852</v>
      </c>
      <c r="P52" s="1840"/>
    </row>
    <row r="53" spans="1:16" ht="24" customHeight="1">
      <c r="A53" s="98" t="s">
        <v>1853</v>
      </c>
      <c r="B53" s="2906" t="s">
        <v>1854</v>
      </c>
      <c r="C53" s="2906"/>
      <c r="D53" s="97">
        <f>ROUND(D46*'数据-取费表'!E29/(1+'数据-取费表'!F30),0)</f>
        <v>0</v>
      </c>
      <c r="E53" s="10" t="s">
        <v>1855</v>
      </c>
      <c r="F53" s="99">
        <f>'数据-取费表'!E29</f>
        <v>5.5000000000000007E-2</v>
      </c>
      <c r="G53" s="2258"/>
      <c r="H53" s="2191"/>
      <c r="I53" s="2256"/>
      <c r="J53" s="1878">
        <v>1</v>
      </c>
      <c r="K53" s="2829" t="s">
        <v>1856</v>
      </c>
      <c r="L53" s="2829"/>
      <c r="M53" s="776">
        <f>D49</f>
        <v>0</v>
      </c>
      <c r="N53" s="1878" t="str">
        <f>E49</f>
        <v>销售额×税（费）率</v>
      </c>
      <c r="O53" s="777">
        <f>F49</f>
        <v>5.5000000000000007E-2</v>
      </c>
      <c r="P53" s="1840"/>
    </row>
    <row r="54" spans="1:16" ht="12" customHeight="1">
      <c r="A54" s="98" t="s">
        <v>1857</v>
      </c>
      <c r="B54" s="2905" t="s">
        <v>1858</v>
      </c>
      <c r="C54" s="2799"/>
      <c r="D54" s="97">
        <f>ROUND(D46*'数据-取费表'!E29/(1+'数据-取费表'!F30),0)</f>
        <v>0</v>
      </c>
      <c r="E54" s="10" t="s">
        <v>1855</v>
      </c>
      <c r="F54" s="99">
        <f>'数据-取费表'!E29</f>
        <v>5.5000000000000007E-2</v>
      </c>
      <c r="G54" s="2258"/>
      <c r="H54" s="2191"/>
      <c r="I54" s="2256"/>
      <c r="J54" s="1878">
        <v>2</v>
      </c>
      <c r="K54" s="2829" t="s">
        <v>1859</v>
      </c>
      <c r="L54" s="2829"/>
      <c r="M54" s="776">
        <f t="shared" ref="M54:O55" si="0">D56</f>
        <v>0</v>
      </c>
      <c r="N54" s="1878" t="str">
        <f t="shared" si="0"/>
        <v>销售额×税（费）率</v>
      </c>
      <c r="O54" s="777">
        <f t="shared" si="0"/>
        <v>5.0000000000000001E-4</v>
      </c>
      <c r="P54" s="1840"/>
    </row>
    <row r="55" spans="1:16" ht="12" customHeight="1">
      <c r="A55" s="98" t="s">
        <v>1860</v>
      </c>
      <c r="B55" s="2905" t="s">
        <v>1861</v>
      </c>
      <c r="C55" s="2799"/>
      <c r="D55" s="97">
        <f>C69</f>
        <v>0</v>
      </c>
      <c r="E55" s="20" t="s">
        <v>1862</v>
      </c>
      <c r="F55" s="99">
        <f>'数据-取费表'!E29</f>
        <v>5.5000000000000007E-2</v>
      </c>
      <c r="G55" s="2258"/>
      <c r="H55" s="2259"/>
      <c r="I55" s="2256"/>
      <c r="J55" s="1878">
        <v>3</v>
      </c>
      <c r="K55" s="2829" t="s">
        <v>1863</v>
      </c>
      <c r="L55" s="2829"/>
      <c r="M55" s="776">
        <f t="shared" si="0"/>
        <v>0</v>
      </c>
      <c r="N55" s="1878" t="str">
        <f t="shared" si="0"/>
        <v>增值额×税（费）率</v>
      </c>
      <c r="O55" s="778" t="str">
        <f t="shared" si="0"/>
        <v>——</v>
      </c>
      <c r="P55" s="1840"/>
    </row>
    <row r="56" spans="1:16" ht="24" customHeight="1">
      <c r="A56" s="2791" t="s">
        <v>1864</v>
      </c>
      <c r="B56" s="2926"/>
      <c r="C56" s="2926"/>
      <c r="D56" s="100">
        <f>IF(H56="个人住宅",0,ROUND(D46*I56,0))</f>
        <v>0</v>
      </c>
      <c r="E56" s="10" t="s">
        <v>1865</v>
      </c>
      <c r="F56" s="99">
        <f>IF(H56="正常",I56,"免征")</f>
        <v>5.0000000000000001E-4</v>
      </c>
      <c r="G56" s="2258"/>
      <c r="H56" s="2255" t="s">
        <v>1866</v>
      </c>
      <c r="I56" s="101">
        <f>'数据-取费表'!E37</f>
        <v>5.0000000000000001E-4</v>
      </c>
      <c r="J56" s="1878" t="str">
        <f>IF(H60="非个人房产","",4)</f>
        <v/>
      </c>
      <c r="K56" s="2829" t="str">
        <f>IF(H60="非个人房产","——","个人所得税")</f>
        <v>——</v>
      </c>
      <c r="L56" s="2829"/>
      <c r="M56" s="779" t="str">
        <f>D60</f>
        <v>——</v>
      </c>
      <c r="N56" s="1881" t="str">
        <f>E60</f>
        <v>——</v>
      </c>
      <c r="O56" s="780" t="str">
        <f>F60</f>
        <v>——</v>
      </c>
      <c r="P56" s="1840"/>
    </row>
    <row r="57" spans="1:16" ht="24.75">
      <c r="A57" s="2791" t="s">
        <v>1867</v>
      </c>
      <c r="B57" s="2926"/>
      <c r="C57" s="2926"/>
      <c r="D57" s="100">
        <f>IF(H57="个人住宅",D58,D59)</f>
        <v>0</v>
      </c>
      <c r="E57" s="10" t="s">
        <v>1868</v>
      </c>
      <c r="F57" s="99" t="str">
        <f>IF(H57="正常",F59,"免征")</f>
        <v>——</v>
      </c>
      <c r="G57" s="2260" t="s">
        <v>1869</v>
      </c>
      <c r="H57" s="2261" t="s">
        <v>1866</v>
      </c>
      <c r="I57" s="1017"/>
      <c r="J57" s="1878" t="str">
        <f>IF(项目基本情况!I6="上海银行",IF(J56="",4,J56+1),"")</f>
        <v/>
      </c>
      <c r="K57" s="2846" t="str">
        <f>IF(项目基本情况!I6="上海银行","其他处置费用","")</f>
        <v/>
      </c>
      <c r="L57" s="2847"/>
      <c r="M57" s="776" t="str">
        <f>IF(项目基本情况!I6="上海银行",M70,"")</f>
        <v/>
      </c>
      <c r="N57" s="2827" t="str">
        <f>IF(项目基本情况!I6="上海银行","包含处置中涉及的律师、诉讼、拍卖、评估等费用","")</f>
        <v/>
      </c>
      <c r="O57" s="2828"/>
      <c r="P57" s="1840"/>
    </row>
    <row r="58" spans="1:16" ht="12.75">
      <c r="A58" s="98" t="s">
        <v>1842</v>
      </c>
      <c r="B58" s="2914" t="s">
        <v>1870</v>
      </c>
      <c r="C58" s="2916"/>
      <c r="D58" s="102">
        <v>0</v>
      </c>
      <c r="E58" s="13" t="s">
        <v>1844</v>
      </c>
      <c r="F58" s="69"/>
      <c r="G58" s="2258"/>
      <c r="H58" s="1017"/>
      <c r="I58" s="1017"/>
      <c r="J58" s="2829">
        <f>IF(AND(J56="",J57=""),4,IF(项目基本情况!I6="上海银行",J57+1,J56+1))</f>
        <v>4</v>
      </c>
      <c r="K58" s="2829" t="s">
        <v>1871</v>
      </c>
      <c r="L58" s="2262" t="s">
        <v>1872</v>
      </c>
      <c r="M58" s="781"/>
      <c r="N58" s="782">
        <f>SUMIF(M53:M57,"&lt;9e307")</f>
        <v>0</v>
      </c>
      <c r="O58" s="2263"/>
      <c r="P58" s="1836" t="e">
        <f>N58/M50</f>
        <v>#DIV/0!</v>
      </c>
    </row>
    <row r="59" spans="1:16" ht="24.75">
      <c r="A59" s="98" t="s">
        <v>1853</v>
      </c>
      <c r="B59" s="2914" t="s">
        <v>1873</v>
      </c>
      <c r="C59" s="2915"/>
      <c r="D59" s="100">
        <f>IF(H59="转让取得",C82,C98)</f>
        <v>0</v>
      </c>
      <c r="E59" s="10" t="s">
        <v>1868</v>
      </c>
      <c r="F59" s="14" t="s">
        <v>48</v>
      </c>
      <c r="G59" s="2258"/>
      <c r="H59" s="2261" t="s">
        <v>1874</v>
      </c>
      <c r="I59" s="1017"/>
      <c r="J59" s="2829"/>
      <c r="K59" s="2829"/>
      <c r="L59" s="2262" t="s">
        <v>1875</v>
      </c>
      <c r="M59" s="783"/>
      <c r="N59" s="2264" t="str">
        <f>IF(H19="元",NUMBERSTRING(INT(N58),2)&amp;"元整",NUMBERSTRING(INT(N58*10000),2)&amp;"元整")</f>
        <v>零元整</v>
      </c>
      <c r="O59" s="2265"/>
      <c r="P59" s="1840"/>
    </row>
    <row r="60" spans="1:16" ht="24.75" thickBot="1">
      <c r="A60" s="2792" t="s">
        <v>1876</v>
      </c>
      <c r="B60" s="2795"/>
      <c r="C60" s="2795"/>
      <c r="D60" s="103" t="str">
        <f>IF(H60="非个人房产","——",IF(H60="个人住宅",0,ROUND(D46*I60,0)))</f>
        <v>——</v>
      </c>
      <c r="E60" s="104" t="str">
        <f>IF(H60="非个人房产","——","销售额×税（费）率")</f>
        <v>——</v>
      </c>
      <c r="F60" s="105" t="str">
        <f>IF(H60="非个人房产","——",IF(H60="个人住宅","免征",I60))</f>
        <v>——</v>
      </c>
      <c r="G60" s="2266" t="s">
        <v>1869</v>
      </c>
      <c r="H60" s="2261" t="s">
        <v>1998</v>
      </c>
      <c r="I60" s="106">
        <v>0.01</v>
      </c>
      <c r="J60" s="2883">
        <f>J58+1</f>
        <v>5</v>
      </c>
      <c r="K60" s="2829" t="s">
        <v>1878</v>
      </c>
      <c r="L60" s="1878" t="s">
        <v>1872</v>
      </c>
      <c r="M60" s="784"/>
      <c r="N60" s="785">
        <f>M50-N58</f>
        <v>0</v>
      </c>
      <c r="O60" s="2267"/>
      <c r="P60" s="1840"/>
    </row>
    <row r="61" spans="1:16" ht="12" customHeight="1">
      <c r="A61" s="2062"/>
      <c r="B61" s="2191"/>
      <c r="C61" s="2191"/>
      <c r="D61" s="2191"/>
      <c r="E61" s="1017"/>
      <c r="F61" s="1017"/>
      <c r="G61" s="1017"/>
      <c r="H61" s="2244"/>
      <c r="I61" s="2191"/>
      <c r="J61" s="2884"/>
      <c r="K61" s="2829"/>
      <c r="L61" s="2262" t="s">
        <v>1875</v>
      </c>
      <c r="M61" s="783"/>
      <c r="N61" s="2264" t="str">
        <f>IF(H19="元",NUMBERSTRING(INT(N60),2)&amp;"元整",NUMBERSTRING(INT(N60*10000),2)&amp;"元整")</f>
        <v>零元整</v>
      </c>
      <c r="O61" s="2265"/>
      <c r="P61" s="1840"/>
    </row>
    <row r="62" spans="1:16" ht="13.5" thickBot="1">
      <c r="A62" s="2930" t="s">
        <v>1879</v>
      </c>
      <c r="B62" s="2930"/>
      <c r="C62" s="2930"/>
      <c r="D62" s="2930"/>
      <c r="E62" s="2930"/>
      <c r="F62" s="1017"/>
      <c r="G62" s="1017"/>
      <c r="H62" s="2244"/>
      <c r="I62" s="2191"/>
      <c r="J62" s="1878">
        <f>J60+1</f>
        <v>6</v>
      </c>
      <c r="K62" s="2829" t="s">
        <v>1880</v>
      </c>
      <c r="L62" s="2829"/>
      <c r="M62" s="786"/>
      <c r="N62" s="787">
        <f>IF(H19="元",ROUND(N60/项目基本情况!C12,0),ROUND(N60*10000/项目基本情况!C12,0))</f>
        <v>0</v>
      </c>
      <c r="O62" s="2268"/>
      <c r="P62" s="1840"/>
    </row>
    <row r="63" spans="1:16" ht="12.75">
      <c r="A63" s="2867" t="s">
        <v>1881</v>
      </c>
      <c r="B63" s="2868"/>
      <c r="C63" s="1880"/>
      <c r="D63" s="1880" t="s">
        <v>1882</v>
      </c>
      <c r="E63" s="107" t="s">
        <v>1883</v>
      </c>
      <c r="F63" s="1017"/>
      <c r="G63" s="1017"/>
      <c r="H63" s="2244"/>
      <c r="I63" s="2191"/>
      <c r="J63" s="1840"/>
      <c r="K63" s="1840"/>
      <c r="L63" s="1840"/>
      <c r="M63" s="1840"/>
      <c r="N63" s="1840"/>
      <c r="O63" s="1840"/>
      <c r="P63" s="1840"/>
    </row>
    <row r="64" spans="1:16" ht="12.75">
      <c r="A64" s="108">
        <v>1</v>
      </c>
      <c r="B64" s="109" t="s">
        <v>1884</v>
      </c>
      <c r="C64" s="110">
        <f>ROUND((C65+C66)/(1+'数据-取费表'!F30),0)</f>
        <v>0</v>
      </c>
      <c r="D64" s="111"/>
      <c r="E64" s="112"/>
      <c r="F64" s="1017"/>
      <c r="G64" s="1017"/>
      <c r="H64" s="2244"/>
      <c r="I64" s="2191"/>
      <c r="J64" s="2848" t="s">
        <v>1885</v>
      </c>
      <c r="K64" s="2269" t="s">
        <v>1886</v>
      </c>
      <c r="L64" s="1839">
        <f>IF(M50&gt;10000,M50*0.5%,IF(AND(M50&gt;1000,M50&lt;=10000),M50*1%,IF(AND(M50&gt;100,M50&lt;=1000),M50*3%,IF(AND(M50&gt;10,M50&lt;=100),M50*5%,M50*8%))))</f>
        <v>0</v>
      </c>
      <c r="M64" s="14">
        <f>ROUND(L64,1)</f>
        <v>0</v>
      </c>
      <c r="N64" s="1840"/>
      <c r="O64" s="1840"/>
      <c r="P64" s="1840"/>
    </row>
    <row r="65" spans="1:35" ht="12.75">
      <c r="A65" s="113" t="s">
        <v>71</v>
      </c>
      <c r="B65" s="114" t="s">
        <v>1887</v>
      </c>
      <c r="C65" s="115">
        <f>D46</f>
        <v>0</v>
      </c>
      <c r="D65" s="116" t="s">
        <v>41</v>
      </c>
      <c r="E65" s="117"/>
      <c r="F65" s="1017"/>
      <c r="G65" s="1017"/>
      <c r="H65" s="2244"/>
      <c r="I65" s="2191"/>
      <c r="J65" s="2848"/>
      <c r="K65" s="2269" t="s">
        <v>1888</v>
      </c>
      <c r="L65" s="1839" t="b">
        <f>IF(M50&gt;2000,M50*0.5%,IF(AND(M50&gt;1000,M50&lt;=2000),M50*0.6%,IF(AND(M50&gt;500,M50&lt;=1000),M50*0.7%,IF(AND(M50&gt;200,M50&lt;=500),M50*0.8%,IF(AND(M50&gt;100,M50&lt;=200),M50*0.9%,IF(AND(M50&gt;50,M50&lt;=100),M50*1%,IF(AND(M50&gt;20,M50&lt;=50),M50*1.5%,IF(AND(M50&gt;10,M50&lt;=20),M50*2%,IF(AND(M50&gt;1,M50&lt;=10),M50*2.5%)))))))))</f>
        <v>0</v>
      </c>
      <c r="M65" s="14">
        <f>ROUND(L65,1)</f>
        <v>0</v>
      </c>
      <c r="N65" s="1840" t="s">
        <v>1889</v>
      </c>
      <c r="O65" s="1840"/>
      <c r="P65" s="1840"/>
    </row>
    <row r="66" spans="1:35" ht="12.75">
      <c r="A66" s="113" t="s">
        <v>72</v>
      </c>
      <c r="B66" s="114" t="s">
        <v>1890</v>
      </c>
      <c r="C66" s="118"/>
      <c r="D66" s="116"/>
      <c r="E66" s="117"/>
      <c r="F66" s="1017"/>
      <c r="G66" s="1017"/>
      <c r="H66" s="2244"/>
      <c r="I66" s="2191"/>
      <c r="J66" s="2848"/>
      <c r="K66" s="2269" t="s">
        <v>1891</v>
      </c>
      <c r="L66" s="1839" t="b">
        <f>IF(M50&gt;1000,M50*0.1%,IF(AND(M50&gt;500,M50&lt;=1000),M50*0.5%,IF(AND(M50&gt;50,M50&lt;=500),M50*1%,IF(AND(M50&gt;1,M50&lt;=50),M50*1.5%))))</f>
        <v>0</v>
      </c>
      <c r="M66" s="14">
        <f>ROUND(L66,1)</f>
        <v>0</v>
      </c>
      <c r="N66" s="1840" t="s">
        <v>1889</v>
      </c>
      <c r="O66" s="1840"/>
      <c r="P66" s="1840"/>
    </row>
    <row r="67" spans="1:35" ht="12.75">
      <c r="A67" s="119" t="s">
        <v>47</v>
      </c>
      <c r="B67" s="120" t="s">
        <v>1892</v>
      </c>
      <c r="C67" s="121"/>
      <c r="D67" s="122" t="s">
        <v>41</v>
      </c>
      <c r="E67" s="1856" t="s">
        <v>1893</v>
      </c>
      <c r="F67" s="1017"/>
      <c r="G67" s="1017"/>
      <c r="H67" s="2244"/>
      <c r="I67" s="2191"/>
      <c r="J67" s="2848"/>
      <c r="K67" s="2269" t="s">
        <v>1894</v>
      </c>
      <c r="L67" s="1839">
        <f>M50*0.5%</f>
        <v>0</v>
      </c>
      <c r="M67" s="14">
        <f>IF(L67&gt;0.5,0.5,ROUND(L67,0))</f>
        <v>0</v>
      </c>
      <c r="N67" s="1840" t="s">
        <v>1895</v>
      </c>
      <c r="O67" s="1840"/>
      <c r="P67" s="1840"/>
    </row>
    <row r="68" spans="1:35" ht="12.75">
      <c r="A68" s="119" t="s">
        <v>42</v>
      </c>
      <c r="B68" s="120" t="s">
        <v>1896</v>
      </c>
      <c r="C68" s="123">
        <f>C64-C67</f>
        <v>0</v>
      </c>
      <c r="D68" s="116" t="s">
        <v>41</v>
      </c>
      <c r="E68" s="117"/>
      <c r="F68" s="1017"/>
      <c r="G68" s="1017"/>
      <c r="H68" s="2244"/>
      <c r="I68" s="2191"/>
      <c r="J68" s="2848"/>
      <c r="K68" s="2269" t="s">
        <v>1897</v>
      </c>
      <c r="L68" s="1839"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0"/>
      <c r="O68" s="1840"/>
      <c r="P68" s="1840"/>
    </row>
    <row r="69" spans="1:35" ht="13.5" thickBot="1">
      <c r="A69" s="124" t="s">
        <v>46</v>
      </c>
      <c r="B69" s="125" t="s">
        <v>1898</v>
      </c>
      <c r="C69" s="126">
        <f>IF(C68&lt;=0,0,ROUND(C68*D69,0))</f>
        <v>0</v>
      </c>
      <c r="D69" s="127">
        <f>'数据-取费表'!E29</f>
        <v>5.5000000000000007E-2</v>
      </c>
      <c r="E69" s="128"/>
      <c r="F69" s="1017"/>
      <c r="G69" s="1017"/>
      <c r="H69" s="2244"/>
      <c r="I69" s="2191"/>
      <c r="J69" s="2848"/>
      <c r="K69" s="2269" t="s">
        <v>1899</v>
      </c>
      <c r="L69" s="1839">
        <f>IF(M50&gt;10000,M50*0.5%,IF(AND(M50&gt;5000,M50&lt;=10000),M50*1%,IF(AND(M50&gt;1000,M50&lt;=5000),M50*2%,IF(AND(M50&gt;200,M50&lt;=1000),M50*3%,M50*5%))))</f>
        <v>0</v>
      </c>
      <c r="M69" s="14">
        <f>ROUND(L69,1)</f>
        <v>0</v>
      </c>
      <c r="N69" s="1840"/>
      <c r="O69" s="1840"/>
      <c r="P69" s="1840"/>
    </row>
    <row r="70" spans="1:35" s="2218" customFormat="1" ht="7.5" customHeight="1">
      <c r="A70" s="2270"/>
      <c r="B70" s="2271"/>
      <c r="C70" s="2272"/>
      <c r="D70" s="2273"/>
      <c r="E70" s="2274"/>
      <c r="F70" s="1017"/>
      <c r="G70" s="1017"/>
      <c r="H70" s="2244"/>
      <c r="I70" s="2191"/>
      <c r="J70" s="2848"/>
      <c r="K70" s="2269" t="s">
        <v>1900</v>
      </c>
      <c r="L70" s="2275"/>
      <c r="M70" s="14">
        <f>ROUND(SUM(M64:M69),0)</f>
        <v>0</v>
      </c>
      <c r="N70" s="1836" t="e">
        <f>M70/M50</f>
        <v>#DIV/0!</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7" customFormat="1" ht="15" thickBot="1">
      <c r="A71" s="2869" t="s">
        <v>1901</v>
      </c>
      <c r="B71" s="2870"/>
      <c r="C71" s="2870"/>
      <c r="D71" s="2870"/>
      <c r="E71" s="2870"/>
      <c r="F71" s="2870"/>
      <c r="G71" s="2870"/>
      <c r="H71" s="2870"/>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867" t="s">
        <v>1881</v>
      </c>
      <c r="B72" s="2868"/>
      <c r="C72" s="1880"/>
      <c r="D72" s="1880" t="s">
        <v>1882</v>
      </c>
      <c r="E72" s="129" t="s">
        <v>1883</v>
      </c>
      <c r="F72" s="130"/>
      <c r="G72" s="130"/>
      <c r="H72" s="131"/>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2">
        <v>1</v>
      </c>
      <c r="B73" s="120" t="s">
        <v>1902</v>
      </c>
      <c r="C73" s="123">
        <f>ROUND(D46/(1+'数据-取费表'!F30),0)</f>
        <v>0</v>
      </c>
      <c r="D73" s="116" t="s">
        <v>41</v>
      </c>
      <c r="E73" s="1883"/>
      <c r="F73" s="1884"/>
      <c r="G73" s="1884"/>
      <c r="H73" s="133"/>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4">
        <v>2</v>
      </c>
      <c r="B74" s="88" t="s">
        <v>1904</v>
      </c>
      <c r="C74" s="123">
        <f>C75+C79</f>
        <v>0</v>
      </c>
      <c r="D74" s="116" t="s">
        <v>41</v>
      </c>
      <c r="E74" s="1883"/>
      <c r="F74" s="1884"/>
      <c r="G74" s="1884"/>
      <c r="H74" s="133"/>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5" t="s">
        <v>73</v>
      </c>
      <c r="B75" s="114" t="s">
        <v>1905</v>
      </c>
      <c r="C75" s="116">
        <f>ROUND(IF(G78="2016年5月1日后购买",C76/(1+'数据-取费表'!F30)+C77+C78,C76+C77+C78),0)</f>
        <v>0</v>
      </c>
      <c r="D75" s="116" t="s">
        <v>41</v>
      </c>
      <c r="E75" s="1883"/>
      <c r="F75" s="1884"/>
      <c r="G75" s="1884"/>
      <c r="H75" s="133"/>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5" t="s">
        <v>74</v>
      </c>
      <c r="B76" s="114" t="s">
        <v>1906</v>
      </c>
      <c r="C76" s="136"/>
      <c r="D76" s="116" t="s">
        <v>41</v>
      </c>
      <c r="E76" s="137" t="s">
        <v>1907</v>
      </c>
      <c r="F76" s="2280" t="s">
        <v>1908</v>
      </c>
      <c r="G76" s="137" t="s">
        <v>1909</v>
      </c>
      <c r="H76" s="138"/>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5" t="s">
        <v>75</v>
      </c>
      <c r="B77" s="139" t="s">
        <v>1910</v>
      </c>
      <c r="C77" s="116">
        <f>IF(F76="购房发票",ROUND(C76*H76*D77,0),0)</f>
        <v>0</v>
      </c>
      <c r="D77" s="140">
        <v>0.05</v>
      </c>
      <c r="E77" s="2905" t="s">
        <v>1911</v>
      </c>
      <c r="F77" s="2906"/>
      <c r="G77" s="2906"/>
      <c r="H77" s="2907"/>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5" t="s">
        <v>76</v>
      </c>
      <c r="B78" s="114" t="s">
        <v>1912</v>
      </c>
      <c r="C78" s="116">
        <f>ROUND(IF(G78="个人住宅",0,IF(G78="2016年5月1日前购买",C76*D78,C76*D78/(1+'数据-取费表'!F30))),0)</f>
        <v>0</v>
      </c>
      <c r="D78" s="141">
        <f>'数据-取费表'!E36+'数据-取费表'!E37</f>
        <v>3.0499999999999999E-2</v>
      </c>
      <c r="E78" s="12" t="s">
        <v>1913</v>
      </c>
      <c r="F78" s="142"/>
      <c r="G78" s="2281" t="s">
        <v>1914</v>
      </c>
      <c r="H78" s="1885"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5" t="s">
        <v>77</v>
      </c>
      <c r="B79" s="114" t="s">
        <v>1915</v>
      </c>
      <c r="C79" s="143">
        <f>ROUND(D46*D79/(1+'数据-取费表'!F30),0)</f>
        <v>0</v>
      </c>
      <c r="D79" s="144">
        <f>'数据-取费表'!E31</f>
        <v>5.000000000000001E-3</v>
      </c>
      <c r="E79" s="2836" t="s">
        <v>1916</v>
      </c>
      <c r="F79" s="2837"/>
      <c r="G79" s="2837"/>
      <c r="H79" s="2857"/>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5" t="s">
        <v>42</v>
      </c>
      <c r="B80" s="120" t="s">
        <v>1917</v>
      </c>
      <c r="C80" s="123">
        <f>C73-C74</f>
        <v>0</v>
      </c>
      <c r="D80" s="116" t="s">
        <v>41</v>
      </c>
      <c r="E80" s="1883"/>
      <c r="F80" s="1884"/>
      <c r="G80" s="1884"/>
      <c r="H80" s="133"/>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5" t="s">
        <v>43</v>
      </c>
      <c r="B81" s="120" t="s">
        <v>1918</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7" t="s">
        <v>44</v>
      </c>
      <c r="B82" s="125" t="s">
        <v>1919</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869" t="s">
        <v>1920</v>
      </c>
      <c r="B84" s="2870"/>
      <c r="C84" s="2870"/>
      <c r="D84" s="2870"/>
      <c r="E84" s="2870"/>
      <c r="F84" s="2870"/>
      <c r="G84" s="2870"/>
      <c r="H84" s="2870"/>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867" t="s">
        <v>1881</v>
      </c>
      <c r="B85" s="2868"/>
      <c r="C85" s="1880"/>
      <c r="D85" s="1880" t="s">
        <v>1882</v>
      </c>
      <c r="E85" s="129" t="s">
        <v>1883</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2">
        <v>1</v>
      </c>
      <c r="B86" s="120" t="s">
        <v>1902</v>
      </c>
      <c r="C86" s="123">
        <f>ROUND(D46/(1+'数据-取费表'!F30),0)</f>
        <v>0</v>
      </c>
      <c r="D86" s="116" t="s">
        <v>41</v>
      </c>
      <c r="E86" s="1883"/>
      <c r="F86" s="1884"/>
      <c r="G86" s="1884"/>
      <c r="H86" s="154"/>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4">
        <v>2</v>
      </c>
      <c r="B87" s="88" t="s">
        <v>1904</v>
      </c>
      <c r="C87" s="123">
        <f>IF(H89="仅含出让金",C88+C91+C92+C93+C94+C95,C88+C92+C93+C94+C95)</f>
        <v>0</v>
      </c>
      <c r="D87" s="155"/>
      <c r="E87" s="1883"/>
      <c r="F87" s="1884"/>
      <c r="G87" s="1884"/>
      <c r="H87" s="154"/>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5" t="s">
        <v>73</v>
      </c>
      <c r="B88" s="114" t="s">
        <v>1921</v>
      </c>
      <c r="C88" s="143">
        <f>C89+C90</f>
        <v>0</v>
      </c>
      <c r="D88" s="144"/>
      <c r="E88" s="1876"/>
      <c r="F88" s="1877"/>
      <c r="G88" s="1877"/>
      <c r="H88" s="1879"/>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5" t="s">
        <v>74</v>
      </c>
      <c r="B89" s="114" t="s">
        <v>1922</v>
      </c>
      <c r="C89" s="156"/>
      <c r="D89" s="144"/>
      <c r="E89" s="157" t="s">
        <v>1923</v>
      </c>
      <c r="F89" s="1877"/>
      <c r="G89" s="158" t="s">
        <v>1924</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5" t="s">
        <v>75</v>
      </c>
      <c r="B90" s="114" t="s">
        <v>1912</v>
      </c>
      <c r="C90" s="143">
        <f>ROUND(C89*D90,0)</f>
        <v>0</v>
      </c>
      <c r="D90" s="144">
        <f>'数据-取费表'!E36+'数据-取费表'!E37</f>
        <v>3.0499999999999999E-2</v>
      </c>
      <c r="E90" s="157" t="s">
        <v>1925</v>
      </c>
      <c r="F90" s="1877"/>
      <c r="G90" s="1877"/>
      <c r="H90" s="1879"/>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5" t="s">
        <v>77</v>
      </c>
      <c r="B91" s="114" t="s">
        <v>1926</v>
      </c>
      <c r="C91" s="156"/>
      <c r="D91" s="144"/>
      <c r="E91" s="157" t="str">
        <f>IF(H89="-","土地取得成本中已包含该笔费用"," ")</f>
        <v xml:space="preserve"> </v>
      </c>
      <c r="F91" s="1877"/>
      <c r="G91" s="1877"/>
      <c r="H91" s="1879"/>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5" t="s">
        <v>78</v>
      </c>
      <c r="B92" s="114" t="s">
        <v>1927</v>
      </c>
      <c r="C92" s="143">
        <f>IF(H92="——",成本法!C33,I92)</f>
        <v>0</v>
      </c>
      <c r="D92" s="144"/>
      <c r="E92" s="2836" t="s">
        <v>1928</v>
      </c>
      <c r="F92" s="2837"/>
      <c r="G92" s="2837"/>
      <c r="H92" s="2284" t="s">
        <v>1929</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5" t="s">
        <v>79</v>
      </c>
      <c r="B93" s="114" t="s">
        <v>1930</v>
      </c>
      <c r="C93" s="143">
        <f>ROUND((C88+C91+C92)*D93,0)</f>
        <v>0</v>
      </c>
      <c r="D93" s="144">
        <v>0.1</v>
      </c>
      <c r="E93" s="2836" t="s">
        <v>1931</v>
      </c>
      <c r="F93" s="2837"/>
      <c r="G93" s="2837"/>
      <c r="H93" s="285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5" t="s">
        <v>80</v>
      </c>
      <c r="B94" s="114" t="s">
        <v>1915</v>
      </c>
      <c r="C94" s="143">
        <f>ROUND(D46*D94/(1+'数据-取费表'!F30),0)</f>
        <v>0</v>
      </c>
      <c r="D94" s="144">
        <f>'数据-取费表'!E31</f>
        <v>5.000000000000001E-3</v>
      </c>
      <c r="E94" s="2836" t="s">
        <v>1916</v>
      </c>
      <c r="F94" s="2837"/>
      <c r="G94" s="2837"/>
      <c r="H94" s="285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5" t="s">
        <v>81</v>
      </c>
      <c r="B95" s="114" t="s">
        <v>1932</v>
      </c>
      <c r="C95" s="143">
        <f>ROUND((C88+C91+C92)*D95,0)</f>
        <v>0</v>
      </c>
      <c r="D95" s="144">
        <v>0.2</v>
      </c>
      <c r="E95" s="2836" t="s">
        <v>1933</v>
      </c>
      <c r="F95" s="2837"/>
      <c r="G95" s="2837"/>
      <c r="H95" s="2857"/>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5" t="s">
        <v>42</v>
      </c>
      <c r="B96" s="120" t="s">
        <v>1917</v>
      </c>
      <c r="C96" s="123">
        <f>ROUND(C86-C87,0)</f>
        <v>0</v>
      </c>
      <c r="D96" s="116" t="s">
        <v>41</v>
      </c>
      <c r="E96" s="1883"/>
      <c r="F96" s="1884"/>
      <c r="G96" s="1884"/>
      <c r="H96" s="154"/>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5" t="s">
        <v>43</v>
      </c>
      <c r="B97" s="120" t="s">
        <v>1918</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4"/>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7" t="s">
        <v>44</v>
      </c>
      <c r="B98" s="125" t="s">
        <v>1919</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1934</v>
      </c>
      <c r="B99" s="2191"/>
      <c r="C99" s="2191"/>
      <c r="D99" s="2191"/>
      <c r="E99" s="1017"/>
      <c r="F99" s="1017"/>
      <c r="G99" s="1017"/>
      <c r="H99" s="2244"/>
      <c r="I99" s="2191"/>
    </row>
    <row r="100" spans="1:35" ht="15.75">
      <c r="A100" s="2854" t="s">
        <v>1935</v>
      </c>
      <c r="B100" s="2855"/>
      <c r="C100" s="2855"/>
      <c r="D100" s="2856"/>
      <c r="E100" s="2191"/>
      <c r="F100" s="2864" t="s">
        <v>1936</v>
      </c>
      <c r="G100" s="2865"/>
      <c r="H100" s="2865"/>
      <c r="I100" s="2866"/>
    </row>
    <row r="101" spans="1:35" ht="15.75">
      <c r="A101" s="2871" t="s">
        <v>1937</v>
      </c>
      <c r="B101" s="2872"/>
      <c r="C101" s="718">
        <f>C4</f>
        <v>0</v>
      </c>
      <c r="D101" s="719">
        <f>D4</f>
        <v>0</v>
      </c>
      <c r="E101" s="2191"/>
      <c r="F101" s="2873" t="s">
        <v>1938</v>
      </c>
      <c r="G101" s="2875"/>
      <c r="H101" s="2956" t="s">
        <v>1939</v>
      </c>
      <c r="I101" s="2874"/>
    </row>
    <row r="102" spans="1:35" ht="15.75">
      <c r="A102" s="2957" t="s">
        <v>1999</v>
      </c>
      <c r="B102" s="2286" t="str">
        <f>IF(H19="元","总价（元）","总价（万元）")</f>
        <v>总价（元）</v>
      </c>
      <c r="C102" s="718" t="e">
        <f ca="1">C19</f>
        <v>#REF!</v>
      </c>
      <c r="D102" s="719" t="e">
        <f ca="1">D19</f>
        <v>#REF!</v>
      </c>
      <c r="E102" s="2191"/>
      <c r="F102" s="2958"/>
      <c r="G102" s="2959"/>
      <c r="H102" s="2934">
        <f>典型户型修正!B25</f>
        <v>103.71</v>
      </c>
      <c r="I102" s="2874"/>
    </row>
    <row r="103" spans="1:35" ht="15.75">
      <c r="A103" s="2957"/>
      <c r="B103" s="2286" t="s">
        <v>1941</v>
      </c>
      <c r="C103" s="720" t="e">
        <f ca="1">C20</f>
        <v>#REF!</v>
      </c>
      <c r="D103" s="721" t="e">
        <f ca="1">D20</f>
        <v>#REF!</v>
      </c>
      <c r="E103" s="2191"/>
      <c r="F103" s="2948" t="s">
        <v>1942</v>
      </c>
      <c r="G103" s="2949"/>
      <c r="H103" s="2287" t="str">
        <f>C109</f>
        <v>总价（元）</v>
      </c>
      <c r="I103" s="1857">
        <f>H124</f>
        <v>0</v>
      </c>
    </row>
    <row r="104" spans="1:35" ht="15">
      <c r="A104" s="2957" t="s">
        <v>2000</v>
      </c>
      <c r="B104" s="2288" t="str">
        <f>B102</f>
        <v>总价（元）</v>
      </c>
      <c r="C104" s="1185" t="e">
        <f ca="1">ROUND(IF('数据-取费表'!B4="总价",G19,IF(H19="元",G20*'数据-取费表'!E5,G20*'数据-取费表'!E5/10000)),0)</f>
        <v>#REF!</v>
      </c>
      <c r="D104" s="723"/>
      <c r="E104" s="2191"/>
      <c r="F104" s="2948"/>
      <c r="G104" s="2949"/>
      <c r="H104" s="2287" t="s">
        <v>1941</v>
      </c>
      <c r="I104" s="1045">
        <f>I124</f>
        <v>0</v>
      </c>
    </row>
    <row r="105" spans="1:35" ht="15.75">
      <c r="A105" s="2957"/>
      <c r="B105" s="2286" t="s">
        <v>1941</v>
      </c>
      <c r="C105" s="1186" t="e">
        <f ca="1">ROUND(IF('数据-取费表'!B4="楼面单价",G20,IF(H19="元",G19/'数据-取费表'!E5,G19*10000/'数据-取费表'!E5)),0)</f>
        <v>#REF!</v>
      </c>
      <c r="D105" s="723"/>
      <c r="E105" s="2191"/>
      <c r="F105" s="2860"/>
      <c r="G105" s="2861"/>
      <c r="H105" s="2895"/>
      <c r="I105" s="2896"/>
    </row>
    <row r="106" spans="1:35" ht="15.75">
      <c r="A106" s="2964" t="s">
        <v>2001</v>
      </c>
      <c r="B106" s="2326" t="str">
        <f>B102</f>
        <v>总价（元）</v>
      </c>
      <c r="C106" s="722">
        <f>H124</f>
        <v>0</v>
      </c>
      <c r="D106" s="1184"/>
      <c r="E106" s="2191"/>
      <c r="F106" s="2899" t="s">
        <v>1945</v>
      </c>
      <c r="G106" s="2900"/>
      <c r="H106" s="2290" t="str">
        <f>C111</f>
        <v>总额（元）</v>
      </c>
      <c r="I106" s="1857">
        <f>SUMIF(I107:I109,"&lt;9E307")</f>
        <v>0</v>
      </c>
    </row>
    <row r="107" spans="1:35" ht="15.75" thickBot="1">
      <c r="A107" s="2894"/>
      <c r="B107" s="2289" t="s">
        <v>1941</v>
      </c>
      <c r="C107" s="724">
        <f>I124</f>
        <v>0</v>
      </c>
      <c r="D107" s="725"/>
      <c r="E107" s="2191"/>
      <c r="F107" s="2862" t="s">
        <v>1947</v>
      </c>
      <c r="G107" s="2863"/>
      <c r="H107" s="2290" t="str">
        <f>C112</f>
        <v>总额（元）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0" t="s">
        <v>1944</v>
      </c>
      <c r="B108" s="2961"/>
      <c r="C108" s="2961"/>
      <c r="D108" s="2962"/>
      <c r="E108" s="2191"/>
      <c r="F108" s="2862" t="s">
        <v>1948</v>
      </c>
      <c r="G108" s="2863"/>
      <c r="H108" s="2290" t="str">
        <f>C113</f>
        <v>总额（元）</v>
      </c>
      <c r="I108" s="1045">
        <f>C38</f>
        <v>0</v>
      </c>
      <c r="K108" s="2291"/>
    </row>
    <row r="109" spans="1:35" ht="15">
      <c r="A109" s="2901" t="s">
        <v>2002</v>
      </c>
      <c r="B109" s="2902"/>
      <c r="C109" s="2287" t="str">
        <f>B102</f>
        <v>总价（元）</v>
      </c>
      <c r="D109" s="1046">
        <f>H124</f>
        <v>0</v>
      </c>
      <c r="E109" s="2191"/>
      <c r="F109" s="2862" t="s">
        <v>1950</v>
      </c>
      <c r="G109" s="2863"/>
      <c r="H109" s="2290" t="str">
        <f>C114</f>
        <v>总额（元）</v>
      </c>
      <c r="I109" s="1045">
        <f>C39</f>
        <v>0</v>
      </c>
    </row>
    <row r="110" spans="1:35" ht="15.75">
      <c r="A110" s="2901"/>
      <c r="B110" s="2902"/>
      <c r="C110" s="2287" t="s">
        <v>1941</v>
      </c>
      <c r="D110" s="1047">
        <f>I124</f>
        <v>0</v>
      </c>
      <c r="E110" s="2191"/>
      <c r="F110" s="2860"/>
      <c r="G110" s="2861"/>
      <c r="H110" s="2897"/>
      <c r="I110" s="2898"/>
    </row>
    <row r="111" spans="1:35" ht="28.5" customHeight="1">
      <c r="A111" s="2944" t="s">
        <v>1949</v>
      </c>
      <c r="B111" s="2945"/>
      <c r="C111" s="2290" t="str">
        <f>IF(H19="元","总额（元）","总额（万元）")</f>
        <v>总额（元）</v>
      </c>
      <c r="D111" s="1046">
        <f>IF(D37="正常操作",I107+I108+I109,I108+I109)</f>
        <v>0</v>
      </c>
      <c r="E111" s="2191"/>
      <c r="F111" s="2842" t="str">
        <f>IF(项目基本情况!F5="已注销","——","3.房地产抵押价值")</f>
        <v>3.房地产抵押价值</v>
      </c>
      <c r="G111" s="2843"/>
      <c r="H111" s="2327" t="str">
        <f>C115</f>
        <v>总价（元）</v>
      </c>
      <c r="I111" s="1857">
        <f>IF(F111="——","——",I103-I106)</f>
        <v>0</v>
      </c>
    </row>
    <row r="112" spans="1:35" ht="15">
      <c r="A112" s="2862" t="s">
        <v>1947</v>
      </c>
      <c r="B112" s="2863"/>
      <c r="C112" s="2290" t="str">
        <f>C111</f>
        <v>总额（元）</v>
      </c>
      <c r="D112" s="636">
        <f>IF(D37="同一抵押权人同一抵押物续贷",C37&amp;"（未扣减，详见特别提示）",C37)</f>
        <v>0</v>
      </c>
      <c r="E112" s="2191"/>
      <c r="F112" s="2844"/>
      <c r="G112" s="2845"/>
      <c r="H112" s="2287" t="s">
        <v>1941</v>
      </c>
      <c r="I112" s="2293">
        <f>D116</f>
        <v>0</v>
      </c>
    </row>
    <row r="113" spans="1:26" ht="15.75">
      <c r="A113" s="2862" t="s">
        <v>1948</v>
      </c>
      <c r="B113" s="2863"/>
      <c r="C113" s="2290" t="str">
        <f>C111</f>
        <v>总额（元）</v>
      </c>
      <c r="D113" s="636">
        <f>C38</f>
        <v>0</v>
      </c>
      <c r="E113" s="2191"/>
      <c r="F113" s="2842" t="str">
        <f>IF(项目基本情况!F5="已注销及未注销","4.抵押担保权已注销时的房地产抵押价值",IF(项目基本情况!F5="已注销","3.抵押担保权已注销时的房地产抵押价值","——"))</f>
        <v>——</v>
      </c>
      <c r="G113" s="2843"/>
      <c r="H113" s="2327" t="str">
        <f>C117</f>
        <v>总价（元）</v>
      </c>
      <c r="I113" s="1857" t="str">
        <f>IF(F113="——","——",I103-I108-I109)</f>
        <v>——</v>
      </c>
    </row>
    <row r="114" spans="1:26" ht="15">
      <c r="A114" s="2862" t="s">
        <v>1950</v>
      </c>
      <c r="B114" s="2863"/>
      <c r="C114" s="2290" t="str">
        <f>C111</f>
        <v>总额（元）</v>
      </c>
      <c r="D114" s="636">
        <f>C39</f>
        <v>0</v>
      </c>
      <c r="E114" s="2191"/>
      <c r="F114" s="2844"/>
      <c r="G114" s="2845"/>
      <c r="H114" s="2287" t="s">
        <v>1941</v>
      </c>
      <c r="I114" s="1045" t="str">
        <f>D118</f>
        <v>——</v>
      </c>
    </row>
    <row r="115" spans="1:26" ht="15.75">
      <c r="A115" s="2901" t="str">
        <f>IF(项目基本情况!F5="已注销","——","3.房地产抵押价值")</f>
        <v>3.房地产抵押价值</v>
      </c>
      <c r="B115" s="2902"/>
      <c r="C115" s="2287" t="str">
        <f>B102</f>
        <v>总价（元）</v>
      </c>
      <c r="D115" s="1046">
        <f>IF(A115="——","——",D109-D111)</f>
        <v>0</v>
      </c>
      <c r="E115" s="2191"/>
      <c r="F115" s="2842" t="str">
        <f>IF(项目基本情况!G5="抵押净值",IF(OR(项目基本情况!F5="已注销",项目基本情况!F5="房地产抵押价值"),"4.抵押净值","5.抵押净值"),"——")</f>
        <v>——</v>
      </c>
      <c r="G115" s="2843"/>
      <c r="H115" s="2287" t="str">
        <f>C119</f>
        <v>总价（元）</v>
      </c>
      <c r="I115" s="1857" t="str">
        <f>IF(F115="——","——",N60)</f>
        <v>——</v>
      </c>
    </row>
    <row r="116" spans="1:26" ht="15.75" thickBot="1">
      <c r="A116" s="2901"/>
      <c r="B116" s="2902"/>
      <c r="C116" s="2287" t="s">
        <v>2003</v>
      </c>
      <c r="D116" s="1047">
        <f>ROUND(IF(D115=D109,D110,IF(H19="元",D115/B124,D115*10000/B124)),0)</f>
        <v>0</v>
      </c>
      <c r="E116" s="2191"/>
      <c r="F116" s="2935"/>
      <c r="G116" s="2936"/>
      <c r="H116" s="2295" t="s">
        <v>2003</v>
      </c>
      <c r="I116" s="1859" t="str">
        <f>D120</f>
        <v>——</v>
      </c>
    </row>
    <row r="117" spans="1:26" ht="15.75">
      <c r="A117" s="2901" t="str">
        <f>IF(项目基本情况!F5="已注销及未注销","4.抵押担保权已注销时的房地产抵押价值",IF(项目基本情况!F5="已注销","3.抵押担保权已注销时的房地产抵押价值","——"))</f>
        <v>——</v>
      </c>
      <c r="B117" s="2902"/>
      <c r="C117" s="2287" t="str">
        <f>B102</f>
        <v>总价（元）</v>
      </c>
      <c r="D117" s="1046" t="str">
        <f>IF(A117="——","——",D109-D113-D114)</f>
        <v>——</v>
      </c>
      <c r="E117" s="2191"/>
      <c r="F117" s="2838"/>
      <c r="G117" s="2838"/>
      <c r="H117" s="2880"/>
      <c r="I117" s="2880"/>
      <c r="N117" s="54"/>
      <c r="O117" s="54"/>
    </row>
    <row r="118" spans="1:26" s="1840" customFormat="1" ht="15">
      <c r="A118" s="2901"/>
      <c r="B118" s="2902"/>
      <c r="C118" s="2287" t="s">
        <v>2003</v>
      </c>
      <c r="D118" s="1047" t="str">
        <f>IF(A117="——","——",IF(H19="元",ROUND(D117/B124,0),ROUND(D117*10000/B124,0)))</f>
        <v>——</v>
      </c>
      <c r="E118" s="2191"/>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6"/>
      <c r="K118" s="796"/>
      <c r="L118" s="796"/>
      <c r="M118" s="796"/>
      <c r="N118" s="54"/>
      <c r="O118" s="54"/>
      <c r="P118" s="796"/>
      <c r="Q118" s="796"/>
      <c r="R118" s="796"/>
      <c r="S118" s="796"/>
      <c r="T118" s="796"/>
      <c r="U118" s="796"/>
      <c r="V118" s="796"/>
      <c r="W118" s="796"/>
      <c r="X118" s="796"/>
      <c r="Y118" s="796"/>
      <c r="Z118" s="796"/>
    </row>
    <row r="119" spans="1:26" s="1840" customFormat="1" ht="15">
      <c r="A119" s="2901" t="str">
        <f>IF(项目基本情况!G5="抵押净值",IF(OR(项目基本情况!F5="已注销",项目基本情况!F5="房地产抵押价值"),"4.抵押净值","5.抵押净值"),"——")</f>
        <v>——</v>
      </c>
      <c r="B119" s="2902"/>
      <c r="C119" s="2287" t="str">
        <f>B102</f>
        <v>总价（元）</v>
      </c>
      <c r="D119" s="1046" t="str">
        <f>IF(A119="——","——",N60)</f>
        <v>——</v>
      </c>
      <c r="E119" s="2191"/>
      <c r="F119" s="2328"/>
      <c r="G119" s="2328"/>
      <c r="H119" s="2328"/>
      <c r="I119" s="2328"/>
      <c r="J119" s="796"/>
      <c r="K119" s="796"/>
      <c r="L119" s="796"/>
      <c r="M119" s="796"/>
      <c r="N119" s="54"/>
      <c r="O119" s="54"/>
      <c r="P119" s="796"/>
      <c r="Q119" s="796"/>
      <c r="R119" s="796"/>
      <c r="S119" s="796"/>
      <c r="T119" s="796"/>
      <c r="U119" s="796"/>
      <c r="V119" s="796"/>
      <c r="W119" s="796"/>
      <c r="X119" s="796"/>
      <c r="Y119" s="796"/>
      <c r="Z119" s="796"/>
    </row>
    <row r="120" spans="1:26" s="1840" customFormat="1" ht="15.75" thickBot="1">
      <c r="A120" s="2942"/>
      <c r="B120" s="2943"/>
      <c r="C120" s="2295" t="s">
        <v>2003</v>
      </c>
      <c r="D120" s="1048" t="str">
        <f>IF(D119=D109,D110,IF(A119="——","——",N62))</f>
        <v>——</v>
      </c>
      <c r="E120" s="2191"/>
      <c r="F120" s="2328"/>
      <c r="G120" s="2328"/>
      <c r="H120" s="2328"/>
      <c r="I120" s="2328"/>
      <c r="J120" s="796"/>
      <c r="K120" s="796"/>
      <c r="L120" s="796"/>
      <c r="M120" s="796"/>
      <c r="N120" s="54"/>
      <c r="O120" s="54"/>
      <c r="P120" s="796"/>
      <c r="Q120" s="796"/>
      <c r="R120" s="796"/>
      <c r="S120" s="796"/>
      <c r="T120" s="796"/>
      <c r="U120" s="796"/>
      <c r="V120" s="796"/>
      <c r="W120" s="796"/>
      <c r="X120" s="796"/>
      <c r="Y120" s="796"/>
      <c r="Z120" s="796"/>
    </row>
    <row r="121" spans="1:26" s="1840" customFormat="1" ht="15">
      <c r="A121" s="2881" t="s">
        <v>2004</v>
      </c>
      <c r="B121" s="2882"/>
      <c r="C121" s="2882"/>
      <c r="D121" s="2882"/>
      <c r="E121" s="2882"/>
      <c r="F121" s="2882"/>
      <c r="G121" s="2882"/>
      <c r="H121" s="2882"/>
      <c r="I121" s="2882"/>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53" t="s">
        <v>1952</v>
      </c>
      <c r="B122" s="2851" t="s">
        <v>2005</v>
      </c>
      <c r="C122" s="2851" t="s">
        <v>2006</v>
      </c>
      <c r="D122" s="2858" t="s">
        <v>1955</v>
      </c>
      <c r="E122" s="2859"/>
      <c r="F122" s="2849" t="s">
        <v>2007</v>
      </c>
      <c r="G122" s="2849"/>
      <c r="H122" s="2849" t="s">
        <v>1956</v>
      </c>
      <c r="I122" s="2850"/>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53"/>
      <c r="B123" s="2852"/>
      <c r="C123" s="2852"/>
      <c r="D123" s="1882" t="s">
        <v>1957</v>
      </c>
      <c r="E123" s="1882" t="s">
        <v>1958</v>
      </c>
      <c r="F123" s="1882" t="s">
        <v>1957</v>
      </c>
      <c r="G123" s="1882" t="s">
        <v>1959</v>
      </c>
      <c r="H123" s="1882" t="s">
        <v>1957</v>
      </c>
      <c r="I123" s="636" t="s">
        <v>1959</v>
      </c>
      <c r="J123" s="796"/>
      <c r="K123" s="796"/>
      <c r="L123" s="796"/>
      <c r="M123" s="796"/>
      <c r="N123" s="796"/>
      <c r="O123" s="796"/>
      <c r="P123" s="796"/>
      <c r="Q123" s="796"/>
      <c r="R123" s="796"/>
      <c r="S123" s="796"/>
      <c r="T123" s="796"/>
      <c r="U123" s="796"/>
      <c r="V123" s="796"/>
      <c r="W123" s="796"/>
      <c r="X123" s="796"/>
      <c r="Y123" s="796"/>
      <c r="Z123" s="796"/>
    </row>
    <row r="124" spans="1:26" s="1840" customFormat="1" ht="14.25">
      <c r="A124" s="2177" t="str">
        <f>项目基本情况!I1</f>
        <v>北京市房地产</v>
      </c>
      <c r="B124" s="1882">
        <f>典型户型修正!B25</f>
        <v>103.71</v>
      </c>
      <c r="C124" s="399"/>
      <c r="D124" s="1882">
        <f>C35</f>
        <v>0</v>
      </c>
      <c r="E124" s="1882">
        <f>ROUND(IF(H19="元",D124/B124,D124*10000/B124),0)</f>
        <v>0</v>
      </c>
      <c r="F124" s="1882">
        <f>C36</f>
        <v>0</v>
      </c>
      <c r="G124" s="1882">
        <f>ROUND(IF(H19="元",F124/B124,F124*10000/B124),0)</f>
        <v>0</v>
      </c>
      <c r="H124" s="1882">
        <f>C33</f>
        <v>0</v>
      </c>
      <c r="I124" s="636">
        <f>C34</f>
        <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53" t="s">
        <v>1960</v>
      </c>
      <c r="B125" s="2849"/>
      <c r="C125" s="2849"/>
      <c r="D125" s="2885" t="str">
        <f>IF(H19="元",NUMBERSTRING(INT(D124),2)&amp;"元整",NUMBERSTRING(INT(D124*10000),2)&amp;"元整")</f>
        <v>零元整</v>
      </c>
      <c r="E125" s="2886"/>
      <c r="F125" s="2885" t="str">
        <f>IF(H19="元",NUMBERSTRING(INT(F124),2)&amp;"元整",NUMBERSTRING(INT(F124*10000),2)&amp;"元整")</f>
        <v>零元整</v>
      </c>
      <c r="G125" s="2886"/>
      <c r="H125" s="2885" t="str">
        <f>IF(H19="元",NUMBERSTRING(INT(H124),2)&amp;"元整",NUMBERSTRING(INT(H124*10000),2)&amp;"元整")</f>
        <v>零元整</v>
      </c>
      <c r="I125" s="2950"/>
      <c r="J125" s="796"/>
      <c r="K125" s="796"/>
      <c r="L125" s="796"/>
      <c r="M125" s="796"/>
      <c r="N125" s="796"/>
      <c r="O125" s="796"/>
      <c r="P125" s="796"/>
      <c r="Q125" s="796"/>
      <c r="R125" s="796"/>
      <c r="S125" s="796"/>
      <c r="T125" s="796"/>
      <c r="U125" s="796"/>
      <c r="V125" s="796"/>
      <c r="W125" s="796"/>
      <c r="X125" s="796"/>
      <c r="Y125" s="796"/>
      <c r="Z125" s="796"/>
    </row>
    <row r="126" spans="1:26" s="1840" customFormat="1" ht="15">
      <c r="A126" s="2887" t="str">
        <f>IF(项目基本情况!D5="房地产市场价值","——",MID(A111,3,LEN(A111)-2))</f>
        <v>估价师所知悉的法定优先受偿款</v>
      </c>
      <c r="B126" s="2888"/>
      <c r="C126" s="2889"/>
      <c r="D126" s="2878">
        <f>I106</f>
        <v>0</v>
      </c>
      <c r="E126" s="2888"/>
      <c r="F126" s="2888"/>
      <c r="G126" s="2888"/>
      <c r="H126" s="2888"/>
      <c r="I126" s="2937"/>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890" t="s">
        <v>1960</v>
      </c>
      <c r="B127" s="2891"/>
      <c r="C127" s="2892"/>
      <c r="D127" s="2938">
        <f>H110</f>
        <v>0</v>
      </c>
      <c r="E127" s="2939"/>
      <c r="F127" s="2939"/>
      <c r="G127" s="2939"/>
      <c r="H127" s="2939"/>
      <c r="I127" s="2940"/>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76" t="str">
        <f>IF(项目基本情况!D5="房地产市场价值","——",MID(A115,3,LEN(A115)-2))</f>
        <v>房地产抵押价值</v>
      </c>
      <c r="B128" s="2877"/>
      <c r="C128" s="2877"/>
      <c r="D128" s="2878">
        <f>I111</f>
        <v>0</v>
      </c>
      <c r="E128" s="2888"/>
      <c r="F128" s="2888"/>
      <c r="G128" s="2888"/>
      <c r="H128" s="2888"/>
      <c r="I128" s="2937"/>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53" t="s">
        <v>1960</v>
      </c>
      <c r="B129" s="2849"/>
      <c r="C129" s="2849"/>
      <c r="D129" s="2938">
        <f>I112</f>
        <v>0</v>
      </c>
      <c r="E129" s="2939"/>
      <c r="F129" s="2939"/>
      <c r="G129" s="2939"/>
      <c r="H129" s="2939"/>
      <c r="I129" s="2940"/>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76" t="str">
        <f>IF(项目基本情况!D5="房地产市场价值","——",MID(A117,3,LEN(A117)-2))</f>
        <v/>
      </c>
      <c r="B130" s="2877"/>
      <c r="C130" s="2877"/>
      <c r="D130" s="2833" t="str">
        <f>I113</f>
        <v>——</v>
      </c>
      <c r="E130" s="2834"/>
      <c r="F130" s="2834"/>
      <c r="G130" s="2834"/>
      <c r="H130" s="2834"/>
      <c r="I130" s="2835"/>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53" t="s">
        <v>1960</v>
      </c>
      <c r="B131" s="2849"/>
      <c r="C131" s="2933"/>
      <c r="D131" s="2879" t="str">
        <f>I114</f>
        <v>——</v>
      </c>
      <c r="E131" s="2879"/>
      <c r="F131" s="2879"/>
      <c r="G131" s="2879"/>
      <c r="H131" s="2879"/>
      <c r="I131" s="2879"/>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76" t="str">
        <f>IF(项目基本情况!D5="房地产市场价值","——",MID(F115,3,LEN(F115)-2))</f>
        <v/>
      </c>
      <c r="B132" s="2877"/>
      <c r="C132" s="2878"/>
      <c r="D132" s="2941" t="str">
        <f>I115</f>
        <v>——</v>
      </c>
      <c r="E132" s="2941"/>
      <c r="F132" s="2941"/>
      <c r="G132" s="2941"/>
      <c r="H132" s="2941"/>
      <c r="I132" s="2941"/>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946" t="s">
        <v>1960</v>
      </c>
      <c r="B133" s="2947"/>
      <c r="C133" s="2947"/>
      <c r="D133" s="2951">
        <f>H117</f>
        <v>0</v>
      </c>
      <c r="E133" s="2952"/>
      <c r="F133" s="2952"/>
      <c r="G133" s="2952"/>
      <c r="H133" s="2952"/>
      <c r="I133" s="2953"/>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931" t="str">
        <f>IF(B32="总价","（以上估价结果中楼面单价为总价除以建筑面积得出）","（以上估价结果中总价为楼面单价乘以建筑面积得出）")</f>
        <v>（以上估价结果中总价为楼面单价乘以建筑面积得出）</v>
      </c>
      <c r="B135" s="2931"/>
      <c r="C135" s="2931"/>
      <c r="D135" s="2931"/>
      <c r="E135" s="2931"/>
      <c r="F135" s="2931"/>
      <c r="G135" s="2931"/>
      <c r="H135" s="2931"/>
      <c r="I135" s="2931"/>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6" t="s">
        <v>1961</v>
      </c>
      <c r="B136" s="2297"/>
      <c r="C136" s="2298" t="s">
        <v>1962</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302">
        <v>3</v>
      </c>
      <c r="B139" s="2303"/>
      <c r="C139" s="2303"/>
      <c r="D139" s="2299"/>
      <c r="E139" s="2299"/>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9" t="s">
        <v>1963</v>
      </c>
      <c r="G142" s="2310"/>
      <c r="H142" s="2310"/>
      <c r="I142" s="2311" t="s">
        <v>1964</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12" t="s">
        <v>1965</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10"/>
      <c r="C145" s="2310"/>
      <c r="D145" s="2310"/>
      <c r="E145" s="2310"/>
      <c r="F145" s="2310"/>
      <c r="G145" s="2310"/>
      <c r="H145" s="2310"/>
      <c r="I145" s="2311" t="s">
        <v>1966</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12" t="s">
        <v>1967</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10"/>
      <c r="C148" s="2310"/>
      <c r="D148" s="2310"/>
      <c r="E148" s="2310"/>
      <c r="F148" s="2310"/>
      <c r="G148" s="2310"/>
      <c r="H148" s="2310"/>
      <c r="I148" s="2311" t="s">
        <v>1966</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2008</v>
      </c>
      <c r="B1" s="1316"/>
      <c r="C1" s="161"/>
      <c r="D1" s="161"/>
      <c r="E1" s="161"/>
      <c r="F1" s="161"/>
      <c r="G1" s="162"/>
    </row>
    <row r="2" spans="1:7" s="163" customFormat="1" ht="18" customHeight="1">
      <c r="A2" s="164" t="s">
        <v>2009</v>
      </c>
      <c r="B2" s="165">
        <f ca="1">IF(D2="——",IF(C2="元",C52,ROUND(C52/10000,0)),IF(C2="元",C52,ROUND(C52/10000,0))-E2)</f>
        <v>1779210</v>
      </c>
      <c r="C2" s="162" t="str">
        <f>'数据-取费表'!B3</f>
        <v>元</v>
      </c>
      <c r="D2" s="2329" t="s">
        <v>1253</v>
      </c>
      <c r="E2" s="1541" t="e">
        <f ca="1">SUMIF(INDIRECT("'"&amp;G2&amp;"'"&amp;"!A:A"),"承租人权益价值",INDIRECT("'"&amp;G2&amp;"'"&amp;"!c:c"))</f>
        <v>#REF!</v>
      </c>
      <c r="F2" s="2330" t="str">
        <f>C2</f>
        <v>元</v>
      </c>
      <c r="G2" s="1901"/>
    </row>
    <row r="3" spans="1:7" s="163" customFormat="1" ht="18" customHeight="1" thickBot="1">
      <c r="A3" s="166" t="s">
        <v>2010</v>
      </c>
      <c r="B3" s="167">
        <f ca="1">ROUND(C52/IF(B1="仅计算典型户型",'数据-取费表'!E5,'数据-取费表'!B5),0)</f>
        <v>17156</v>
      </c>
      <c r="C3" s="162" t="s">
        <v>2011</v>
      </c>
      <c r="D3" s="162"/>
      <c r="E3" s="162"/>
      <c r="F3" s="162"/>
      <c r="G3" s="162"/>
    </row>
    <row r="4" spans="1:7" s="171" customFormat="1" ht="15.75">
      <c r="A4" s="168" t="s">
        <v>2012</v>
      </c>
      <c r="B4" s="169"/>
      <c r="C4" s="169"/>
      <c r="D4" s="169"/>
      <c r="E4" s="169"/>
      <c r="F4" s="169"/>
      <c r="G4" s="170"/>
    </row>
    <row r="5" spans="1:7" s="174" customFormat="1" ht="13.5" customHeight="1">
      <c r="A5" s="203" t="s">
        <v>2013</v>
      </c>
      <c r="B5" s="172" t="s">
        <v>2014</v>
      </c>
      <c r="C5" s="194">
        <f>C6+C7+C8</f>
        <v>1030502</v>
      </c>
      <c r="D5" s="194" t="s">
        <v>2015</v>
      </c>
      <c r="E5" s="1527" t="s">
        <v>2016</v>
      </c>
      <c r="F5" s="1527" t="s">
        <v>2017</v>
      </c>
      <c r="G5" s="173"/>
    </row>
    <row r="6" spans="1:7" s="174" customFormat="1" ht="13.5" customHeight="1">
      <c r="A6" s="175" t="s">
        <v>2018</v>
      </c>
      <c r="B6" s="176" t="s">
        <v>2019</v>
      </c>
      <c r="C6" s="1526">
        <v>1000000</v>
      </c>
      <c r="D6" s="1528"/>
      <c r="E6" s="1529"/>
      <c r="F6" s="1529"/>
      <c r="G6" s="178"/>
    </row>
    <row r="7" spans="1:7" s="174" customFormat="1" ht="13.5" customHeight="1">
      <c r="A7" s="175" t="s">
        <v>2020</v>
      </c>
      <c r="B7" s="176" t="s">
        <v>2021</v>
      </c>
      <c r="C7" s="198">
        <f>ROUND(C6*F7,0)</f>
        <v>30500</v>
      </c>
      <c r="D7" s="198"/>
      <c r="E7" s="1529"/>
      <c r="F7" s="1530">
        <f>'数据-取费表'!E36+'数据-取费表'!E37</f>
        <v>3.0499999999999999E-2</v>
      </c>
      <c r="G7" s="178"/>
    </row>
    <row r="8" spans="1:7" s="179" customFormat="1">
      <c r="A8" s="175" t="s">
        <v>2022</v>
      </c>
      <c r="B8" s="176" t="s">
        <v>2023</v>
      </c>
      <c r="C8" s="198">
        <f>IF(G8="已包含在土地购买价格中","0",'数据-取费表'!E13)</f>
        <v>2</v>
      </c>
      <c r="D8" s="1531"/>
      <c r="E8" s="198"/>
      <c r="F8" s="1530"/>
      <c r="G8" s="2331"/>
    </row>
    <row r="9" spans="1:7" s="174" customFormat="1" ht="13.5" customHeight="1">
      <c r="A9" s="1299" t="s">
        <v>953</v>
      </c>
      <c r="B9" s="180" t="s">
        <v>2024</v>
      </c>
      <c r="C9" s="1532">
        <f>ROUND(D9*E9,0)</f>
        <v>16594</v>
      </c>
      <c r="D9" s="1533">
        <f>IF('数据-取费表'!B10="住宅",IF(B1="仅计算典型户型",'数据-取费表'!E5,'数据-取费表'!B5),0)</f>
        <v>103.71</v>
      </c>
      <c r="E9" s="1532">
        <f>'数据-取费表'!E11</f>
        <v>160</v>
      </c>
      <c r="F9" s="1530"/>
      <c r="G9" s="181"/>
    </row>
    <row r="10" spans="1:7" s="174" customFormat="1" ht="13.5" customHeight="1">
      <c r="A10" s="1299" t="s">
        <v>954</v>
      </c>
      <c r="B10" s="180" t="s">
        <v>2025</v>
      </c>
      <c r="C10" s="1532">
        <f>ROUND(D10*E10,0)</f>
        <v>0</v>
      </c>
      <c r="D10" s="1533">
        <f>IF('数据-取费表'!B10&lt;&gt;"住宅",IF(B1="仅计算典型户型",'数据-取费表'!E5,'数据-取费表'!B5),0)</f>
        <v>0</v>
      </c>
      <c r="E10" s="1532">
        <f>'数据-取费表'!E12</f>
        <v>200</v>
      </c>
      <c r="F10" s="1530"/>
      <c r="G10" s="181"/>
    </row>
    <row r="11" spans="1:7" s="174" customFormat="1" ht="13.5" hidden="1" customHeight="1">
      <c r="A11" s="175" t="s">
        <v>4</v>
      </c>
      <c r="B11" s="176" t="s">
        <v>2026</v>
      </c>
      <c r="C11" s="194"/>
      <c r="D11" s="198"/>
      <c r="E11" s="1529"/>
      <c r="F11" s="1529"/>
      <c r="G11" s="178"/>
    </row>
    <row r="12" spans="1:7" s="174" customFormat="1" ht="13.5" hidden="1" customHeight="1">
      <c r="A12" s="175" t="s">
        <v>5</v>
      </c>
      <c r="B12" s="176" t="s">
        <v>2027</v>
      </c>
      <c r="C12" s="194">
        <v>0</v>
      </c>
      <c r="D12" s="198"/>
      <c r="E12" s="1534"/>
      <c r="F12" s="1530">
        <v>3.0499999999999999E-2</v>
      </c>
      <c r="G12" s="178"/>
    </row>
    <row r="13" spans="1:7" s="174" customFormat="1" ht="13.5" hidden="1" customHeight="1">
      <c r="A13" s="175" t="s">
        <v>6</v>
      </c>
      <c r="B13" s="176" t="s">
        <v>2028</v>
      </c>
      <c r="C13" s="194"/>
      <c r="D13" s="198"/>
      <c r="E13" s="1529"/>
      <c r="F13" s="1529"/>
      <c r="G13" s="178"/>
    </row>
    <row r="14" spans="1:7" s="174" customFormat="1" ht="13.5" hidden="1" customHeight="1">
      <c r="A14" s="175" t="s">
        <v>7</v>
      </c>
      <c r="B14" s="176" t="s">
        <v>2023</v>
      </c>
      <c r="C14" s="194"/>
      <c r="D14" s="198"/>
      <c r="E14" s="1529"/>
      <c r="F14" s="1529"/>
      <c r="G14" s="178" t="s">
        <v>2029</v>
      </c>
    </row>
    <row r="15" spans="1:7" s="174" customFormat="1" ht="13.5" hidden="1" customHeight="1">
      <c r="A15" s="175" t="s">
        <v>8</v>
      </c>
      <c r="B15" s="176" t="s">
        <v>2030</v>
      </c>
      <c r="C15" s="198"/>
      <c r="D15" s="198"/>
      <c r="E15" s="1529"/>
      <c r="F15" s="1529"/>
      <c r="G15" s="178" t="s">
        <v>2031</v>
      </c>
    </row>
    <row r="16" spans="1:7" s="174" customFormat="1" ht="13.5" hidden="1" customHeight="1">
      <c r="A16" s="175" t="s">
        <v>9</v>
      </c>
      <c r="B16" s="176" t="s">
        <v>2023</v>
      </c>
      <c r="C16" s="198"/>
      <c r="D16" s="198"/>
      <c r="E16" s="1529"/>
      <c r="F16" s="1529"/>
      <c r="G16" s="178"/>
    </row>
    <row r="17" spans="1:7" s="174" customFormat="1" ht="13.5" hidden="1" customHeight="1">
      <c r="A17" s="175" t="s">
        <v>10</v>
      </c>
      <c r="B17" s="176" t="s">
        <v>2032</v>
      </c>
      <c r="C17" s="1535"/>
      <c r="D17" s="1535"/>
      <c r="E17" s="1535"/>
      <c r="F17" s="1535"/>
      <c r="G17" s="178" t="s">
        <v>2031</v>
      </c>
    </row>
    <row r="18" spans="1:7" s="174" customFormat="1" ht="13.5" hidden="1" customHeight="1">
      <c r="A18" s="175" t="s">
        <v>11</v>
      </c>
      <c r="B18" s="176" t="s">
        <v>2033</v>
      </c>
      <c r="C18" s="198">
        <v>0</v>
      </c>
      <c r="D18" s="198"/>
      <c r="E18" s="1529"/>
      <c r="F18" s="1530">
        <v>3.0499999999999999E-2</v>
      </c>
      <c r="G18" s="178" t="s">
        <v>2034</v>
      </c>
    </row>
    <row r="19" spans="1:7" s="179" customFormat="1" ht="13.5" customHeight="1">
      <c r="A19" s="203" t="s">
        <v>2035</v>
      </c>
      <c r="B19" s="172" t="s">
        <v>2036</v>
      </c>
      <c r="C19" s="194">
        <f>IF(G19="已包含在土地取得成本中","0",ROUND(D19*E19,0))</f>
        <v>20742</v>
      </c>
      <c r="D19" s="1536">
        <f>IF(B1="仅计算典型户型",'数据-取费表'!E5,'数据-取费表'!B5)</f>
        <v>103.71</v>
      </c>
      <c r="E19" s="194">
        <f>'数据-取费表'!E15</f>
        <v>200</v>
      </c>
      <c r="F19" s="195"/>
      <c r="G19" s="2331"/>
    </row>
    <row r="20" spans="1:7" s="174" customFormat="1" ht="13.5" customHeight="1">
      <c r="A20" s="203" t="s">
        <v>2037</v>
      </c>
      <c r="B20" s="172" t="s">
        <v>2038</v>
      </c>
      <c r="C20" s="182">
        <f>ROUND((C5+C19)*F20,0)</f>
        <v>10512</v>
      </c>
      <c r="D20" s="182"/>
      <c r="E20" s="182"/>
      <c r="F20" s="186">
        <f>'数据-取费表'!E25</f>
        <v>0.01</v>
      </c>
      <c r="G20" s="183" t="s">
        <v>2039</v>
      </c>
    </row>
    <row r="21" spans="1:7" s="174" customFormat="1" ht="13.5" customHeight="1">
      <c r="A21" s="203" t="s">
        <v>2040</v>
      </c>
      <c r="B21" s="172" t="s">
        <v>2041</v>
      </c>
      <c r="C21" s="184">
        <f>F21</f>
        <v>0.01</v>
      </c>
      <c r="D21" s="185" t="s">
        <v>2042</v>
      </c>
      <c r="E21" s="182"/>
      <c r="F21" s="186">
        <f>'数据-取费表'!E26</f>
        <v>0.01</v>
      </c>
      <c r="G21" s="183" t="s">
        <v>2043</v>
      </c>
    </row>
    <row r="22" spans="1:7" s="174" customFormat="1" ht="13.5" customHeight="1">
      <c r="A22" s="203" t="s">
        <v>2044</v>
      </c>
      <c r="B22" s="172" t="s">
        <v>2045</v>
      </c>
      <c r="C22" s="204">
        <f ca="1">ROUND(SUM(C23:C25),0)</f>
        <v>102739</v>
      </c>
      <c r="D22" s="184">
        <f ca="1">C26</f>
        <v>5.0000000000000001E-4</v>
      </c>
      <c r="E22" s="185" t="s">
        <v>2042</v>
      </c>
      <c r="F22" s="186">
        <f ca="1">'数据-取费表'!E27</f>
        <v>4.7500000000000001E-2</v>
      </c>
      <c r="G22" s="183" t="str">
        <f>IF('数据-取费表'!B23&lt;=1,"单利计息。","复利计息。")</f>
        <v>复利计息。</v>
      </c>
    </row>
    <row r="23" spans="1:7" s="174" customFormat="1" ht="13.5" customHeight="1">
      <c r="A23" s="175" t="s">
        <v>2046</v>
      </c>
      <c r="B23" s="176" t="s">
        <v>2047</v>
      </c>
      <c r="C23" s="1450">
        <f ca="1">ROUND(IF('数据-取费表'!B23&lt;=1,C5*F22*'数据-取费表'!B24,C5*(POWER((1+F22),'数据-取费表'!B24)-1)),0)</f>
        <v>100223</v>
      </c>
      <c r="D23" s="187"/>
      <c r="E23" s="187"/>
      <c r="F23" s="188"/>
      <c r="G23" s="189" t="s">
        <v>2048</v>
      </c>
    </row>
    <row r="24" spans="1:7" s="174" customFormat="1" ht="13.5" customHeight="1">
      <c r="A24" s="175" t="s">
        <v>2020</v>
      </c>
      <c r="B24" s="176" t="s">
        <v>2049</v>
      </c>
      <c r="C24" s="1450">
        <f ca="1">ROUND(IF('数据-取费表'!B23&lt;=1,C19*F22*('数据-取费表'!B20/2+'数据-取费表'!B22),C19*(POWER((1+F22),('数据-取费表'!B20/2+'数据-取费表'!B22))-1)),0)</f>
        <v>2017</v>
      </c>
      <c r="D24" s="187"/>
      <c r="E24" s="187"/>
      <c r="F24" s="188"/>
      <c r="G24" s="189" t="s">
        <v>2050</v>
      </c>
    </row>
    <row r="25" spans="1:7" s="174" customFormat="1" ht="24">
      <c r="A25" s="175" t="s">
        <v>2022</v>
      </c>
      <c r="B25" s="176" t="s">
        <v>2051</v>
      </c>
      <c r="C25" s="1450">
        <f ca="1">ROUND(IF('数据-取费表'!B23&lt;=1,C20*F22*'数据-取费表'!B24/2,C20*(POWER((1+F22),'数据-取费表'!B24/2)-1)),0)</f>
        <v>499</v>
      </c>
      <c r="D25" s="187"/>
      <c r="E25" s="190"/>
      <c r="F25" s="188"/>
      <c r="G25" s="191" t="s">
        <v>2052</v>
      </c>
    </row>
    <row r="26" spans="1:7" s="174" customFormat="1">
      <c r="A26" s="175" t="s">
        <v>2053</v>
      </c>
      <c r="B26" s="176" t="s">
        <v>2054</v>
      </c>
      <c r="C26" s="187">
        <f ca="1">ROUND(IF('数据-取费表'!B23&lt;=1,F21*F22*'数据-取费表'!B24/2,F21*(POWER((1+F22),'数据-取费表'!B24/2)-1)),4)</f>
        <v>5.0000000000000001E-4</v>
      </c>
      <c r="D26" s="187"/>
      <c r="E26" s="190"/>
      <c r="F26" s="188"/>
      <c r="G26" s="192"/>
    </row>
    <row r="27" spans="1:7" s="174" customFormat="1" ht="25.5">
      <c r="A27" s="1300" t="s">
        <v>2055</v>
      </c>
      <c r="B27" s="193" t="s">
        <v>2056</v>
      </c>
      <c r="C27" s="194">
        <f>C28</f>
        <v>106176</v>
      </c>
      <c r="D27" s="184">
        <f>C29</f>
        <v>1E-3</v>
      </c>
      <c r="E27" s="185" t="s">
        <v>2042</v>
      </c>
      <c r="F27" s="195">
        <f>'数据-取费表'!E28</f>
        <v>0.1</v>
      </c>
      <c r="G27" s="196" t="s">
        <v>2057</v>
      </c>
    </row>
    <row r="28" spans="1:7" s="174" customFormat="1" ht="13.5" customHeight="1">
      <c r="A28" s="175" t="s">
        <v>2046</v>
      </c>
      <c r="B28" s="197" t="s">
        <v>2058</v>
      </c>
      <c r="C28" s="198">
        <f>ROUND((C5+C19+C20)*F27*'数据-取费表'!B22/'数据-取费表'!B21,0)</f>
        <v>106176</v>
      </c>
      <c r="D28" s="184"/>
      <c r="E28" s="185"/>
      <c r="F28" s="195"/>
      <c r="G28" s="196"/>
    </row>
    <row r="29" spans="1:7" s="174" customFormat="1" ht="13.5" customHeight="1">
      <c r="A29" s="175" t="s">
        <v>2020</v>
      </c>
      <c r="B29" s="197" t="s">
        <v>2059</v>
      </c>
      <c r="C29" s="187">
        <f>ROUND(C21*F27*'数据-取费表'!B22/'数据-取费表'!B21,4)</f>
        <v>1E-3</v>
      </c>
      <c r="D29" s="184"/>
      <c r="E29" s="185"/>
      <c r="F29" s="195"/>
      <c r="G29" s="196"/>
    </row>
    <row r="30" spans="1:7" s="174" customFormat="1" ht="13.5" customHeight="1">
      <c r="A30" s="1300" t="s">
        <v>2060</v>
      </c>
      <c r="B30" s="172" t="s">
        <v>2061</v>
      </c>
      <c r="C30" s="184">
        <f>ROUND(F30/(1+'数据-取费表'!F30),4)</f>
        <v>5.2400000000000002E-2</v>
      </c>
      <c r="D30" s="185" t="s">
        <v>2042</v>
      </c>
      <c r="E30" s="190"/>
      <c r="F30" s="186">
        <f>'数据-取费表'!E29</f>
        <v>5.5000000000000007E-2</v>
      </c>
      <c r="G30" s="183" t="s">
        <v>2062</v>
      </c>
    </row>
    <row r="31" spans="1:7" ht="16.5" customHeight="1">
      <c r="A31" s="203">
        <v>1</v>
      </c>
      <c r="B31" s="172" t="s">
        <v>2063</v>
      </c>
      <c r="C31" s="194">
        <f ca="1">ROUND((C5+C19+C20+C22+C27)/(1-C21-D22-D27-C30),0)</f>
        <v>1357409</v>
      </c>
      <c r="D31" s="1536"/>
      <c r="E31" s="194"/>
      <c r="F31" s="1537"/>
      <c r="G31" s="183" t="s">
        <v>2064</v>
      </c>
    </row>
    <row r="32" spans="1:7" s="171" customFormat="1" ht="15.75">
      <c r="A32" s="200" t="s">
        <v>2065</v>
      </c>
      <c r="B32" s="201"/>
      <c r="C32" s="1538"/>
      <c r="D32" s="1538"/>
      <c r="E32" s="1538"/>
      <c r="F32" s="1538"/>
      <c r="G32" s="202"/>
    </row>
    <row r="33" spans="1:7" s="174" customFormat="1" ht="13.5" customHeight="1">
      <c r="A33" s="203" t="s">
        <v>2066</v>
      </c>
      <c r="B33" s="172" t="s">
        <v>2067</v>
      </c>
      <c r="C33" s="204">
        <f>SUM(C34:C38)</f>
        <v>466695</v>
      </c>
      <c r="D33" s="182"/>
      <c r="E33" s="1527"/>
      <c r="F33" s="190"/>
      <c r="G33" s="183"/>
    </row>
    <row r="34" spans="1:7" s="205" customFormat="1" ht="13.5" customHeight="1">
      <c r="A34" s="175" t="s">
        <v>2046</v>
      </c>
      <c r="B34" s="176" t="s">
        <v>2068</v>
      </c>
      <c r="C34" s="198">
        <f>IF(B1="仅计算典型户型",'数据-取费表'!F18,'数据-取费表'!E18)</f>
        <v>414840</v>
      </c>
      <c r="D34" s="1528"/>
      <c r="E34" s="198"/>
      <c r="F34" s="1539" t="str">
        <f>IF('数据-取费表'!B25=0,"",'数据-取费表'!E20)</f>
        <v/>
      </c>
      <c r="G34" s="178"/>
    </row>
    <row r="35" spans="1:7" ht="13.5" customHeight="1">
      <c r="A35" s="175" t="s">
        <v>2020</v>
      </c>
      <c r="B35" s="176" t="s">
        <v>2069</v>
      </c>
      <c r="C35" s="198">
        <f>ROUND(C34*F35,0)</f>
        <v>12445</v>
      </c>
      <c r="D35" s="198"/>
      <c r="E35" s="198"/>
      <c r="F35" s="1540">
        <f>'数据-取费表'!E21</f>
        <v>0.03</v>
      </c>
      <c r="G35" s="178" t="s">
        <v>2070</v>
      </c>
    </row>
    <row r="36" spans="1:7" ht="24">
      <c r="A36" s="175" t="s">
        <v>2022</v>
      </c>
      <c r="B36" s="176" t="s">
        <v>2071</v>
      </c>
      <c r="C36" s="198">
        <f>ROUND(IF('数据-取费表'!B10="住宅",C34*F36,0),0)</f>
        <v>12445</v>
      </c>
      <c r="D36" s="198"/>
      <c r="E36" s="198"/>
      <c r="F36" s="1540">
        <f>'数据-取费表'!E22</f>
        <v>0.03</v>
      </c>
      <c r="G36" s="206" t="s">
        <v>2072</v>
      </c>
    </row>
    <row r="37" spans="1:7" s="205" customFormat="1" ht="13.5" customHeight="1">
      <c r="A37" s="175" t="s">
        <v>2053</v>
      </c>
      <c r="B37" s="176" t="s">
        <v>2073</v>
      </c>
      <c r="C37" s="198">
        <f>ROUND(E37*D37,0)</f>
        <v>20742</v>
      </c>
      <c r="D37" s="1528">
        <f>IF(B1="仅计算典型户型",'数据-取费表'!E5,'数据-取费表'!B5)</f>
        <v>103.71</v>
      </c>
      <c r="E37" s="198">
        <f>'数据-取费表'!E23</f>
        <v>200</v>
      </c>
      <c r="F37" s="1540"/>
      <c r="G37" s="207" t="s">
        <v>2074</v>
      </c>
    </row>
    <row r="38" spans="1:7" ht="13.5" customHeight="1">
      <c r="A38" s="175" t="s">
        <v>2075</v>
      </c>
      <c r="B38" s="176" t="s">
        <v>2076</v>
      </c>
      <c r="C38" s="198">
        <f>ROUND(C34*F38,0)</f>
        <v>6223</v>
      </c>
      <c r="D38" s="198"/>
      <c r="E38" s="198"/>
      <c r="F38" s="1540">
        <f>'数据-取费表'!E24</f>
        <v>1.4999999999999999E-2</v>
      </c>
      <c r="G38" s="178" t="s">
        <v>2070</v>
      </c>
    </row>
    <row r="39" spans="1:7" s="174" customFormat="1" ht="13.5" customHeight="1">
      <c r="A39" s="203" t="s">
        <v>2035</v>
      </c>
      <c r="B39" s="172" t="s">
        <v>2038</v>
      </c>
      <c r="C39" s="182">
        <f>ROUND(C33*F20,0)</f>
        <v>4667</v>
      </c>
      <c r="D39" s="182"/>
      <c r="E39" s="182"/>
      <c r="F39" s="186"/>
      <c r="G39" s="183" t="s">
        <v>2077</v>
      </c>
    </row>
    <row r="40" spans="1:7" s="174" customFormat="1" ht="13.5" customHeight="1">
      <c r="A40" s="203" t="s">
        <v>2037</v>
      </c>
      <c r="B40" s="172" t="s">
        <v>2041</v>
      </c>
      <c r="C40" s="1814">
        <f>F21</f>
        <v>0.01</v>
      </c>
      <c r="D40" s="185" t="s">
        <v>2078</v>
      </c>
      <c r="E40" s="182"/>
      <c r="F40" s="186"/>
      <c r="G40" s="183" t="s">
        <v>2079</v>
      </c>
    </row>
    <row r="41" spans="1:7" s="174" customFormat="1" ht="13.5" customHeight="1">
      <c r="A41" s="203" t="s">
        <v>2040</v>
      </c>
      <c r="B41" s="172" t="s">
        <v>2045</v>
      </c>
      <c r="C41" s="182">
        <f ca="1">ROUND(SUM(C42:C43),0)</f>
        <v>22390</v>
      </c>
      <c r="D41" s="184">
        <f ca="1">C44</f>
        <v>5.0000000000000001E-4</v>
      </c>
      <c r="E41" s="185" t="s">
        <v>2078</v>
      </c>
      <c r="F41" s="186"/>
      <c r="G41" s="183" t="str">
        <f>IF('数据-取费表'!B23&lt;=1,"单利计息。","复利计息。")</f>
        <v>复利计息。</v>
      </c>
    </row>
    <row r="42" spans="1:7" ht="13.5" customHeight="1">
      <c r="A42" s="175" t="s">
        <v>2046</v>
      </c>
      <c r="B42" s="176" t="s">
        <v>2047</v>
      </c>
      <c r="C42" s="187">
        <f ca="1">ROUND(IF('数据-取费表'!B23&lt;=1,C33*F22*'数据-取费表'!B22/2,C33*(POWER((1+F22),'数据-取费表'!B22/2)-1)),0)</f>
        <v>22168</v>
      </c>
      <c r="D42" s="187"/>
      <c r="E42" s="187"/>
      <c r="F42" s="188"/>
      <c r="G42" s="2966" t="s">
        <v>2080</v>
      </c>
    </row>
    <row r="43" spans="1:7" ht="13.5" customHeight="1">
      <c r="A43" s="175" t="s">
        <v>2020</v>
      </c>
      <c r="B43" s="176" t="s">
        <v>2049</v>
      </c>
      <c r="C43" s="187">
        <f ca="1">ROUND(IF('数据-取费表'!B23&lt;=1,C39*F22*'数据-取费表'!B22/2,C39*(POWER((1+F22),'数据-取费表'!B22/2)-1)),0)</f>
        <v>222</v>
      </c>
      <c r="D43" s="187"/>
      <c r="E43" s="187"/>
      <c r="F43" s="188"/>
      <c r="G43" s="2967"/>
    </row>
    <row r="44" spans="1:7" ht="13.5" customHeight="1">
      <c r="A44" s="175" t="s">
        <v>2022</v>
      </c>
      <c r="B44" s="176" t="s">
        <v>2051</v>
      </c>
      <c r="C44" s="187">
        <f ca="1">ROUND(IF('数据-取费表'!B23&lt;=1,C40*F22*'数据-取费表'!B22/2,C40*(POWER((1+F22),'数据-取费表'!B22/2)-1)),4)</f>
        <v>5.0000000000000001E-4</v>
      </c>
      <c r="D44" s="187"/>
      <c r="E44" s="187"/>
      <c r="F44" s="188"/>
      <c r="G44" s="2968"/>
    </row>
    <row r="45" spans="1:7" s="174" customFormat="1" ht="13.5" customHeight="1">
      <c r="A45" s="203" t="s">
        <v>2044</v>
      </c>
      <c r="B45" s="193" t="s">
        <v>2056</v>
      </c>
      <c r="C45" s="194">
        <f>C46</f>
        <v>47136</v>
      </c>
      <c r="D45" s="184">
        <f>C47</f>
        <v>1E-3</v>
      </c>
      <c r="E45" s="185" t="s">
        <v>2078</v>
      </c>
      <c r="F45" s="195"/>
      <c r="G45" s="196" t="s">
        <v>2081</v>
      </c>
    </row>
    <row r="46" spans="1:7" s="174" customFormat="1" ht="13.5" customHeight="1">
      <c r="A46" s="175" t="s">
        <v>2046</v>
      </c>
      <c r="B46" s="197" t="s">
        <v>2082</v>
      </c>
      <c r="C46" s="198">
        <f>ROUND((C33+C39)*F27,0)</f>
        <v>47136</v>
      </c>
      <c r="D46" s="208"/>
      <c r="E46" s="185"/>
      <c r="F46" s="195"/>
      <c r="G46" s="196"/>
    </row>
    <row r="47" spans="1:7" s="174" customFormat="1" ht="13.5" customHeight="1">
      <c r="A47" s="175" t="s">
        <v>2020</v>
      </c>
      <c r="B47" s="197" t="s">
        <v>2083</v>
      </c>
      <c r="C47" s="187">
        <f>ROUND(C40*F27,4)</f>
        <v>1E-3</v>
      </c>
      <c r="D47" s="208"/>
      <c r="E47" s="185"/>
      <c r="F47" s="195"/>
      <c r="G47" s="196"/>
    </row>
    <row r="48" spans="1:7" s="174" customFormat="1" ht="13.5" customHeight="1">
      <c r="A48" s="1300" t="s">
        <v>2055</v>
      </c>
      <c r="B48" s="172" t="s">
        <v>2084</v>
      </c>
      <c r="C48" s="1814">
        <f>ROUND(F30/(1+'数据-取费表'!F30),4)</f>
        <v>5.2400000000000002E-2</v>
      </c>
      <c r="D48" s="185" t="s">
        <v>2078</v>
      </c>
      <c r="E48" s="182"/>
      <c r="F48" s="186"/>
      <c r="G48" s="183" t="s">
        <v>2085</v>
      </c>
    </row>
    <row r="49" spans="1:7" ht="16.5" customHeight="1">
      <c r="A49" s="1300" t="s">
        <v>2086</v>
      </c>
      <c r="B49" s="172" t="s">
        <v>2087</v>
      </c>
      <c r="C49" s="182">
        <f ca="1">ROUND((C33+C39+C41+C45)/(1-C40-D41-D45-C48),0)</f>
        <v>577810</v>
      </c>
      <c r="D49" s="182"/>
      <c r="E49" s="182"/>
      <c r="F49" s="209"/>
      <c r="G49" s="183" t="s">
        <v>2088</v>
      </c>
    </row>
    <row r="50" spans="1:7" s="205" customFormat="1" ht="24">
      <c r="A50" s="1300" t="s">
        <v>2089</v>
      </c>
      <c r="B50" s="172" t="s">
        <v>2090</v>
      </c>
      <c r="C50" s="182"/>
      <c r="D50" s="182"/>
      <c r="E50" s="182"/>
      <c r="F50" s="209">
        <f>IF('数据-取费表'!B25=0,'数据-取费表'!E20,1)</f>
        <v>0.73</v>
      </c>
      <c r="G50" s="196" t="s">
        <v>2091</v>
      </c>
    </row>
    <row r="51" spans="1:7" ht="16.5" customHeight="1">
      <c r="A51" s="1300" t="s">
        <v>2092</v>
      </c>
      <c r="B51" s="172" t="s">
        <v>2093</v>
      </c>
      <c r="C51" s="182">
        <f ca="1">ROUND(C49*F50,0)</f>
        <v>421801</v>
      </c>
      <c r="D51" s="182"/>
      <c r="E51" s="182"/>
      <c r="F51" s="209"/>
      <c r="G51" s="183" t="s">
        <v>2094</v>
      </c>
    </row>
    <row r="52" spans="1:7" s="171" customFormat="1" ht="16.5" thickBot="1">
      <c r="A52" s="210" t="s">
        <v>2095</v>
      </c>
      <c r="B52" s="211"/>
      <c r="C52" s="212">
        <f ca="1">C31+C51</f>
        <v>1779210</v>
      </c>
      <c r="D52" s="211"/>
      <c r="E52" s="211"/>
      <c r="F52" s="211"/>
      <c r="G52" s="213"/>
    </row>
    <row r="55" spans="1:7" ht="15">
      <c r="B55" s="215" t="s">
        <v>2096</v>
      </c>
      <c r="C55" s="216"/>
    </row>
    <row r="56" spans="1:7">
      <c r="B56" s="218" t="s">
        <v>2097</v>
      </c>
      <c r="C56" s="219">
        <f ca="1">ROUND(C51/C52,3)</f>
        <v>0.23699999999999999</v>
      </c>
    </row>
    <row r="57" spans="1:7">
      <c r="B57" s="218" t="s">
        <v>2098</v>
      </c>
      <c r="C57" s="220">
        <f ca="1">1-C56</f>
        <v>0.76300000000000001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1301</v>
      </c>
      <c r="B1" s="221"/>
      <c r="C1" s="1316" t="s">
        <v>1302</v>
      </c>
      <c r="D1" s="1447"/>
      <c r="E1" s="1206"/>
      <c r="F1" s="1206"/>
      <c r="G1" s="1206"/>
      <c r="H1" s="1206"/>
      <c r="I1" s="1206"/>
      <c r="J1" s="1206"/>
      <c r="K1" s="1206"/>
    </row>
    <row r="2" spans="1:33" s="222" customFormat="1" ht="18" customHeight="1">
      <c r="A2" s="164" t="s">
        <v>1303</v>
      </c>
      <c r="B2" s="167">
        <f ca="1">IF(C2="元",C32,ROUND(C32/10000,0))</f>
        <v>2569860</v>
      </c>
      <c r="C2" s="1964" t="str">
        <f>'数据-取费表'!B3</f>
        <v>元</v>
      </c>
      <c r="D2" s="1206"/>
      <c r="E2" s="1206"/>
      <c r="F2" s="1206"/>
      <c r="G2" s="1206"/>
      <c r="H2" s="1206"/>
      <c r="I2" s="1206"/>
      <c r="J2" s="1206"/>
      <c r="K2" s="1206"/>
    </row>
    <row r="3" spans="1:33" s="222" customFormat="1" ht="18" customHeight="1" thickBot="1">
      <c r="A3" s="166" t="s">
        <v>1304</v>
      </c>
      <c r="B3" s="167">
        <f ca="1">ROUND(C32/IF(C1="仅计算典型户型",'数据-取费表'!E5,'数据-取费表'!B5),0)</f>
        <v>24779</v>
      </c>
      <c r="C3" s="1964" t="s">
        <v>1305</v>
      </c>
      <c r="D3" s="1206"/>
      <c r="E3" s="1206"/>
      <c r="F3" s="1206"/>
      <c r="G3" s="1206"/>
      <c r="H3" s="1206"/>
      <c r="I3" s="1206"/>
      <c r="J3" s="1206"/>
      <c r="K3" s="1206"/>
    </row>
    <row r="4" spans="1:33" s="226" customFormat="1" ht="16.5" customHeight="1">
      <c r="A4" s="223" t="s">
        <v>1306</v>
      </c>
      <c r="B4" s="224"/>
      <c r="C4" s="1446">
        <f>SUM(C8:K8)</f>
        <v>3629850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1307</v>
      </c>
      <c r="B5" s="228" t="s">
        <v>1308</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1" t="s">
        <v>1309</v>
      </c>
      <c r="B6" s="230" t="s">
        <v>1310</v>
      </c>
      <c r="C6" s="231">
        <v>35000</v>
      </c>
      <c r="D6" s="1443"/>
      <c r="E6" s="1443"/>
      <c r="F6" s="1443"/>
      <c r="G6" s="1443"/>
      <c r="H6" s="1443"/>
      <c r="I6" s="1443"/>
      <c r="J6" s="1443"/>
      <c r="K6" s="1444"/>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1" t="s">
        <v>1311</v>
      </c>
      <c r="B7" s="230" t="s">
        <v>1312</v>
      </c>
      <c r="C7" s="233">
        <f>IF(C1="仅计算典型户型",'数据-取费表'!E5,'数据-取费表'!B5)</f>
        <v>103.71</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5" t="s">
        <v>1313</v>
      </c>
      <c r="B8" s="230" t="s">
        <v>1314</v>
      </c>
      <c r="C8" s="726">
        <f>C6*C7</f>
        <v>3629850</v>
      </c>
      <c r="D8" s="1445"/>
      <c r="E8" s="1445"/>
      <c r="F8" s="1443"/>
      <c r="G8" s="1443"/>
      <c r="H8" s="1443"/>
      <c r="I8" s="1443"/>
      <c r="J8" s="1443"/>
      <c r="K8" s="1444"/>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1315</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1307</v>
      </c>
      <c r="B10" s="239" t="s">
        <v>1308</v>
      </c>
      <c r="C10" s="240" t="s">
        <v>1316</v>
      </c>
      <c r="D10" s="241" t="s">
        <v>1317</v>
      </c>
      <c r="E10" s="241" t="s">
        <v>1318</v>
      </c>
      <c r="F10" s="241" t="s">
        <v>1319</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2" t="s">
        <v>1220</v>
      </c>
      <c r="B11" s="245" t="s">
        <v>1320</v>
      </c>
      <c r="C11" s="246">
        <f>IF(C1="仅计算典型户型",'数据-取费表'!F18,'数据-取费表'!E18)</f>
        <v>414840</v>
      </c>
      <c r="D11" s="247"/>
      <c r="E11" s="69"/>
      <c r="F11" s="248">
        <f>1-'数据-取费表'!E20</f>
        <v>0.27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2" t="s">
        <v>1221</v>
      </c>
      <c r="B12" s="245" t="s">
        <v>1321</v>
      </c>
      <c r="C12" s="14">
        <f>ROUND(C11*F12,0)</f>
        <v>12445</v>
      </c>
      <c r="D12" s="247"/>
      <c r="E12" s="69"/>
      <c r="F12" s="250">
        <f>'数据-取费表'!E21</f>
        <v>0.03</v>
      </c>
      <c r="G12" s="239" t="s">
        <v>1322</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2" t="s">
        <v>1222</v>
      </c>
      <c r="B13" s="245" t="s">
        <v>1323</v>
      </c>
      <c r="C13" s="14">
        <f>ROUND(IF('数据-取费表'!B10="住宅",C11*F13,0),0)</f>
        <v>12445</v>
      </c>
      <c r="D13" s="247"/>
      <c r="E13" s="69"/>
      <c r="F13" s="250">
        <f>'数据-取费表'!E22</f>
        <v>0.03</v>
      </c>
      <c r="G13" s="239" t="s">
        <v>1324</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2" t="s">
        <v>1223</v>
      </c>
      <c r="B14" s="245" t="s">
        <v>1325</v>
      </c>
      <c r="C14" s="14">
        <f>ROUND(D14*E14*F11,0)</f>
        <v>5600</v>
      </c>
      <c r="D14" s="247">
        <f>IF(C1="仅计算典型户型",'数据-取费表'!E5,'数据-取费表'!B5)</f>
        <v>103.71</v>
      </c>
      <c r="E14" s="14">
        <f>'数据-取费表'!E23</f>
        <v>200</v>
      </c>
      <c r="F14" s="250"/>
      <c r="G14" s="239" t="s">
        <v>1326</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2" t="s">
        <v>1224</v>
      </c>
      <c r="B15" s="245" t="s">
        <v>1327</v>
      </c>
      <c r="C15" s="258">
        <f>ROUND(C11*F15,0)</f>
        <v>6223</v>
      </c>
      <c r="D15" s="252"/>
      <c r="E15" s="258"/>
      <c r="F15" s="259">
        <f>'数据-取费表'!E24</f>
        <v>1.4999999999999999E-2</v>
      </c>
      <c r="G15" s="230" t="s">
        <v>1328</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2" t="s">
        <v>1329</v>
      </c>
      <c r="B16" s="245" t="s">
        <v>1330</v>
      </c>
      <c r="C16" s="246">
        <f>SUM(C11:C15)</f>
        <v>451553</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2" t="s">
        <v>1331</v>
      </c>
      <c r="B17" s="245" t="s">
        <v>1332</v>
      </c>
      <c r="C17" s="14">
        <f>ROUND(D17*E17,0)</f>
        <v>0</v>
      </c>
      <c r="D17" s="247">
        <f>IF(C1="仅计算典型户型",'数据-取费表'!E5,'数据-取费表'!B5)</f>
        <v>103.71</v>
      </c>
      <c r="E17" s="14">
        <f>'数据-取费表'!E16</f>
        <v>0</v>
      </c>
      <c r="F17" s="252"/>
      <c r="G17" s="230" t="s">
        <v>1333</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2" t="s">
        <v>1334</v>
      </c>
      <c r="B18" s="245" t="s">
        <v>1335</v>
      </c>
      <c r="C18" s="14">
        <f>C19+C20-'数据-取费表'!E13</f>
        <v>16592</v>
      </c>
      <c r="D18" s="247"/>
      <c r="E18" s="14"/>
      <c r="F18" s="250"/>
      <c r="G18" s="230" t="s">
        <v>1336</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2" t="s">
        <v>955</v>
      </c>
      <c r="B19" s="245" t="s">
        <v>1337</v>
      </c>
      <c r="C19" s="14">
        <f>ROUND(D19*E19,0)</f>
        <v>16594</v>
      </c>
      <c r="D19" s="247">
        <f>IF('数据-取费表'!B10="住宅",IF(C1="仅计算典型户型",'数据-取费表'!E5,'数据-取费表'!B5),0)</f>
        <v>103.71</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2" t="s">
        <v>956</v>
      </c>
      <c r="B20" s="245" t="s">
        <v>1338</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1" t="s">
        <v>1309</v>
      </c>
      <c r="B21" s="260" t="s">
        <v>1339</v>
      </c>
      <c r="C21" s="261">
        <f>C16+C17+C18</f>
        <v>468145</v>
      </c>
      <c r="D21" s="262"/>
      <c r="E21" s="263"/>
      <c r="F21" s="263"/>
      <c r="G21" s="230" t="s">
        <v>1340</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1" t="s">
        <v>1311</v>
      </c>
      <c r="B22" s="260" t="s">
        <v>1341</v>
      </c>
      <c r="C22" s="261">
        <f>ROUND(C21*F22,0)</f>
        <v>4681</v>
      </c>
      <c r="D22" s="263"/>
      <c r="E22" s="263"/>
      <c r="F22" s="264">
        <f>'数据-取费表'!E25</f>
        <v>0.01</v>
      </c>
      <c r="G22" s="239" t="s">
        <v>1342</v>
      </c>
      <c r="H22" s="242"/>
      <c r="I22" s="242"/>
      <c r="J22" s="242"/>
      <c r="K22" s="243"/>
      <c r="L22" s="265"/>
      <c r="M22" s="265"/>
      <c r="N22" s="265"/>
    </row>
    <row r="23" spans="1:33" s="249" customFormat="1" ht="13.5" customHeight="1">
      <c r="A23" s="1301" t="s">
        <v>1313</v>
      </c>
      <c r="B23" s="260" t="s">
        <v>1343</v>
      </c>
      <c r="C23" s="261">
        <f>ROUND(C4*F23*F11,0)</f>
        <v>9801</v>
      </c>
      <c r="D23" s="263"/>
      <c r="E23" s="263"/>
      <c r="F23" s="264">
        <f>'数据-取费表'!E26</f>
        <v>0.01</v>
      </c>
      <c r="G23" s="239" t="s">
        <v>1344</v>
      </c>
      <c r="H23" s="242"/>
      <c r="I23" s="242"/>
      <c r="J23" s="242"/>
      <c r="K23" s="243"/>
    </row>
    <row r="24" spans="1:33" s="249" customFormat="1" ht="13.5" customHeight="1">
      <c r="A24" s="1301" t="s">
        <v>1345</v>
      </c>
      <c r="B24" s="260" t="s">
        <v>1346</v>
      </c>
      <c r="C24" s="266">
        <f>ROUND(F24/(1+'数据-取费表'!F30),4)</f>
        <v>2.9000000000000001E-2</v>
      </c>
      <c r="D24" s="267" t="s">
        <v>12</v>
      </c>
      <c r="E24" s="267"/>
      <c r="F24" s="264">
        <f>'数据-取费表'!E36+'数据-取费表'!E37</f>
        <v>3.0499999999999999E-2</v>
      </c>
      <c r="G24" s="239" t="s">
        <v>1347</v>
      </c>
      <c r="H24" s="269"/>
      <c r="I24" s="269"/>
      <c r="J24" s="269"/>
      <c r="K24" s="270"/>
    </row>
    <row r="25" spans="1:33" s="265" customFormat="1" ht="13.5" customHeight="1">
      <c r="A25" s="1301" t="s">
        <v>1348</v>
      </c>
      <c r="B25" s="262" t="s">
        <v>1349</v>
      </c>
      <c r="C25" s="271">
        <f ca="1">C27</f>
        <v>0</v>
      </c>
      <c r="D25" s="266">
        <f ca="1">C26</f>
        <v>0</v>
      </c>
      <c r="E25" s="272" t="s">
        <v>12</v>
      </c>
      <c r="F25" s="273">
        <f ca="1">'数据-取费表'!E27</f>
        <v>4.7500000000000001E-2</v>
      </c>
      <c r="G25" s="230" t="s">
        <v>1350</v>
      </c>
      <c r="H25" s="269"/>
      <c r="I25" s="269"/>
      <c r="J25" s="269"/>
      <c r="K25" s="270"/>
    </row>
    <row r="26" spans="1:33" s="279" customFormat="1" ht="13.5" customHeight="1">
      <c r="A26" s="1302" t="s">
        <v>1351</v>
      </c>
      <c r="B26" s="274" t="s">
        <v>1352</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1331</v>
      </c>
      <c r="B27" s="274" t="s">
        <v>1353</v>
      </c>
      <c r="C27" s="280">
        <f ca="1">ROUND(IF('数据-取费表'!B23&lt;=1,(C21+C22+C23)*F25*'数据-取费表'!B25/2,(C21+C22+C23)*(POWER((1+F25),'数据-取费表'!B25/2)-1)),0)</f>
        <v>0</v>
      </c>
      <c r="D27" s="276"/>
      <c r="E27" s="277"/>
      <c r="F27" s="278"/>
      <c r="G27" s="230" t="s">
        <v>1354</v>
      </c>
      <c r="H27" s="253"/>
      <c r="I27" s="253"/>
      <c r="J27" s="253"/>
      <c r="K27" s="254"/>
    </row>
    <row r="28" spans="1:33" s="284" customFormat="1" ht="13.5" customHeight="1">
      <c r="A28" s="1301" t="s">
        <v>1355</v>
      </c>
      <c r="B28" s="281" t="s">
        <v>1356</v>
      </c>
      <c r="C28" s="282">
        <f>C30</f>
        <v>48263</v>
      </c>
      <c r="D28" s="266">
        <f>C29</f>
        <v>0.10290000000000001</v>
      </c>
      <c r="E28" s="272" t="s">
        <v>12</v>
      </c>
      <c r="F28" s="283">
        <f>'数据-取费表'!E28</f>
        <v>0.1</v>
      </c>
      <c r="G28" s="268"/>
      <c r="H28" s="269"/>
      <c r="I28" s="269"/>
      <c r="J28" s="269"/>
      <c r="K28" s="270"/>
    </row>
    <row r="29" spans="1:33" s="287" customFormat="1" ht="13.5" customHeight="1">
      <c r="A29" s="1302" t="s">
        <v>1357</v>
      </c>
      <c r="B29" s="285" t="s">
        <v>1358</v>
      </c>
      <c r="C29" s="276">
        <f>ROUND((1+C24)*F28,4)</f>
        <v>0.10290000000000001</v>
      </c>
      <c r="D29" s="276"/>
      <c r="E29" s="277"/>
      <c r="F29" s="286"/>
      <c r="G29" s="230" t="s">
        <v>1359</v>
      </c>
      <c r="H29" s="253"/>
      <c r="I29" s="253"/>
      <c r="J29" s="253"/>
      <c r="K29" s="254"/>
    </row>
    <row r="30" spans="1:33" s="287" customFormat="1" ht="13.5" customHeight="1">
      <c r="A30" s="1302" t="s">
        <v>1360</v>
      </c>
      <c r="B30" s="285" t="s">
        <v>1361</v>
      </c>
      <c r="C30" s="288">
        <f>ROUND((C21+C22+C23)*F28,0)</f>
        <v>48263</v>
      </c>
      <c r="D30" s="276"/>
      <c r="E30" s="289"/>
      <c r="F30" s="286"/>
      <c r="G30" s="230"/>
      <c r="H30" s="253"/>
      <c r="I30" s="253"/>
      <c r="J30" s="253"/>
      <c r="K30" s="254"/>
    </row>
    <row r="31" spans="1:33" s="265" customFormat="1" ht="13.5" customHeight="1" thickBot="1">
      <c r="A31" s="1966" t="s">
        <v>1362</v>
      </c>
      <c r="B31" s="260" t="s">
        <v>1363</v>
      </c>
      <c r="C31" s="290">
        <f>ROUND(C4*F31/(1+'数据-取费表'!F30),0)</f>
        <v>190135</v>
      </c>
      <c r="D31" s="235"/>
      <c r="E31" s="291"/>
      <c r="F31" s="292">
        <f>'数据-取费表'!E29</f>
        <v>5.5000000000000007E-2</v>
      </c>
      <c r="G31" s="293" t="s">
        <v>1364</v>
      </c>
      <c r="H31" s="294"/>
      <c r="I31" s="294"/>
      <c r="J31" s="294"/>
      <c r="K31" s="295"/>
    </row>
    <row r="32" spans="1:33" s="244" customFormat="1" ht="13.5" customHeight="1" thickBot="1">
      <c r="A32" s="296" t="s">
        <v>1365</v>
      </c>
      <c r="B32" s="297"/>
      <c r="C32" s="298">
        <f ca="1">ROUND((C4-C21-C22-C23-C25-C28-C31)/(1+C24+D25+D28),0)</f>
        <v>2569860</v>
      </c>
      <c r="D32" s="297"/>
      <c r="E32" s="297"/>
      <c r="F32" s="297"/>
      <c r="G32" s="299" t="s">
        <v>1366</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69" t="s">
        <v>1024</v>
      </c>
      <c r="B1" s="2970"/>
      <c r="C1" s="2971"/>
      <c r="D1" s="2972">
        <f>SUM(I10,I15,I20,I21,I23)</f>
        <v>0</v>
      </c>
      <c r="E1" s="2972"/>
      <c r="F1" s="2972"/>
      <c r="G1" s="2972"/>
      <c r="H1" s="2972"/>
      <c r="I1" s="2973"/>
    </row>
    <row r="2" spans="1:9">
      <c r="A2" s="2974" t="s">
        <v>1025</v>
      </c>
      <c r="B2" s="2975" t="s">
        <v>974</v>
      </c>
      <c r="C2" s="2975"/>
      <c r="D2" s="1384" t="s">
        <v>975</v>
      </c>
      <c r="E2" s="1384" t="s">
        <v>976</v>
      </c>
      <c r="F2" s="1384" t="s">
        <v>977</v>
      </c>
      <c r="G2" s="1384" t="s">
        <v>978</v>
      </c>
      <c r="H2" s="1384" t="s">
        <v>979</v>
      </c>
      <c r="I2" s="1385" t="s">
        <v>980</v>
      </c>
    </row>
    <row r="3" spans="1:9">
      <c r="A3" s="2974"/>
      <c r="B3" s="2975" t="s">
        <v>981</v>
      </c>
      <c r="C3" s="2975"/>
      <c r="D3" s="1386"/>
      <c r="E3" s="1384"/>
      <c r="F3" s="1387"/>
      <c r="G3" s="1387"/>
      <c r="H3" s="1388"/>
      <c r="I3" s="1389">
        <f>ROUND(D3*E3*F3*G3*H3/10000,0)</f>
        <v>0</v>
      </c>
    </row>
    <row r="4" spans="1:9">
      <c r="A4" s="2974"/>
      <c r="B4" s="2975" t="s">
        <v>982</v>
      </c>
      <c r="C4" s="2975"/>
      <c r="D4" s="1386"/>
      <c r="E4" s="1384"/>
      <c r="F4" s="1387"/>
      <c r="G4" s="1387"/>
      <c r="H4" s="1388"/>
      <c r="I4" s="1389">
        <f t="shared" ref="I4:I9" si="0">ROUND(D4*E4*F4*G4*H4/10000,0)</f>
        <v>0</v>
      </c>
    </row>
    <row r="5" spans="1:9">
      <c r="A5" s="2974"/>
      <c r="B5" s="2975" t="s">
        <v>983</v>
      </c>
      <c r="C5" s="2975"/>
      <c r="D5" s="1386"/>
      <c r="E5" s="1384"/>
      <c r="F5" s="1387"/>
      <c r="G5" s="1387"/>
      <c r="H5" s="1388"/>
      <c r="I5" s="1389">
        <f t="shared" si="0"/>
        <v>0</v>
      </c>
    </row>
    <row r="6" spans="1:9">
      <c r="A6" s="2974"/>
      <c r="B6" s="2975" t="s">
        <v>984</v>
      </c>
      <c r="C6" s="2975"/>
      <c r="D6" s="1386"/>
      <c r="E6" s="1384"/>
      <c r="F6" s="1387"/>
      <c r="G6" s="1387"/>
      <c r="H6" s="1388"/>
      <c r="I6" s="1389">
        <f t="shared" si="0"/>
        <v>0</v>
      </c>
    </row>
    <row r="7" spans="1:9">
      <c r="A7" s="2974"/>
      <c r="B7" s="2975" t="s">
        <v>985</v>
      </c>
      <c r="C7" s="2975"/>
      <c r="D7" s="1386"/>
      <c r="E7" s="1384"/>
      <c r="F7" s="1387"/>
      <c r="G7" s="1387"/>
      <c r="H7" s="1388"/>
      <c r="I7" s="1389">
        <f t="shared" si="0"/>
        <v>0</v>
      </c>
    </row>
    <row r="8" spans="1:9">
      <c r="A8" s="2974"/>
      <c r="B8" s="2975" t="s">
        <v>986</v>
      </c>
      <c r="C8" s="2975"/>
      <c r="D8" s="1386"/>
      <c r="E8" s="1384"/>
      <c r="F8" s="1387"/>
      <c r="G8" s="1387"/>
      <c r="H8" s="1388"/>
      <c r="I8" s="1389">
        <f t="shared" si="0"/>
        <v>0</v>
      </c>
    </row>
    <row r="9" spans="1:9">
      <c r="A9" s="2974"/>
      <c r="B9" s="2975" t="s">
        <v>987</v>
      </c>
      <c r="C9" s="2975"/>
      <c r="D9" s="1386"/>
      <c r="E9" s="1384"/>
      <c r="F9" s="1387"/>
      <c r="G9" s="1387"/>
      <c r="H9" s="1388"/>
      <c r="I9" s="1389">
        <f t="shared" si="0"/>
        <v>0</v>
      </c>
    </row>
    <row r="10" spans="1:9">
      <c r="A10" s="2974"/>
      <c r="B10" s="2976" t="s">
        <v>988</v>
      </c>
      <c r="C10" s="2976"/>
      <c r="D10" s="1390">
        <v>527</v>
      </c>
      <c r="E10" s="1390" t="e">
        <f>ROUND(D1*10000/D10/H9,0)</f>
        <v>#DIV/0!</v>
      </c>
      <c r="F10" s="1391"/>
      <c r="G10" s="1391"/>
      <c r="H10" s="1392"/>
      <c r="I10" s="1393">
        <f>SUM(I3:I9)</f>
        <v>0</v>
      </c>
    </row>
    <row r="11" spans="1:9" ht="14.25">
      <c r="A11" s="2974" t="s">
        <v>1026</v>
      </c>
      <c r="B11" s="2975" t="s">
        <v>989</v>
      </c>
      <c r="C11" s="2975"/>
      <c r="D11" s="1386" t="s">
        <v>990</v>
      </c>
      <c r="E11" s="1386" t="s">
        <v>991</v>
      </c>
      <c r="F11" s="1387" t="s">
        <v>992</v>
      </c>
      <c r="G11" s="1387" t="s">
        <v>979</v>
      </c>
      <c r="H11" s="1394" t="s">
        <v>993</v>
      </c>
      <c r="I11" s="1385" t="s">
        <v>980</v>
      </c>
    </row>
    <row r="12" spans="1:9">
      <c r="A12" s="2974"/>
      <c r="B12" s="2975" t="s">
        <v>994</v>
      </c>
      <c r="C12" s="2975"/>
      <c r="D12" s="1386"/>
      <c r="E12" s="1386"/>
      <c r="F12" s="1387"/>
      <c r="G12" s="1388"/>
      <c r="H12" s="1395"/>
      <c r="I12" s="1385">
        <f>ROUND(D12*E12*F12*G12/10000,0)</f>
        <v>0</v>
      </c>
    </row>
    <row r="13" spans="1:9">
      <c r="A13" s="2974"/>
      <c r="B13" s="2975" t="s">
        <v>995</v>
      </c>
      <c r="C13" s="2975"/>
      <c r="D13" s="1386"/>
      <c r="E13" s="1386"/>
      <c r="F13" s="1387"/>
      <c r="G13" s="1388"/>
      <c r="H13" s="1395"/>
      <c r="I13" s="1385">
        <f>ROUND(D13*E13*F13*G13/10000,0)</f>
        <v>0</v>
      </c>
    </row>
    <row r="14" spans="1:9">
      <c r="A14" s="2974"/>
      <c r="B14" s="2975" t="s">
        <v>996</v>
      </c>
      <c r="C14" s="2975"/>
      <c r="D14" s="1386"/>
      <c r="E14" s="1386"/>
      <c r="F14" s="1387"/>
      <c r="G14" s="1388"/>
      <c r="H14" s="1395"/>
      <c r="I14" s="1385">
        <f>ROUND(D14*E14*F14*G14/10000,0)</f>
        <v>0</v>
      </c>
    </row>
    <row r="15" spans="1:9">
      <c r="A15" s="2974"/>
      <c r="B15" s="2976" t="s">
        <v>988</v>
      </c>
      <c r="C15" s="2976"/>
      <c r="D15" s="1390"/>
      <c r="E15" s="1390">
        <f>SUM(E12:E14)</f>
        <v>0</v>
      </c>
      <c r="F15" s="1391"/>
      <c r="G15" s="1388"/>
      <c r="H15" s="1395"/>
      <c r="I15" s="1396">
        <f>SUM(I12:I14)</f>
        <v>0</v>
      </c>
    </row>
    <row r="16" spans="1:9" ht="24">
      <c r="A16" s="2974" t="s">
        <v>1027</v>
      </c>
      <c r="B16" s="2975" t="s">
        <v>997</v>
      </c>
      <c r="C16" s="2975"/>
      <c r="D16" s="1386" t="s">
        <v>975</v>
      </c>
      <c r="E16" s="1397" t="s">
        <v>998</v>
      </c>
      <c r="F16" s="1387" t="s">
        <v>999</v>
      </c>
      <c r="G16" s="1388" t="s">
        <v>979</v>
      </c>
      <c r="H16" s="1394" t="s">
        <v>993</v>
      </c>
      <c r="I16" s="1385" t="s">
        <v>980</v>
      </c>
    </row>
    <row r="17" spans="1:9" ht="14.25">
      <c r="A17" s="2974"/>
      <c r="B17" s="2975" t="s">
        <v>1000</v>
      </c>
      <c r="C17" s="2975"/>
      <c r="D17" s="1386"/>
      <c r="E17" s="1386"/>
      <c r="F17" s="1387"/>
      <c r="G17" s="1388"/>
      <c r="H17" s="1398"/>
      <c r="I17" s="1399">
        <f>ROUND(D17*E17*F17*G17/10000,0)</f>
        <v>0</v>
      </c>
    </row>
    <row r="18" spans="1:9" ht="14.25">
      <c r="A18" s="2974"/>
      <c r="B18" s="2975" t="s">
        <v>1001</v>
      </c>
      <c r="C18" s="2975"/>
      <c r="D18" s="1386"/>
      <c r="E18" s="1386"/>
      <c r="F18" s="1387"/>
      <c r="G18" s="1388"/>
      <c r="H18" s="1398"/>
      <c r="I18" s="1399">
        <f>ROUND(D18*E18*F18*G18/10000,0)</f>
        <v>0</v>
      </c>
    </row>
    <row r="19" spans="1:9" ht="14.25">
      <c r="A19" s="2974"/>
      <c r="B19" s="2975" t="s">
        <v>1002</v>
      </c>
      <c r="C19" s="2975"/>
      <c r="D19" s="1386"/>
      <c r="E19" s="1386"/>
      <c r="F19" s="1387"/>
      <c r="G19" s="1388"/>
      <c r="H19" s="1398"/>
      <c r="I19" s="1399">
        <f>ROUND(D19*E19*F19*G19/10000,0)</f>
        <v>0</v>
      </c>
    </row>
    <row r="20" spans="1:9">
      <c r="A20" s="2974"/>
      <c r="B20" s="2976" t="s">
        <v>988</v>
      </c>
      <c r="C20" s="2976"/>
      <c r="D20" s="1390">
        <f>SUM(D17:D19)</f>
        <v>0</v>
      </c>
      <c r="E20" s="1390"/>
      <c r="F20" s="1391"/>
      <c r="G20" s="1388"/>
      <c r="H20" s="1395"/>
      <c r="I20" s="1396">
        <f>SUM(I17:I19)</f>
        <v>0</v>
      </c>
    </row>
    <row r="21" spans="1:9">
      <c r="A21" s="2974" t="s">
        <v>1028</v>
      </c>
      <c r="B21" s="2978"/>
      <c r="C21" s="2978"/>
      <c r="D21" s="2978"/>
      <c r="E21" s="2978"/>
      <c r="F21" s="2978"/>
      <c r="G21" s="2978"/>
      <c r="H21" s="1400">
        <v>0.1</v>
      </c>
      <c r="I21" s="1393">
        <f>ROUND(I10*H21,0)</f>
        <v>0</v>
      </c>
    </row>
    <row r="22" spans="1:9" ht="14.25">
      <c r="A22" s="2979" t="s">
        <v>1029</v>
      </c>
      <c r="B22" s="2980"/>
      <c r="C22" s="2981"/>
      <c r="D22" s="1401" t="s">
        <v>1003</v>
      </c>
      <c r="E22" s="1401" t="s">
        <v>1004</v>
      </c>
      <c r="F22" s="1402" t="s">
        <v>979</v>
      </c>
      <c r="G22" s="1402" t="s">
        <v>1005</v>
      </c>
      <c r="H22" s="1394" t="s">
        <v>993</v>
      </c>
      <c r="I22" s="1385" t="s">
        <v>980</v>
      </c>
    </row>
    <row r="23" spans="1:9" ht="14.25" thickBot="1">
      <c r="A23" s="2982"/>
      <c r="B23" s="2983"/>
      <c r="C23" s="2984"/>
      <c r="D23" s="1403"/>
      <c r="E23" s="1403"/>
      <c r="F23" s="1403"/>
      <c r="G23" s="1404"/>
      <c r="H23" s="1405"/>
      <c r="I23" s="1406">
        <f>ROUND(E23*D23*F23*(1-G23)/10000,0)</f>
        <v>0</v>
      </c>
    </row>
    <row r="26" spans="1:9">
      <c r="A26" s="1407" t="s">
        <v>1006</v>
      </c>
      <c r="B26" s="1407"/>
      <c r="C26" s="1407"/>
      <c r="D26" s="1407"/>
      <c r="E26" s="2985">
        <f>C27-C30-C31-C32</f>
        <v>0</v>
      </c>
      <c r="F26" s="2985"/>
      <c r="G26" s="2985"/>
      <c r="H26" s="1824" t="s">
        <v>1219</v>
      </c>
    </row>
    <row r="27" spans="1:9">
      <c r="A27" s="1408">
        <v>1</v>
      </c>
      <c r="B27" s="1409" t="s">
        <v>1007</v>
      </c>
      <c r="C27" s="1409">
        <f>C28+C29</f>
        <v>0</v>
      </c>
      <c r="D27" s="1409"/>
      <c r="E27" s="2986"/>
      <c r="F27" s="2986"/>
      <c r="G27" s="2986"/>
    </row>
    <row r="28" spans="1:9">
      <c r="A28" s="1410" t="s">
        <v>1008</v>
      </c>
      <c r="B28" s="1409" t="s">
        <v>1009</v>
      </c>
      <c r="C28" s="1409"/>
      <c r="D28" s="1409"/>
      <c r="E28" s="2986"/>
      <c r="F28" s="2986"/>
      <c r="G28" s="2986"/>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2977"/>
      <c r="F32" s="2977"/>
      <c r="G32" s="2977"/>
    </row>
    <row r="33" spans="1:7" hidden="1">
      <c r="A33" s="2987" t="s">
        <v>1018</v>
      </c>
      <c r="B33" s="2988"/>
      <c r="C33" s="2988"/>
      <c r="D33" s="2989"/>
      <c r="E33" s="2985"/>
      <c r="F33" s="2985"/>
      <c r="G33" s="2985"/>
    </row>
    <row r="34" spans="1:7" hidden="1">
      <c r="A34" s="1412">
        <v>1</v>
      </c>
      <c r="B34" s="1409" t="s">
        <v>1019</v>
      </c>
      <c r="C34" s="1409"/>
      <c r="D34" s="1409"/>
      <c r="E34" s="2986"/>
      <c r="F34" s="2986"/>
      <c r="G34" s="2986"/>
    </row>
    <row r="35" spans="1:7" hidden="1">
      <c r="A35" s="1412">
        <v>2</v>
      </c>
      <c r="B35" s="1409" t="s">
        <v>1020</v>
      </c>
      <c r="C35" s="1409"/>
      <c r="D35" s="1409"/>
      <c r="E35" s="2986"/>
      <c r="F35" s="2986"/>
      <c r="G35" s="2986"/>
    </row>
    <row r="36" spans="1:7" hidden="1">
      <c r="A36" s="1412">
        <v>3</v>
      </c>
      <c r="B36" s="1409" t="s">
        <v>1021</v>
      </c>
      <c r="C36" s="1409"/>
      <c r="D36" s="1409"/>
      <c r="E36" s="2986"/>
      <c r="F36" s="2986"/>
      <c r="G36" s="2986"/>
    </row>
    <row r="37" spans="1:7" hidden="1">
      <c r="A37" s="1412">
        <v>4</v>
      </c>
      <c r="B37" s="1409" t="s">
        <v>1022</v>
      </c>
      <c r="C37" s="1409"/>
      <c r="D37" s="1409"/>
      <c r="E37" s="2986"/>
      <c r="F37" s="2986"/>
      <c r="G37" s="2986"/>
    </row>
    <row r="38" spans="1:7" hidden="1">
      <c r="A38" s="2987" t="s">
        <v>1023</v>
      </c>
      <c r="B38" s="2988"/>
      <c r="C38" s="2988"/>
      <c r="D38" s="2989"/>
      <c r="E38" s="2985"/>
      <c r="F38" s="2985"/>
      <c r="G38" s="29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1"/>
    </row>
    <row r="2" spans="1:7">
      <c r="A2" s="1179"/>
      <c r="B2" s="841"/>
    </row>
    <row r="3" spans="1:7">
      <c r="A3" s="1179"/>
      <c r="B3" s="841"/>
    </row>
    <row r="4" spans="1:7">
      <c r="A4" s="1179"/>
      <c r="B4" s="841"/>
    </row>
    <row r="5" spans="1:7">
      <c r="A5" s="1179"/>
      <c r="B5" s="841"/>
    </row>
    <row r="6" spans="1:7">
      <c r="A6" s="1179"/>
      <c r="B6" s="841"/>
    </row>
    <row r="7" spans="1:7">
      <c r="A7" s="1179"/>
      <c r="B7" s="841"/>
    </row>
    <row r="8" spans="1:7">
      <c r="A8" s="1182" t="s">
        <v>948</v>
      </c>
      <c r="B8" s="1181" t="s">
        <v>947</v>
      </c>
      <c r="C8" s="1038"/>
    </row>
    <row r="9" spans="1:7">
      <c r="A9" s="1179"/>
      <c r="B9" s="1902"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948</v>
      </c>
      <c r="B11" s="1181" t="s">
        <v>949</v>
      </c>
      <c r="C11" s="1038"/>
    </row>
    <row r="12" spans="1:7">
      <c r="A12" s="1179"/>
      <c r="B12" s="1903">
        <f>项目基本情况!B4</f>
        <v>0</v>
      </c>
      <c r="C12" s="1038"/>
    </row>
    <row r="13" spans="1:7">
      <c r="A13" s="1179"/>
      <c r="B13" s="1072"/>
      <c r="C13" s="1038"/>
    </row>
    <row r="14" spans="1:7">
      <c r="A14" s="1182" t="s">
        <v>948</v>
      </c>
      <c r="B14" s="1181" t="s">
        <v>950</v>
      </c>
      <c r="C14" s="1038"/>
    </row>
    <row r="15" spans="1:7">
      <c r="A15" s="1179"/>
      <c r="B15" s="1903" t="s">
        <v>779</v>
      </c>
      <c r="C15" s="1038"/>
    </row>
    <row r="16" spans="1:7">
      <c r="A16" s="1179"/>
      <c r="B16" s="1072"/>
      <c r="C16" s="1038"/>
    </row>
    <row r="17" spans="1:5">
      <c r="A17" s="1182" t="s">
        <v>948</v>
      </c>
      <c r="B17" s="1181" t="s">
        <v>951</v>
      </c>
      <c r="C17" s="1038"/>
    </row>
    <row r="18" spans="1:5" s="1042" customFormat="1">
      <c r="A18" s="1180"/>
      <c r="B18" s="1903" t="str">
        <f ca="1">CONCATENATE(项目基本情况!B3,"（注册号:",项目基本情况!C3,"）、",项目基本情况!D3,"（注册号:",项目基本情况!E3,")")</f>
        <v>欧红伟（注册号:1120000080）、崔锴（注册号:1120100036)</v>
      </c>
      <c r="C18" s="1041"/>
      <c r="E18" s="1041"/>
    </row>
    <row r="19" spans="1:5">
      <c r="A19" s="1179"/>
      <c r="B19" s="1072"/>
      <c r="C19" s="1038"/>
    </row>
    <row r="20" spans="1:5">
      <c r="A20" s="1182" t="s">
        <v>948</v>
      </c>
      <c r="B20" s="1181" t="s">
        <v>952</v>
      </c>
      <c r="C20" s="1038"/>
    </row>
    <row r="21" spans="1:5">
      <c r="A21" s="1179"/>
      <c r="B21" s="1903" t="str">
        <f>"康正预评字"&amp;项目基本情况!G1&amp;"号"</f>
        <v>康正预评字号</v>
      </c>
    </row>
    <row r="22" spans="1:5">
      <c r="A22" s="1179"/>
      <c r="B22" s="841"/>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G47" sqref="G47"/>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2339</v>
      </c>
      <c r="B1" s="1729" t="s">
        <v>2340</v>
      </c>
      <c r="C1" s="1721" t="s">
        <v>2835</v>
      </c>
      <c r="D1" s="2378"/>
      <c r="E1" s="2379" t="s">
        <v>2836</v>
      </c>
      <c r="F1" s="1735" t="s">
        <v>2341</v>
      </c>
      <c r="G1" s="1734"/>
      <c r="H1" s="1734"/>
      <c r="I1" s="1734"/>
      <c r="J1" s="1734"/>
      <c r="K1" s="1736"/>
      <c r="L1" s="1728"/>
      <c r="M1" s="1729"/>
      <c r="N1" s="1729"/>
      <c r="O1" s="1729"/>
      <c r="P1" s="2380"/>
      <c r="Q1" s="1730"/>
      <c r="R1" s="1730"/>
      <c r="S1" s="1730"/>
      <c r="T1" s="1730"/>
      <c r="U1" s="1730"/>
      <c r="V1" s="1730"/>
      <c r="W1" s="1730"/>
      <c r="X1" s="1730"/>
      <c r="Y1" s="1730"/>
      <c r="Z1" s="1730"/>
      <c r="AA1" s="1730"/>
      <c r="AB1" s="1730"/>
      <c r="AC1" s="1731"/>
    </row>
    <row r="2" spans="1:29" s="371" customFormat="1" ht="28.5" customHeight="1" thickTop="1">
      <c r="A2" s="1722" t="s">
        <v>2009</v>
      </c>
      <c r="B2" s="1720">
        <f>IF(D2="——",IF(C2="元",ROUND(C49*D3,0),ROUND(C49*D3/10000,0)),IF(C2="元",ROUND(C49*D3,0),ROUND(C49*D3/10000,0))-E2)</f>
        <v>4371791</v>
      </c>
      <c r="C2" s="162" t="str">
        <f>'数据-取费表'!B3</f>
        <v>元</v>
      </c>
      <c r="D2" s="2381" t="s">
        <v>1253</v>
      </c>
      <c r="E2" s="1838" t="e">
        <f ca="1">SUMIF(INDIRECT("'"&amp;G2&amp;"'"&amp;"!A:A"),"承租人权益价值",INDIRECT("'"&amp;G2&amp;"'"&amp;"!c:c"))</f>
        <v>#REF!</v>
      </c>
      <c r="F2" s="2382" t="str">
        <f>C2</f>
        <v>元</v>
      </c>
      <c r="G2" s="2383"/>
      <c r="H2" s="978"/>
      <c r="I2" s="978"/>
      <c r="J2" s="978"/>
      <c r="K2" s="2384"/>
      <c r="L2" s="2385"/>
      <c r="M2" s="2386"/>
      <c r="N2" s="2386"/>
      <c r="O2" s="2386"/>
      <c r="P2" s="2387"/>
      <c r="Q2" s="2388"/>
      <c r="R2" s="2388"/>
      <c r="S2" s="2388"/>
      <c r="T2" s="2388"/>
      <c r="U2" s="2388"/>
      <c r="V2" s="2388"/>
      <c r="W2" s="2388"/>
      <c r="X2" s="2388"/>
      <c r="Y2" s="2388"/>
      <c r="Z2" s="2388"/>
      <c r="AA2" s="2388"/>
      <c r="AB2" s="2388"/>
      <c r="AC2" s="2389"/>
    </row>
    <row r="3" spans="1:29" s="371" customFormat="1" ht="28.5" customHeight="1" thickBot="1">
      <c r="A3" s="166" t="s">
        <v>2010</v>
      </c>
      <c r="B3" s="377">
        <f>ROUND(IF(D2="——",C49,IF(C2="万元",B2*10000/D3,B2/D3)),0)</f>
        <v>42154</v>
      </c>
      <c r="C3" s="378" t="s">
        <v>2342</v>
      </c>
      <c r="D3" s="377">
        <f>IF(C1="仅计算典型户型",'数据-取费表'!E5,'数据-取费表'!B5)</f>
        <v>103.71</v>
      </c>
      <c r="E3" s="978"/>
      <c r="F3" s="2390"/>
      <c r="G3" s="978"/>
      <c r="H3" s="978"/>
      <c r="I3" s="978"/>
      <c r="J3" s="978"/>
      <c r="K3" s="2384"/>
      <c r="L3" s="2385"/>
      <c r="M3" s="2386"/>
      <c r="N3" s="2386"/>
      <c r="O3" s="2386"/>
      <c r="P3" s="2391"/>
      <c r="Q3" s="2388"/>
      <c r="R3" s="2388"/>
      <c r="S3" s="2388"/>
      <c r="T3" s="2388"/>
      <c r="U3" s="2388"/>
      <c r="V3" s="2388"/>
      <c r="W3" s="2388"/>
      <c r="X3" s="2388"/>
      <c r="Y3" s="2388"/>
      <c r="Z3" s="2388"/>
      <c r="AA3" s="2388"/>
      <c r="AB3" s="2388"/>
      <c r="AC3" s="1353"/>
    </row>
    <row r="4" spans="1:29" ht="15">
      <c r="A4" s="379" t="s">
        <v>2343</v>
      </c>
      <c r="B4" s="380"/>
      <c r="C4" s="2993" t="s">
        <v>2344</v>
      </c>
      <c r="D4" s="2994"/>
      <c r="E4" s="2995" t="s">
        <v>2345</v>
      </c>
      <c r="F4" s="2996"/>
      <c r="G4" s="2993" t="s">
        <v>2346</v>
      </c>
      <c r="H4" s="2994"/>
      <c r="I4" s="2993" t="s">
        <v>2347</v>
      </c>
      <c r="J4" s="2994"/>
      <c r="K4" s="2392"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2990" t="s">
        <v>2346</v>
      </c>
      <c r="AC4" s="2990" t="s">
        <v>2347</v>
      </c>
    </row>
    <row r="5" spans="1:29" ht="15">
      <c r="A5" s="382"/>
      <c r="B5" s="383"/>
      <c r="C5" s="3012" t="s">
        <v>2350</v>
      </c>
      <c r="D5" s="3013"/>
      <c r="E5" s="3010" t="s">
        <v>2846</v>
      </c>
      <c r="F5" s="3011"/>
      <c r="G5" s="3012" t="str">
        <f>E5</f>
        <v>长桥公寓</v>
      </c>
      <c r="H5" s="3013"/>
      <c r="I5" s="3012" t="str">
        <f>E5</f>
        <v>长桥公寓</v>
      </c>
      <c r="J5" s="3013"/>
      <c r="K5" s="2393"/>
      <c r="L5" s="1238"/>
      <c r="M5" s="1239"/>
      <c r="N5" s="1239"/>
      <c r="O5" s="1239"/>
      <c r="P5" s="2999"/>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2393" t="s">
        <v>2355</v>
      </c>
      <c r="L6" s="1238"/>
      <c r="M6" s="1239"/>
      <c r="N6" s="1239"/>
      <c r="O6" s="1239"/>
      <c r="P6" s="3001"/>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390">
        <v>43211</v>
      </c>
      <c r="F7" s="391">
        <f>SUMIF(58:58,YEAR(E7)&amp;"-"&amp;MONTH(E7),59:59)</f>
        <v>100</v>
      </c>
      <c r="G7" s="390">
        <v>43225</v>
      </c>
      <c r="H7" s="389">
        <f>SUMIF(58:58,YEAR(G7)&amp;"-"&amp;MONTH(G7),59:59)</f>
        <v>100</v>
      </c>
      <c r="I7" s="390">
        <v>43181</v>
      </c>
      <c r="J7" s="389">
        <f>SUMIF(58:58,YEAR(I7)&amp;"-"&amp;MONTH(I7),59:59)</f>
        <v>99</v>
      </c>
      <c r="K7" s="2394"/>
      <c r="L7" s="1240"/>
      <c r="M7" s="1241"/>
      <c r="N7" s="1241"/>
      <c r="O7" s="1241"/>
      <c r="P7" s="3025" t="s">
        <v>2357</v>
      </c>
      <c r="Q7" s="3027"/>
      <c r="R7" s="747" t="s">
        <v>34</v>
      </c>
      <c r="S7" s="748">
        <f t="shared" ref="S7:S15" si="0">F7</f>
        <v>100</v>
      </c>
      <c r="T7" s="747" t="s">
        <v>34</v>
      </c>
      <c r="U7" s="748">
        <f t="shared" ref="U7:U15" si="1">H7</f>
        <v>100</v>
      </c>
      <c r="V7" s="747" t="s">
        <v>34</v>
      </c>
      <c r="W7" s="748">
        <f t="shared" ref="W7:W15" si="2">J7</f>
        <v>99</v>
      </c>
      <c r="X7" s="749"/>
      <c r="Y7" s="3025" t="s">
        <v>2357</v>
      </c>
      <c r="Z7" s="3026"/>
      <c r="AA7" s="750">
        <f>D7/F7</f>
        <v>1</v>
      </c>
      <c r="AB7" s="750">
        <f>D7/H7</f>
        <v>1</v>
      </c>
      <c r="AC7" s="750">
        <f>D7/J7</f>
        <v>1.0101010101010102</v>
      </c>
    </row>
    <row r="8" spans="1:29" s="35" customFormat="1" ht="15.75" thickBot="1">
      <c r="A8" s="386" t="s">
        <v>2358</v>
      </c>
      <c r="B8" s="387"/>
      <c r="C8" s="393" t="s">
        <v>2359</v>
      </c>
      <c r="D8" s="389">
        <v>100</v>
      </c>
      <c r="E8" s="2395" t="s">
        <v>2837</v>
      </c>
      <c r="F8" s="391">
        <f>SUMIF(61:61,E8,62:62)-SUMIF(61:61,C8,62:62)+100</f>
        <v>100</v>
      </c>
      <c r="G8" s="393" t="s">
        <v>2837</v>
      </c>
      <c r="H8" s="389">
        <f>SUMIF(61:61,G8,62:62)-SUMIF(61:61,C8,62:62)+100</f>
        <v>100</v>
      </c>
      <c r="I8" s="2395" t="s">
        <v>2837</v>
      </c>
      <c r="J8" s="389">
        <f>SUMIF(61:61,I8,62:62)-SUMIF(61:61,C8,62:62)+100</f>
        <v>100</v>
      </c>
      <c r="K8" s="2394"/>
      <c r="L8" s="1240"/>
      <c r="M8" s="1241"/>
      <c r="N8" s="1241"/>
      <c r="O8" s="1241"/>
      <c r="P8" s="3025" t="s">
        <v>2360</v>
      </c>
      <c r="Q8" s="3026"/>
      <c r="R8" s="747" t="s">
        <v>34</v>
      </c>
      <c r="S8" s="748">
        <f t="shared" si="0"/>
        <v>100</v>
      </c>
      <c r="T8" s="747" t="s">
        <v>34</v>
      </c>
      <c r="U8" s="748">
        <f t="shared" si="1"/>
        <v>100</v>
      </c>
      <c r="V8" s="747" t="s">
        <v>34</v>
      </c>
      <c r="W8" s="748">
        <f t="shared" si="2"/>
        <v>100</v>
      </c>
      <c r="X8" s="749"/>
      <c r="Y8" s="3025" t="s">
        <v>2360</v>
      </c>
      <c r="Z8" s="3026"/>
      <c r="AA8" s="750">
        <f t="shared" ref="AA8:AA46" si="3">D8/F8</f>
        <v>1</v>
      </c>
      <c r="AB8" s="750">
        <f t="shared" ref="AB8:AB46" si="4">D8/H8</f>
        <v>1</v>
      </c>
      <c r="AC8" s="750">
        <f t="shared" ref="AC8:AC46" si="5">D8/J8</f>
        <v>1</v>
      </c>
    </row>
    <row r="9" spans="1:29" s="35" customFormat="1">
      <c r="A9" s="394" t="s">
        <v>2361</v>
      </c>
      <c r="B9" s="28" t="s">
        <v>2362</v>
      </c>
      <c r="C9" s="2731" t="s">
        <v>2847</v>
      </c>
      <c r="D9" s="50">
        <v>100</v>
      </c>
      <c r="E9" s="396" t="s">
        <v>2833</v>
      </c>
      <c r="F9" s="397">
        <f>SUMIF(63:63,E9,64:64)-SUMIF(63:63,C9,64:64)+100</f>
        <v>100</v>
      </c>
      <c r="G9" s="398" t="s">
        <v>2833</v>
      </c>
      <c r="H9" s="50">
        <f>SUMIF(63:63,G9,64:64)-SUMIF(63:63,C9,64:64)+100</f>
        <v>100</v>
      </c>
      <c r="I9" s="398" t="s">
        <v>2833</v>
      </c>
      <c r="J9" s="50">
        <f>SUMIF(63:63,I9,64:64)-SUMIF(63:63,C9,64:64)+100</f>
        <v>100</v>
      </c>
      <c r="K9" s="2394"/>
      <c r="L9" s="1240"/>
      <c r="M9" s="1241"/>
      <c r="N9" s="1241"/>
      <c r="O9" s="1241"/>
      <c r="P9" s="3028"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29" s="406" customFormat="1" ht="27.75" thickBot="1">
      <c r="A10" s="400"/>
      <c r="B10" s="401" t="s">
        <v>2365</v>
      </c>
      <c r="C10" s="402" t="s">
        <v>2848</v>
      </c>
      <c r="D10" s="51">
        <v>100</v>
      </c>
      <c r="E10" s="403" t="s">
        <v>2848</v>
      </c>
      <c r="F10" s="404">
        <f>SUMIF(65:65,E10,66:66)-SUMIF(65:65,C10,66:66)+100</f>
        <v>100</v>
      </c>
      <c r="G10" s="402" t="s">
        <v>2848</v>
      </c>
      <c r="H10" s="51">
        <f>SUMIF(65:65,G10,66:66)-SUMIF(65:65,C10,66:66)+100</f>
        <v>100</v>
      </c>
      <c r="I10" s="402" t="s">
        <v>2848</v>
      </c>
      <c r="J10" s="51">
        <f>SUMIF(65:65,I10,66:66)-SUMIF(65:65,C10,66:66)+100</f>
        <v>100</v>
      </c>
      <c r="K10" s="405">
        <v>2</v>
      </c>
      <c r="L10" s="1243"/>
      <c r="M10" s="1244"/>
      <c r="N10" s="1244"/>
      <c r="O10" s="1244"/>
      <c r="P10" s="3028"/>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hidden="1">
      <c r="A11" s="407"/>
      <c r="B11" s="401" t="s">
        <v>2366</v>
      </c>
      <c r="C11" s="408"/>
      <c r="D11" s="51">
        <v>100</v>
      </c>
      <c r="E11" s="409"/>
      <c r="F11" s="404">
        <f>LOOKUP(E11,68:68,69:69)-LOOKUP(C11,68:68,69:69)+100</f>
        <v>100</v>
      </c>
      <c r="G11" s="408"/>
      <c r="H11" s="51">
        <f>LOOKUP(G11,68:68,69:69)-LOOKUP(C11,68:68,69:69)+100</f>
        <v>100</v>
      </c>
      <c r="I11" s="408"/>
      <c r="J11" s="51">
        <f>LOOKUP(I11,68:68,69:69)-LOOKUP(C11,68:68,69:69)+100</f>
        <v>100</v>
      </c>
      <c r="K11" s="405"/>
      <c r="L11" s="1246"/>
      <c r="M11" s="1239"/>
      <c r="N11" s="1239"/>
      <c r="O11" s="1239"/>
      <c r="P11" s="3028"/>
      <c r="Q11" s="1882" t="str">
        <f t="shared" si="6"/>
        <v>容积率</v>
      </c>
      <c r="R11" s="747" t="s">
        <v>28</v>
      </c>
      <c r="S11" s="748">
        <f t="shared" si="0"/>
        <v>100</v>
      </c>
      <c r="T11" s="747" t="s">
        <v>28</v>
      </c>
      <c r="U11" s="748">
        <f t="shared" si="1"/>
        <v>100</v>
      </c>
      <c r="V11" s="747" t="s">
        <v>28</v>
      </c>
      <c r="W11" s="748">
        <f t="shared" si="2"/>
        <v>100</v>
      </c>
      <c r="X11" s="749"/>
      <c r="Y11" s="2849"/>
      <c r="Z11" s="23" t="str">
        <f t="shared" si="7"/>
        <v>容积率</v>
      </c>
      <c r="AA11" s="750">
        <f t="shared" si="3"/>
        <v>1</v>
      </c>
      <c r="AB11" s="750">
        <f t="shared" si="4"/>
        <v>1</v>
      </c>
      <c r="AC11" s="750">
        <f t="shared" si="5"/>
        <v>1</v>
      </c>
    </row>
    <row r="12" spans="1:29" s="35" customFormat="1" ht="15" hidden="1">
      <c r="A12" s="410"/>
      <c r="B12" s="2396">
        <v>111</v>
      </c>
      <c r="C12" s="411"/>
      <c r="D12" s="412">
        <v>100</v>
      </c>
      <c r="E12" s="411"/>
      <c r="F12" s="404">
        <f>SUMIF(70:70,E12,71:71)-SUMIF(70:70,C12,71:71)+100</f>
        <v>100</v>
      </c>
      <c r="G12" s="411"/>
      <c r="H12" s="51">
        <f>SUMIF(70:70,G12,71:71)-SUMIF(70:70,C12,71:71)+100</f>
        <v>100</v>
      </c>
      <c r="I12" s="411"/>
      <c r="J12" s="51">
        <f>SUMIF(70:70,I12,71:71)-SUMIF(70:70,C12,71:71)+100</f>
        <v>100</v>
      </c>
      <c r="K12" s="2397"/>
      <c r="L12" s="1240"/>
      <c r="M12" s="1241"/>
      <c r="N12" s="1241"/>
      <c r="O12" s="1241"/>
      <c r="P12" s="3028"/>
      <c r="Q12" s="1882">
        <f t="shared" si="6"/>
        <v>111</v>
      </c>
      <c r="R12" s="747" t="s">
        <v>28</v>
      </c>
      <c r="S12" s="748">
        <f t="shared" si="0"/>
        <v>100</v>
      </c>
      <c r="T12" s="747" t="s">
        <v>28</v>
      </c>
      <c r="U12" s="748">
        <f t="shared" si="1"/>
        <v>100</v>
      </c>
      <c r="V12" s="747" t="s">
        <v>28</v>
      </c>
      <c r="W12" s="748">
        <f t="shared" si="2"/>
        <v>100</v>
      </c>
      <c r="X12" s="749"/>
      <c r="Y12" s="2849"/>
      <c r="Z12" s="23">
        <f t="shared" si="7"/>
        <v>111</v>
      </c>
      <c r="AA12" s="750">
        <f>D12/F12</f>
        <v>1</v>
      </c>
      <c r="AB12" s="750">
        <f>D12/H12</f>
        <v>1</v>
      </c>
      <c r="AC12" s="750">
        <f>D12/J12</f>
        <v>1</v>
      </c>
    </row>
    <row r="13" spans="1:29" ht="15" hidden="1">
      <c r="A13" s="407"/>
      <c r="B13" s="2396">
        <v>111</v>
      </c>
      <c r="C13" s="413"/>
      <c r="D13" s="414">
        <v>100</v>
      </c>
      <c r="E13" s="413"/>
      <c r="F13" s="404">
        <f>SUMIF(72:72,E13,73:73)-SUMIF(72:72,C13,73:73)+100</f>
        <v>100</v>
      </c>
      <c r="G13" s="413"/>
      <c r="H13" s="414">
        <f>SUMIF(72:72,G13,73:73)-SUMIF(72:72,C13,73:73)+100</f>
        <v>100</v>
      </c>
      <c r="I13" s="413"/>
      <c r="J13" s="414">
        <f>SUMIF(72:72,I13,73:73)-SUMIF(72:72,C13,73:73)+100</f>
        <v>100</v>
      </c>
      <c r="K13" s="2397"/>
      <c r="L13" s="1248"/>
      <c r="M13" s="1239"/>
      <c r="N13" s="1239"/>
      <c r="O13" s="1239"/>
      <c r="P13" s="3028"/>
      <c r="Q13" s="1882">
        <f t="shared" si="6"/>
        <v>111</v>
      </c>
      <c r="R13" s="747" t="s">
        <v>28</v>
      </c>
      <c r="S13" s="748">
        <f t="shared" si="0"/>
        <v>100</v>
      </c>
      <c r="T13" s="747" t="s">
        <v>28</v>
      </c>
      <c r="U13" s="748">
        <f t="shared" si="1"/>
        <v>100</v>
      </c>
      <c r="V13" s="747" t="s">
        <v>28</v>
      </c>
      <c r="W13" s="748">
        <f t="shared" si="2"/>
        <v>100</v>
      </c>
      <c r="X13" s="749"/>
      <c r="Y13" s="2849"/>
      <c r="Z13" s="23">
        <f t="shared" si="7"/>
        <v>111</v>
      </c>
      <c r="AA13" s="750">
        <f t="shared" si="3"/>
        <v>1</v>
      </c>
      <c r="AB13" s="750">
        <f t="shared" si="4"/>
        <v>1</v>
      </c>
      <c r="AC13" s="750">
        <f t="shared" si="5"/>
        <v>1</v>
      </c>
    </row>
    <row r="14" spans="1:29" ht="15.75" hidden="1" thickBot="1">
      <c r="A14" s="415"/>
      <c r="B14" s="2398">
        <v>111</v>
      </c>
      <c r="C14" s="2399"/>
      <c r="D14" s="416">
        <v>100</v>
      </c>
      <c r="E14" s="2399"/>
      <c r="F14" s="417">
        <f>SUMIF(74:74,E14,75:75)-SUMIF(74:74,C14,75:75)+100</f>
        <v>100</v>
      </c>
      <c r="G14" s="2399"/>
      <c r="H14" s="416">
        <f>SUMIF(74:74,G14,75:75)-SUMIF(74:74,C14,75:75)+100</f>
        <v>100</v>
      </c>
      <c r="I14" s="2399"/>
      <c r="J14" s="416">
        <f>SUMIF(74:74,I14,75:75)-SUMIF(74:74,C14,75:75)+100</f>
        <v>100</v>
      </c>
      <c r="K14" s="2397"/>
      <c r="L14" s="1248"/>
      <c r="M14" s="1239"/>
      <c r="N14" s="1239"/>
      <c r="O14" s="1239"/>
      <c r="P14" s="3028"/>
      <c r="Q14" s="1882">
        <f t="shared" si="6"/>
        <v>111</v>
      </c>
      <c r="R14" s="747" t="s">
        <v>28</v>
      </c>
      <c r="S14" s="748">
        <f t="shared" si="0"/>
        <v>100</v>
      </c>
      <c r="T14" s="747" t="s">
        <v>28</v>
      </c>
      <c r="U14" s="748">
        <f t="shared" si="1"/>
        <v>100</v>
      </c>
      <c r="V14" s="747" t="s">
        <v>28</v>
      </c>
      <c r="W14" s="748">
        <f t="shared" si="2"/>
        <v>100</v>
      </c>
      <c r="X14" s="749"/>
      <c r="Y14" s="2849"/>
      <c r="Z14" s="23">
        <f t="shared" si="7"/>
        <v>111</v>
      </c>
      <c r="AA14" s="750">
        <f t="shared" si="3"/>
        <v>1</v>
      </c>
      <c r="AB14" s="750">
        <f t="shared" si="4"/>
        <v>1</v>
      </c>
      <c r="AC14" s="750">
        <f t="shared" si="5"/>
        <v>1</v>
      </c>
    </row>
    <row r="15" spans="1:29" ht="99.75">
      <c r="A15" s="418" t="s">
        <v>2367</v>
      </c>
      <c r="B15" s="26" t="s">
        <v>1739</v>
      </c>
      <c r="C15" s="2400"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8"/>
      <c r="M15" s="1239"/>
      <c r="N15" s="1239"/>
      <c r="O15" s="1239"/>
      <c r="P15" s="3031" t="s">
        <v>2368</v>
      </c>
      <c r="Q15" s="1894" t="str">
        <f t="shared" si="6"/>
        <v>居住社区成熟度</v>
      </c>
      <c r="R15" s="751" t="s">
        <v>28</v>
      </c>
      <c r="S15" s="752">
        <f t="shared" si="0"/>
        <v>100</v>
      </c>
      <c r="T15" s="751" t="s">
        <v>28</v>
      </c>
      <c r="U15" s="752">
        <f t="shared" si="1"/>
        <v>100</v>
      </c>
      <c r="V15" s="751" t="s">
        <v>28</v>
      </c>
      <c r="W15" s="752">
        <f t="shared" si="2"/>
        <v>100</v>
      </c>
      <c r="X15" s="1895"/>
      <c r="Y15" s="3018" t="s">
        <v>2368</v>
      </c>
      <c r="Z15" s="1897" t="str">
        <f t="shared" si="7"/>
        <v>居住社区成熟度</v>
      </c>
      <c r="AA15" s="1898">
        <f t="shared" si="3"/>
        <v>1</v>
      </c>
      <c r="AB15" s="1898">
        <f t="shared" si="4"/>
        <v>1</v>
      </c>
      <c r="AC15" s="1898">
        <f t="shared" si="5"/>
        <v>1</v>
      </c>
    </row>
    <row r="16" spans="1:29" ht="15">
      <c r="A16" s="407"/>
      <c r="B16" s="424"/>
      <c r="C16" s="425" t="s">
        <v>30</v>
      </c>
      <c r="D16" s="426"/>
      <c r="E16" s="427" t="s">
        <v>30</v>
      </c>
      <c r="F16" s="428"/>
      <c r="G16" s="2401" t="s">
        <v>30</v>
      </c>
      <c r="H16" s="429"/>
      <c r="I16" s="427" t="s">
        <v>30</v>
      </c>
      <c r="J16" s="426"/>
      <c r="K16" s="2402"/>
      <c r="L16" s="1248"/>
      <c r="M16" s="1239"/>
      <c r="N16" s="1239"/>
      <c r="O16" s="1239"/>
      <c r="P16" s="3032"/>
      <c r="Q16" s="1894"/>
      <c r="R16" s="751"/>
      <c r="S16" s="752"/>
      <c r="T16" s="751"/>
      <c r="U16" s="752"/>
      <c r="V16" s="751"/>
      <c r="W16" s="752"/>
      <c r="X16" s="1895"/>
      <c r="Y16" s="3019"/>
      <c r="Z16" s="1897"/>
      <c r="AA16" s="1898">
        <v>1</v>
      </c>
      <c r="AB16" s="1898">
        <v>1</v>
      </c>
      <c r="AC16" s="1898">
        <v>1</v>
      </c>
    </row>
    <row r="17" spans="1:29" ht="85.5">
      <c r="A17" s="407"/>
      <c r="B17" s="430" t="s">
        <v>1751</v>
      </c>
      <c r="C17" s="240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8"/>
      <c r="M17" s="1239"/>
      <c r="N17" s="1239"/>
      <c r="O17" s="1239"/>
      <c r="P17" s="3032"/>
      <c r="Q17" s="1894" t="str">
        <f>B17</f>
        <v>交通便捷度</v>
      </c>
      <c r="R17" s="751" t="s">
        <v>28</v>
      </c>
      <c r="S17" s="752">
        <f>F17</f>
        <v>100</v>
      </c>
      <c r="T17" s="751" t="s">
        <v>28</v>
      </c>
      <c r="U17" s="752">
        <f>H17</f>
        <v>100</v>
      </c>
      <c r="V17" s="751" t="s">
        <v>28</v>
      </c>
      <c r="W17" s="752">
        <f>J17</f>
        <v>100</v>
      </c>
      <c r="X17" s="1895"/>
      <c r="Y17" s="3019"/>
      <c r="Z17" s="1897" t="str">
        <f>Q17</f>
        <v>交通便捷度</v>
      </c>
      <c r="AA17" s="1898">
        <f t="shared" si="3"/>
        <v>1</v>
      </c>
      <c r="AB17" s="1898">
        <f t="shared" si="4"/>
        <v>1</v>
      </c>
      <c r="AC17" s="1898">
        <f t="shared" si="5"/>
        <v>1</v>
      </c>
    </row>
    <row r="18" spans="1:29" ht="15">
      <c r="A18" s="407"/>
      <c r="B18" s="435"/>
      <c r="C18" s="436" t="s">
        <v>30</v>
      </c>
      <c r="D18" s="429"/>
      <c r="E18" s="1463" t="s">
        <v>30</v>
      </c>
      <c r="F18" s="432"/>
      <c r="G18" s="2404" t="s">
        <v>30</v>
      </c>
      <c r="H18" s="426"/>
      <c r="I18" s="1463" t="s">
        <v>30</v>
      </c>
      <c r="J18" s="426"/>
      <c r="K18" s="2402"/>
      <c r="L18" s="1248"/>
      <c r="M18" s="1239"/>
      <c r="N18" s="1239"/>
      <c r="O18" s="1239"/>
      <c r="P18" s="3032"/>
      <c r="Q18" s="1894"/>
      <c r="R18" s="751"/>
      <c r="S18" s="752"/>
      <c r="T18" s="751"/>
      <c r="U18" s="752"/>
      <c r="V18" s="751"/>
      <c r="W18" s="752"/>
      <c r="X18" s="1895"/>
      <c r="Y18" s="3019"/>
      <c r="Z18" s="1897"/>
      <c r="AA18" s="1898">
        <v>1</v>
      </c>
      <c r="AB18" s="1898">
        <v>1</v>
      </c>
      <c r="AC18" s="1898">
        <v>1</v>
      </c>
    </row>
    <row r="19" spans="1:29" ht="42.75">
      <c r="A19" s="407"/>
      <c r="B19" s="430" t="s">
        <v>1749</v>
      </c>
      <c r="C19" s="240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1</v>
      </c>
      <c r="L19" s="1248"/>
      <c r="M19" s="1239"/>
      <c r="N19" s="1239"/>
      <c r="O19" s="1239"/>
      <c r="P19" s="3032"/>
      <c r="Q19" s="1894" t="str">
        <f>B19</f>
        <v>公共配套设施</v>
      </c>
      <c r="R19" s="751" t="s">
        <v>28</v>
      </c>
      <c r="S19" s="752">
        <f>F19</f>
        <v>100</v>
      </c>
      <c r="T19" s="751" t="s">
        <v>28</v>
      </c>
      <c r="U19" s="752">
        <f>H19</f>
        <v>100</v>
      </c>
      <c r="V19" s="751" t="s">
        <v>28</v>
      </c>
      <c r="W19" s="752">
        <f>J19</f>
        <v>100</v>
      </c>
      <c r="X19" s="1895"/>
      <c r="Y19" s="3019"/>
      <c r="Z19" s="1897" t="str">
        <f>Q19</f>
        <v>公共配套设施</v>
      </c>
      <c r="AA19" s="1898">
        <f t="shared" si="3"/>
        <v>1</v>
      </c>
      <c r="AB19" s="1898">
        <f t="shared" si="4"/>
        <v>1</v>
      </c>
      <c r="AC19" s="1898">
        <f t="shared" si="5"/>
        <v>1</v>
      </c>
    </row>
    <row r="20" spans="1:29" ht="15">
      <c r="A20" s="407"/>
      <c r="B20" s="435"/>
      <c r="C20" s="425" t="s">
        <v>30</v>
      </c>
      <c r="D20" s="426"/>
      <c r="E20" s="427" t="s">
        <v>30</v>
      </c>
      <c r="F20" s="428"/>
      <c r="G20" s="2401" t="s">
        <v>30</v>
      </c>
      <c r="H20" s="426"/>
      <c r="I20" s="427" t="s">
        <v>30</v>
      </c>
      <c r="J20" s="426"/>
      <c r="K20" s="2402"/>
      <c r="L20" s="1248"/>
      <c r="M20" s="1239"/>
      <c r="N20" s="1239"/>
      <c r="O20" s="1239"/>
      <c r="P20" s="3032"/>
      <c r="Q20" s="1894"/>
      <c r="R20" s="751"/>
      <c r="S20" s="752"/>
      <c r="T20" s="751"/>
      <c r="U20" s="752"/>
      <c r="V20" s="751"/>
      <c r="W20" s="752"/>
      <c r="X20" s="1895"/>
      <c r="Y20" s="3019"/>
      <c r="Z20" s="1897"/>
      <c r="AA20" s="1898">
        <v>1</v>
      </c>
      <c r="AB20" s="1898">
        <v>1</v>
      </c>
      <c r="AC20" s="1898">
        <v>1</v>
      </c>
    </row>
    <row r="21" spans="1:29" ht="28.5">
      <c r="A21" s="407"/>
      <c r="B21" s="2405" t="s">
        <v>1752</v>
      </c>
      <c r="C21" s="240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8"/>
      <c r="M21" s="1239"/>
      <c r="N21" s="1239"/>
      <c r="O21" s="1239"/>
      <c r="P21" s="3032"/>
      <c r="Q21" s="1894" t="str">
        <f>B21</f>
        <v>基础设施水平</v>
      </c>
      <c r="R21" s="751" t="s">
        <v>28</v>
      </c>
      <c r="S21" s="752">
        <f>F21</f>
        <v>100</v>
      </c>
      <c r="T21" s="751" t="s">
        <v>28</v>
      </c>
      <c r="U21" s="752">
        <f>H21</f>
        <v>100</v>
      </c>
      <c r="V21" s="751" t="s">
        <v>28</v>
      </c>
      <c r="W21" s="752">
        <f>J21</f>
        <v>100</v>
      </c>
      <c r="X21" s="1895"/>
      <c r="Y21" s="3019"/>
      <c r="Z21" s="1897" t="str">
        <f>Q21</f>
        <v>基础设施水平</v>
      </c>
      <c r="AA21" s="1898">
        <f>D21/F21</f>
        <v>1</v>
      </c>
      <c r="AB21" s="1898">
        <f>D21/H21</f>
        <v>1</v>
      </c>
      <c r="AC21" s="1898">
        <f>D21/J21</f>
        <v>1</v>
      </c>
    </row>
    <row r="22" spans="1:29" ht="15">
      <c r="A22" s="407"/>
      <c r="B22" s="2405"/>
      <c r="C22" s="436" t="s">
        <v>2849</v>
      </c>
      <c r="D22" s="426"/>
      <c r="E22" s="425" t="s">
        <v>2849</v>
      </c>
      <c r="F22" s="428"/>
      <c r="G22" s="425" t="s">
        <v>2849</v>
      </c>
      <c r="H22" s="426"/>
      <c r="I22" s="425" t="s">
        <v>2849</v>
      </c>
      <c r="J22" s="426"/>
      <c r="K22" s="2406"/>
      <c r="L22" s="1248"/>
      <c r="M22" s="1239"/>
      <c r="N22" s="1239"/>
      <c r="O22" s="1239"/>
      <c r="P22" s="3032"/>
      <c r="Q22" s="1894"/>
      <c r="R22" s="751"/>
      <c r="S22" s="752"/>
      <c r="T22" s="751"/>
      <c r="U22" s="752"/>
      <c r="V22" s="751"/>
      <c r="W22" s="752"/>
      <c r="X22" s="1895"/>
      <c r="Y22" s="3019"/>
      <c r="Z22" s="1897"/>
      <c r="AA22" s="1898">
        <v>1</v>
      </c>
      <c r="AB22" s="1898">
        <v>1</v>
      </c>
      <c r="AC22" s="1898">
        <v>1</v>
      </c>
    </row>
    <row r="23" spans="1:29" ht="57">
      <c r="A23" s="407"/>
      <c r="B23" s="430" t="s">
        <v>1756</v>
      </c>
      <c r="C23" s="240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8"/>
      <c r="M23" s="1239"/>
      <c r="N23" s="1239"/>
      <c r="O23" s="1239"/>
      <c r="P23" s="3032"/>
      <c r="Q23" s="1894" t="str">
        <f>B23</f>
        <v>自然及人文环境</v>
      </c>
      <c r="R23" s="751" t="s">
        <v>28</v>
      </c>
      <c r="S23" s="752">
        <f>F23</f>
        <v>100</v>
      </c>
      <c r="T23" s="751" t="s">
        <v>28</v>
      </c>
      <c r="U23" s="752">
        <f>H23</f>
        <v>100</v>
      </c>
      <c r="V23" s="751" t="s">
        <v>28</v>
      </c>
      <c r="W23" s="752">
        <f>J23</f>
        <v>100</v>
      </c>
      <c r="X23" s="1895"/>
      <c r="Y23" s="3019"/>
      <c r="Z23" s="1897" t="str">
        <f>Q23</f>
        <v>自然及人文环境</v>
      </c>
      <c r="AA23" s="1898">
        <f t="shared" si="3"/>
        <v>1</v>
      </c>
      <c r="AB23" s="1898">
        <f t="shared" si="4"/>
        <v>1</v>
      </c>
      <c r="AC23" s="1898">
        <f t="shared" si="5"/>
        <v>1</v>
      </c>
    </row>
    <row r="24" spans="1:29" ht="15">
      <c r="A24" s="407"/>
      <c r="B24" s="435"/>
      <c r="C24" s="425" t="s">
        <v>31</v>
      </c>
      <c r="D24" s="426"/>
      <c r="E24" s="427" t="s">
        <v>31</v>
      </c>
      <c r="F24" s="428"/>
      <c r="G24" s="2401" t="s">
        <v>31</v>
      </c>
      <c r="H24" s="426"/>
      <c r="I24" s="427" t="s">
        <v>31</v>
      </c>
      <c r="J24" s="426"/>
      <c r="K24" s="2402"/>
      <c r="L24" s="1248"/>
      <c r="M24" s="1239"/>
      <c r="N24" s="1239"/>
      <c r="O24" s="1239"/>
      <c r="P24" s="3032"/>
      <c r="Q24" s="1894"/>
      <c r="R24" s="751"/>
      <c r="S24" s="752"/>
      <c r="T24" s="751"/>
      <c r="U24" s="752"/>
      <c r="V24" s="751"/>
      <c r="W24" s="752"/>
      <c r="X24" s="1895"/>
      <c r="Y24" s="3019"/>
      <c r="Z24" s="1897"/>
      <c r="AA24" s="1898">
        <v>1</v>
      </c>
      <c r="AB24" s="1898">
        <v>1</v>
      </c>
      <c r="AC24" s="1898">
        <v>1</v>
      </c>
    </row>
    <row r="25" spans="1:29" ht="15">
      <c r="A25" s="407"/>
      <c r="B25" s="401" t="s">
        <v>2369</v>
      </c>
      <c r="C25" s="440"/>
      <c r="D25" s="414">
        <v>100</v>
      </c>
      <c r="E25" s="2407"/>
      <c r="F25" s="441">
        <f>SUMIF(86:86,E25,87:87)-SUMIF(86:86,C25,87:87)+100</f>
        <v>100</v>
      </c>
      <c r="G25" s="2408"/>
      <c r="H25" s="414">
        <f>SUMIF(86:86,G25,87:87)-SUMIF(86:86,C25,87:87)+100</f>
        <v>100</v>
      </c>
      <c r="I25" s="2407"/>
      <c r="J25" s="414">
        <f>SUMIF(86:86,I25,87:87)-SUMIF(86:86,C25,87:87)+100</f>
        <v>100</v>
      </c>
      <c r="K25" s="405"/>
      <c r="L25" s="1248"/>
      <c r="M25" s="1239"/>
      <c r="N25" s="1239"/>
      <c r="O25" s="1239"/>
      <c r="P25" s="3032"/>
      <c r="Q25" s="1894" t="str">
        <f t="shared" ref="Q25:Q46" si="8">B25</f>
        <v>楼层-1</v>
      </c>
      <c r="R25" s="751" t="s">
        <v>28</v>
      </c>
      <c r="S25" s="752">
        <f>F25</f>
        <v>100</v>
      </c>
      <c r="T25" s="751" t="s">
        <v>28</v>
      </c>
      <c r="U25" s="752">
        <f>H25</f>
        <v>100</v>
      </c>
      <c r="V25" s="751" t="s">
        <v>28</v>
      </c>
      <c r="W25" s="752">
        <f>J25</f>
        <v>100</v>
      </c>
      <c r="X25" s="1895"/>
      <c r="Y25" s="3019"/>
      <c r="Z25" s="1897" t="str">
        <f>Q25</f>
        <v>楼层-1</v>
      </c>
      <c r="AA25" s="1898">
        <f t="shared" si="3"/>
        <v>1</v>
      </c>
      <c r="AB25" s="1898">
        <f t="shared" si="4"/>
        <v>1</v>
      </c>
      <c r="AC25" s="1898">
        <f t="shared" si="5"/>
        <v>1</v>
      </c>
    </row>
    <row r="26" spans="1:29" ht="15">
      <c r="A26" s="407"/>
      <c r="B26" s="401" t="s">
        <v>2370</v>
      </c>
      <c r="C26" s="440" t="s">
        <v>2869</v>
      </c>
      <c r="D26" s="414">
        <v>100</v>
      </c>
      <c r="E26" s="2407" t="s">
        <v>2869</v>
      </c>
      <c r="F26" s="441">
        <f>SUMIF(88:88,E26,89:89)-SUMIF(88:88,C26,89:89)+100</f>
        <v>100</v>
      </c>
      <c r="G26" s="2408" t="s">
        <v>2869</v>
      </c>
      <c r="H26" s="414">
        <f>SUMIF(88:88,G26,89:89)-SUMIF(88:88,C26,89:89)+100</f>
        <v>100</v>
      </c>
      <c r="I26" s="2407" t="s">
        <v>2869</v>
      </c>
      <c r="J26" s="414">
        <f>SUMIF(88:88,I26,89:89)-SUMIF(88:88,C26,89:89)+100</f>
        <v>100</v>
      </c>
      <c r="K26" s="405">
        <v>1</v>
      </c>
      <c r="L26" s="1248"/>
      <c r="M26" s="1239"/>
      <c r="N26" s="1239"/>
      <c r="O26" s="1239"/>
      <c r="P26" s="3032"/>
      <c r="Q26" s="1894" t="str">
        <f t="shared" si="8"/>
        <v>朝向</v>
      </c>
      <c r="R26" s="751" t="s">
        <v>28</v>
      </c>
      <c r="S26" s="752">
        <f>F26</f>
        <v>100</v>
      </c>
      <c r="T26" s="751" t="s">
        <v>28</v>
      </c>
      <c r="U26" s="752">
        <f>H26</f>
        <v>100</v>
      </c>
      <c r="V26" s="751" t="s">
        <v>28</v>
      </c>
      <c r="W26" s="752">
        <f>J26</f>
        <v>100</v>
      </c>
      <c r="X26" s="1895"/>
      <c r="Y26" s="3019"/>
      <c r="Z26" s="1897" t="str">
        <f>Q26</f>
        <v>朝向</v>
      </c>
      <c r="AA26" s="1898">
        <f t="shared" si="3"/>
        <v>1</v>
      </c>
      <c r="AB26" s="1898">
        <f t="shared" si="4"/>
        <v>1</v>
      </c>
      <c r="AC26" s="1898">
        <f t="shared" si="5"/>
        <v>1</v>
      </c>
    </row>
    <row r="27" spans="1:29" s="35" customFormat="1" ht="15">
      <c r="A27" s="410"/>
      <c r="B27" s="2396" t="s">
        <v>2371</v>
      </c>
      <c r="C27" s="2734" t="s">
        <v>2870</v>
      </c>
      <c r="D27" s="442">
        <v>100</v>
      </c>
      <c r="E27" s="2734" t="s">
        <v>2870</v>
      </c>
      <c r="F27" s="444">
        <f>SUMIF(90:90,E27,91:91)-SUMIF(90:90,C27,91:91)+100</f>
        <v>100</v>
      </c>
      <c r="G27" s="2734" t="s">
        <v>2870</v>
      </c>
      <c r="H27" s="442">
        <f>SUMIF(90:90,G27,91:91)-SUMIF(90:90,C27,91:91)+100</f>
        <v>100</v>
      </c>
      <c r="I27" s="2734" t="s">
        <v>2870</v>
      </c>
      <c r="J27" s="442">
        <f>SUMIF(90:90,I27,91:91)-SUMIF(90:90,C27,91:91)+100</f>
        <v>100</v>
      </c>
      <c r="K27" s="2397"/>
      <c r="L27" s="1240"/>
      <c r="M27" s="1241"/>
      <c r="N27" s="1241"/>
      <c r="O27" s="1241"/>
      <c r="P27" s="3032"/>
      <c r="Q27" s="1882" t="str">
        <f t="shared" si="8"/>
        <v>道路级别</v>
      </c>
      <c r="R27" s="747" t="s">
        <v>28</v>
      </c>
      <c r="S27" s="748">
        <f>F27</f>
        <v>100</v>
      </c>
      <c r="T27" s="747" t="s">
        <v>28</v>
      </c>
      <c r="U27" s="748">
        <f>H27</f>
        <v>100</v>
      </c>
      <c r="V27" s="747" t="s">
        <v>28</v>
      </c>
      <c r="W27" s="748">
        <f>J27</f>
        <v>100</v>
      </c>
      <c r="X27" s="749"/>
      <c r="Y27" s="3019"/>
      <c r="Z27" s="23" t="str">
        <f>Q27</f>
        <v>道路级别</v>
      </c>
      <c r="AA27" s="1898">
        <f>D27/F27</f>
        <v>1</v>
      </c>
      <c r="AB27" s="1898">
        <f>D27/H27</f>
        <v>1</v>
      </c>
      <c r="AC27" s="1898">
        <f>D27/J27</f>
        <v>1</v>
      </c>
    </row>
    <row r="28" spans="1:29" ht="15">
      <c r="A28" s="407"/>
      <c r="B28" s="2733" t="s">
        <v>2868</v>
      </c>
      <c r="C28" s="2737" t="s">
        <v>2898</v>
      </c>
      <c r="D28" s="414">
        <v>100</v>
      </c>
      <c r="E28" s="2737" t="s">
        <v>2899</v>
      </c>
      <c r="F28" s="441">
        <f>SUMIF(92:92,E28,93:93)-SUMIF(92:92,C28,93:93)+100</f>
        <v>98</v>
      </c>
      <c r="G28" s="2737" t="s">
        <v>2898</v>
      </c>
      <c r="H28" s="414">
        <f>SUMIF(92:92,G28,93:93)-SUMIF(92:92,C28,93:93)+100</f>
        <v>100</v>
      </c>
      <c r="I28" s="2737" t="s">
        <v>2899</v>
      </c>
      <c r="J28" s="414">
        <f>SUMIF(92:92,I28,93:93)-SUMIF(92:92,C28,93:93)+100</f>
        <v>98</v>
      </c>
      <c r="K28" s="2397"/>
      <c r="L28" s="1248"/>
      <c r="M28" s="1239"/>
      <c r="N28" s="1239"/>
      <c r="O28" s="1239"/>
      <c r="P28" s="3032"/>
      <c r="Q28" s="1894" t="str">
        <f t="shared" si="8"/>
        <v>楼层</v>
      </c>
      <c r="R28" s="751" t="s">
        <v>28</v>
      </c>
      <c r="S28" s="752">
        <f t="shared" ref="S28:S46" si="9">F28</f>
        <v>98</v>
      </c>
      <c r="T28" s="751" t="s">
        <v>28</v>
      </c>
      <c r="U28" s="752">
        <f t="shared" ref="U28:U46" si="10">H28</f>
        <v>100</v>
      </c>
      <c r="V28" s="751" t="s">
        <v>28</v>
      </c>
      <c r="W28" s="752">
        <f t="shared" ref="W28:W46" si="11">J28</f>
        <v>98</v>
      </c>
      <c r="X28" s="1895"/>
      <c r="Y28" s="3019"/>
      <c r="Z28" s="1897" t="str">
        <f t="shared" ref="Z28:Z46" si="12">Q28</f>
        <v>楼层</v>
      </c>
      <c r="AA28" s="1898">
        <f t="shared" si="3"/>
        <v>1.0204081632653061</v>
      </c>
      <c r="AB28" s="1898">
        <f t="shared" si="4"/>
        <v>1</v>
      </c>
      <c r="AC28" s="1898">
        <f t="shared" si="5"/>
        <v>1.0204081632653061</v>
      </c>
    </row>
    <row r="29" spans="1:29" ht="15">
      <c r="A29" s="407"/>
      <c r="B29" s="2409">
        <v>111</v>
      </c>
      <c r="C29" s="413"/>
      <c r="D29" s="414">
        <v>100</v>
      </c>
      <c r="E29" s="413"/>
      <c r="F29" s="441">
        <f>SUMIF(94:94,E29,95:95)-SUMIF(94:94,C29,95:95)+100</f>
        <v>100</v>
      </c>
      <c r="G29" s="413"/>
      <c r="H29" s="414">
        <f>SUMIF(94:94,G29,95:95)-SUMIF(94:94,C29,95:95)+100</f>
        <v>100</v>
      </c>
      <c r="I29" s="413"/>
      <c r="J29" s="414">
        <f>SUMIF(94:94,I29,95:95)-SUMIF(94:94,C29,95:95)+100</f>
        <v>100</v>
      </c>
      <c r="K29" s="2397"/>
      <c r="L29" s="1248"/>
      <c r="M29" s="1239"/>
      <c r="N29" s="1239"/>
      <c r="O29" s="1239"/>
      <c r="P29" s="3032"/>
      <c r="Q29" s="1894">
        <f t="shared" si="8"/>
        <v>111</v>
      </c>
      <c r="R29" s="751" t="s">
        <v>28</v>
      </c>
      <c r="S29" s="752">
        <f t="shared" si="9"/>
        <v>100</v>
      </c>
      <c r="T29" s="751" t="s">
        <v>28</v>
      </c>
      <c r="U29" s="752">
        <f t="shared" si="10"/>
        <v>100</v>
      </c>
      <c r="V29" s="751" t="s">
        <v>28</v>
      </c>
      <c r="W29" s="752">
        <f t="shared" si="11"/>
        <v>100</v>
      </c>
      <c r="X29" s="1895"/>
      <c r="Y29" s="3019"/>
      <c r="Z29" s="1897">
        <f t="shared" si="12"/>
        <v>111</v>
      </c>
      <c r="AA29" s="1898">
        <f t="shared" si="3"/>
        <v>1</v>
      </c>
      <c r="AB29" s="1898">
        <f t="shared" si="4"/>
        <v>1</v>
      </c>
      <c r="AC29" s="1898">
        <f t="shared" si="5"/>
        <v>1</v>
      </c>
    </row>
    <row r="30" spans="1:29" ht="15">
      <c r="A30" s="407"/>
      <c r="B30" s="2409">
        <v>111</v>
      </c>
      <c r="C30" s="413"/>
      <c r="D30" s="414">
        <v>100</v>
      </c>
      <c r="E30" s="413"/>
      <c r="F30" s="441">
        <f>SUMIF(96:96,E30,97:97)-SUMIF(96:96,C30,97:97)+100</f>
        <v>100</v>
      </c>
      <c r="G30" s="413"/>
      <c r="H30" s="414">
        <f>SUMIF(96:96,G30,97:97)-SUMIF(96:96,C30,97:97)+100</f>
        <v>100</v>
      </c>
      <c r="I30" s="413"/>
      <c r="J30" s="414">
        <f>SUMIF(96:96,I30,97:97)-SUMIF(96:96,C30,97:97)+100</f>
        <v>100</v>
      </c>
      <c r="K30" s="2397"/>
      <c r="L30" s="1248"/>
      <c r="M30" s="1239"/>
      <c r="N30" s="1239"/>
      <c r="O30" s="1239"/>
      <c r="P30" s="3032"/>
      <c r="Q30" s="1894">
        <f t="shared" si="8"/>
        <v>111</v>
      </c>
      <c r="R30" s="751" t="s">
        <v>28</v>
      </c>
      <c r="S30" s="752">
        <f t="shared" si="9"/>
        <v>100</v>
      </c>
      <c r="T30" s="751" t="s">
        <v>28</v>
      </c>
      <c r="U30" s="752">
        <f t="shared" si="10"/>
        <v>100</v>
      </c>
      <c r="V30" s="751" t="s">
        <v>28</v>
      </c>
      <c r="W30" s="752">
        <f t="shared" si="11"/>
        <v>100</v>
      </c>
      <c r="X30" s="1895"/>
      <c r="Y30" s="3019"/>
      <c r="Z30" s="1897">
        <f t="shared" si="12"/>
        <v>111</v>
      </c>
      <c r="AA30" s="1898">
        <f t="shared" si="3"/>
        <v>1</v>
      </c>
      <c r="AB30" s="1898">
        <f t="shared" si="4"/>
        <v>1</v>
      </c>
      <c r="AC30" s="1898">
        <f t="shared" si="5"/>
        <v>1</v>
      </c>
    </row>
    <row r="31" spans="1:29" ht="15.75" thickBot="1">
      <c r="A31" s="415"/>
      <c r="B31" s="2409">
        <v>111</v>
      </c>
      <c r="C31" s="2399"/>
      <c r="D31" s="416">
        <v>100</v>
      </c>
      <c r="E31" s="2399"/>
      <c r="F31" s="417">
        <f>SUMIF(98:98,E31,99:99)-SUMIF(98:98,C31,99:99)+100</f>
        <v>100</v>
      </c>
      <c r="G31" s="2399"/>
      <c r="H31" s="416">
        <f>SUMIF(98:98,G31,99:99)-SUMIF(98:98,C31,99:99)+100</f>
        <v>100</v>
      </c>
      <c r="I31" s="2399"/>
      <c r="J31" s="416">
        <f>SUMIF(98:98,I31,99:99)-SUMIF(98:98,C31,99:99)+100</f>
        <v>100</v>
      </c>
      <c r="K31" s="2397"/>
      <c r="L31" s="1248"/>
      <c r="M31" s="1239"/>
      <c r="N31" s="1239"/>
      <c r="O31" s="1239"/>
      <c r="P31" s="3032"/>
      <c r="Q31" s="1894">
        <f t="shared" si="8"/>
        <v>111</v>
      </c>
      <c r="R31" s="751" t="s">
        <v>28</v>
      </c>
      <c r="S31" s="752">
        <f t="shared" si="9"/>
        <v>100</v>
      </c>
      <c r="T31" s="751" t="s">
        <v>28</v>
      </c>
      <c r="U31" s="752">
        <f t="shared" si="10"/>
        <v>100</v>
      </c>
      <c r="V31" s="751" t="s">
        <v>28</v>
      </c>
      <c r="W31" s="752">
        <f t="shared" si="11"/>
        <v>100</v>
      </c>
      <c r="X31" s="1895"/>
      <c r="Y31" s="3019"/>
      <c r="Z31" s="1897">
        <f t="shared" si="12"/>
        <v>111</v>
      </c>
      <c r="AA31" s="1898">
        <f t="shared" si="3"/>
        <v>1</v>
      </c>
      <c r="AB31" s="1898">
        <f t="shared" si="4"/>
        <v>1</v>
      </c>
      <c r="AC31" s="1898">
        <f t="shared" si="5"/>
        <v>1</v>
      </c>
    </row>
    <row r="32" spans="1:29" ht="15">
      <c r="A32" s="418" t="s">
        <v>2372</v>
      </c>
      <c r="B32" s="28" t="s">
        <v>2373</v>
      </c>
      <c r="C32" s="2410" t="s">
        <v>2871</v>
      </c>
      <c r="D32" s="447">
        <v>100</v>
      </c>
      <c r="E32" s="2410" t="s">
        <v>2871</v>
      </c>
      <c r="F32" s="441">
        <f>SUMIF(100:100,E32,101:101)-SUMIF(100:100,C32,101:101)+100</f>
        <v>100</v>
      </c>
      <c r="G32" s="2410" t="s">
        <v>2871</v>
      </c>
      <c r="H32" s="447">
        <f>SUMIF(100:100,G32,101:101)-SUMIF(100:100,C32,101:101)+100</f>
        <v>100</v>
      </c>
      <c r="I32" s="2410" t="s">
        <v>2871</v>
      </c>
      <c r="J32" s="414">
        <f>SUMIF(100:100,I32,101:101)-SUMIF(100:100,C32,101:101)+100</f>
        <v>100</v>
      </c>
      <c r="K32" s="405">
        <v>1</v>
      </c>
      <c r="L32" s="1248"/>
      <c r="M32" s="1239"/>
      <c r="N32" s="1239"/>
      <c r="O32" s="1239"/>
      <c r="P32" s="3020" t="s">
        <v>2374</v>
      </c>
      <c r="Q32" s="1894" t="str">
        <f t="shared" si="8"/>
        <v>建筑类型</v>
      </c>
      <c r="R32" s="751" t="s">
        <v>28</v>
      </c>
      <c r="S32" s="752">
        <f t="shared" si="9"/>
        <v>100</v>
      </c>
      <c r="T32" s="751" t="s">
        <v>28</v>
      </c>
      <c r="U32" s="752">
        <f t="shared" si="10"/>
        <v>100</v>
      </c>
      <c r="V32" s="751" t="s">
        <v>28</v>
      </c>
      <c r="W32" s="752">
        <f t="shared" si="11"/>
        <v>100</v>
      </c>
      <c r="X32" s="1895"/>
      <c r="Y32" s="3023" t="s">
        <v>2374</v>
      </c>
      <c r="Z32" s="1897" t="str">
        <f t="shared" si="12"/>
        <v>建筑类型</v>
      </c>
      <c r="AA32" s="1898">
        <f t="shared" si="3"/>
        <v>1</v>
      </c>
      <c r="AB32" s="1898">
        <f t="shared" si="4"/>
        <v>1</v>
      </c>
      <c r="AC32" s="1898">
        <f t="shared" si="5"/>
        <v>1</v>
      </c>
    </row>
    <row r="33" spans="1:29" s="451" customFormat="1" ht="15">
      <c r="A33" s="448"/>
      <c r="B33" s="401" t="s">
        <v>2375</v>
      </c>
      <c r="C33" s="449">
        <f>'数据-取费表'!E5</f>
        <v>103.71</v>
      </c>
      <c r="D33" s="51">
        <v>100</v>
      </c>
      <c r="E33" s="409">
        <v>104.56</v>
      </c>
      <c r="F33" s="404">
        <f>LOOKUP(E33,103:103,104:104)-LOOKUP(C33,103:103,104:104)+100</f>
        <v>100</v>
      </c>
      <c r="G33" s="408">
        <v>112.59</v>
      </c>
      <c r="H33" s="51">
        <f>LOOKUP(G33,103:103,104:104)-LOOKUP(C33,103:103,104:104)+100</f>
        <v>100</v>
      </c>
      <c r="I33" s="409">
        <v>120.21</v>
      </c>
      <c r="J33" s="51">
        <f>LOOKUP(I33,103:103,104:104)-LOOKUP(C33,103:103,104:104)+100</f>
        <v>100</v>
      </c>
      <c r="K33" s="2397"/>
      <c r="L33" s="1246"/>
      <c r="M33" s="1249"/>
      <c r="N33" s="1249"/>
      <c r="O33" s="1249"/>
      <c r="P33" s="3021"/>
      <c r="Q33" s="753" t="str">
        <f t="shared" si="8"/>
        <v>项目建筑规模</v>
      </c>
      <c r="R33" s="754" t="s">
        <v>28</v>
      </c>
      <c r="S33" s="755">
        <f t="shared" si="9"/>
        <v>100</v>
      </c>
      <c r="T33" s="754" t="s">
        <v>28</v>
      </c>
      <c r="U33" s="755">
        <f t="shared" si="10"/>
        <v>100</v>
      </c>
      <c r="V33" s="754" t="s">
        <v>28</v>
      </c>
      <c r="W33" s="755">
        <f t="shared" si="11"/>
        <v>100</v>
      </c>
      <c r="X33" s="756"/>
      <c r="Y33" s="3023"/>
      <c r="Z33" s="757" t="str">
        <f t="shared" si="12"/>
        <v>项目建筑规模</v>
      </c>
      <c r="AA33" s="1898">
        <f t="shared" si="3"/>
        <v>1</v>
      </c>
      <c r="AB33" s="1898">
        <f t="shared" si="4"/>
        <v>1</v>
      </c>
      <c r="AC33" s="1898">
        <f t="shared" si="5"/>
        <v>1</v>
      </c>
    </row>
    <row r="34" spans="1:29" ht="15">
      <c r="A34" s="452"/>
      <c r="B34" s="401" t="s">
        <v>2376</v>
      </c>
      <c r="C34" s="2411" t="s">
        <v>2838</v>
      </c>
      <c r="D34" s="414">
        <v>100</v>
      </c>
      <c r="E34" s="2411" t="s">
        <v>2838</v>
      </c>
      <c r="F34" s="441">
        <f>SUMIF(105:105,E34,106:106)-SUMIF(105:105,C34,106:106)+100</f>
        <v>100</v>
      </c>
      <c r="G34" s="2411" t="s">
        <v>2838</v>
      </c>
      <c r="H34" s="414">
        <f>SUMIF(105:105,G34,106:106)-SUMIF(105:105,C34,106:106)+100</f>
        <v>100</v>
      </c>
      <c r="I34" s="2411" t="s">
        <v>2838</v>
      </c>
      <c r="J34" s="414">
        <f>SUMIF(105:105,I34,106:106)-SUMIF(105:105,C34,106:106)+100</f>
        <v>100</v>
      </c>
      <c r="K34" s="405">
        <v>2</v>
      </c>
      <c r="L34" s="1248"/>
      <c r="M34" s="1239"/>
      <c r="N34" s="1239"/>
      <c r="O34" s="1239"/>
      <c r="P34" s="3021"/>
      <c r="Q34" s="1894" t="str">
        <f t="shared" si="8"/>
        <v>建筑结构</v>
      </c>
      <c r="R34" s="751" t="s">
        <v>28</v>
      </c>
      <c r="S34" s="752">
        <f t="shared" si="9"/>
        <v>100</v>
      </c>
      <c r="T34" s="751" t="s">
        <v>28</v>
      </c>
      <c r="U34" s="752">
        <f t="shared" si="10"/>
        <v>100</v>
      </c>
      <c r="V34" s="751" t="s">
        <v>28</v>
      </c>
      <c r="W34" s="752">
        <f t="shared" si="11"/>
        <v>100</v>
      </c>
      <c r="X34" s="1895"/>
      <c r="Y34" s="3023"/>
      <c r="Z34" s="1897" t="str">
        <f t="shared" si="12"/>
        <v>建筑结构</v>
      </c>
      <c r="AA34" s="1898">
        <f t="shared" si="3"/>
        <v>1</v>
      </c>
      <c r="AB34" s="1898">
        <f t="shared" si="4"/>
        <v>1</v>
      </c>
      <c r="AC34" s="1898">
        <f t="shared" si="5"/>
        <v>1</v>
      </c>
    </row>
    <row r="35" spans="1:29" ht="15">
      <c r="A35" s="452"/>
      <c r="B35" s="401" t="s">
        <v>2377</v>
      </c>
      <c r="C35" s="2408" t="s">
        <v>2892</v>
      </c>
      <c r="D35" s="414">
        <v>100</v>
      </c>
      <c r="E35" s="2408" t="s">
        <v>2892</v>
      </c>
      <c r="F35" s="441">
        <f>SUMIF(107:107,E35,108:108)-SUMIF(107:107,C35,108:108)+100</f>
        <v>100</v>
      </c>
      <c r="G35" s="2408" t="s">
        <v>2892</v>
      </c>
      <c r="H35" s="414">
        <f>SUMIF(107:107,G35,108:108)-SUMIF(107:107,C35,108:108)+100</f>
        <v>100</v>
      </c>
      <c r="I35" s="2408" t="s">
        <v>2892</v>
      </c>
      <c r="J35" s="414">
        <f>SUMIF(107:107,I35,108:108)-SUMIF(107:107,C35,108:108)+100</f>
        <v>100</v>
      </c>
      <c r="K35" s="405">
        <v>2</v>
      </c>
      <c r="L35" s="1248"/>
      <c r="M35" s="1239"/>
      <c r="N35" s="1239"/>
      <c r="O35" s="1239"/>
      <c r="P35" s="3021"/>
      <c r="Q35" s="1894" t="str">
        <f t="shared" si="8"/>
        <v>建筑品质</v>
      </c>
      <c r="R35" s="751" t="s">
        <v>28</v>
      </c>
      <c r="S35" s="752">
        <f t="shared" si="9"/>
        <v>100</v>
      </c>
      <c r="T35" s="751" t="s">
        <v>28</v>
      </c>
      <c r="U35" s="752">
        <f t="shared" si="10"/>
        <v>100</v>
      </c>
      <c r="V35" s="751" t="s">
        <v>28</v>
      </c>
      <c r="W35" s="752">
        <f t="shared" si="11"/>
        <v>100</v>
      </c>
      <c r="X35" s="1895"/>
      <c r="Y35" s="3023"/>
      <c r="Z35" s="1897" t="str">
        <f t="shared" si="12"/>
        <v>建筑品质</v>
      </c>
      <c r="AA35" s="1898">
        <f t="shared" si="3"/>
        <v>1</v>
      </c>
      <c r="AB35" s="1898">
        <f t="shared" si="4"/>
        <v>1</v>
      </c>
      <c r="AC35" s="1898">
        <f t="shared" si="5"/>
        <v>1</v>
      </c>
    </row>
    <row r="36" spans="1:29" ht="15">
      <c r="A36" s="452"/>
      <c r="B36" s="401" t="s">
        <v>2378</v>
      </c>
      <c r="C36" s="2408" t="s">
        <v>2893</v>
      </c>
      <c r="D36" s="414">
        <v>100</v>
      </c>
      <c r="E36" s="2408" t="s">
        <v>2893</v>
      </c>
      <c r="F36" s="441">
        <f>SUMIF(109:109,E36,110:110)-SUMIF(109:109,C36,110:110)+100</f>
        <v>100</v>
      </c>
      <c r="G36" s="2408" t="s">
        <v>2893</v>
      </c>
      <c r="H36" s="414">
        <f>SUMIF(109:109,G36,110:110)-SUMIF(109:109,C36,110:110)+100</f>
        <v>100</v>
      </c>
      <c r="I36" s="2408" t="s">
        <v>2893</v>
      </c>
      <c r="J36" s="414">
        <f>SUMIF(109:109,I36,110:110)-SUMIF(109:109,C36,110:110)+100</f>
        <v>100</v>
      </c>
      <c r="K36" s="405">
        <v>2</v>
      </c>
      <c r="L36" s="1248"/>
      <c r="M36" s="1239"/>
      <c r="N36" s="1239"/>
      <c r="O36" s="1239"/>
      <c r="P36" s="3021"/>
      <c r="Q36" s="1894" t="str">
        <f t="shared" si="8"/>
        <v>公共部分装修</v>
      </c>
      <c r="R36" s="751" t="s">
        <v>28</v>
      </c>
      <c r="S36" s="752">
        <f t="shared" si="9"/>
        <v>100</v>
      </c>
      <c r="T36" s="751" t="s">
        <v>28</v>
      </c>
      <c r="U36" s="752">
        <f t="shared" si="10"/>
        <v>100</v>
      </c>
      <c r="V36" s="751" t="s">
        <v>28</v>
      </c>
      <c r="W36" s="752">
        <f t="shared" si="11"/>
        <v>100</v>
      </c>
      <c r="X36" s="1895"/>
      <c r="Y36" s="3023"/>
      <c r="Z36" s="1897" t="str">
        <f t="shared" si="12"/>
        <v>公共部分装修</v>
      </c>
      <c r="AA36" s="1898">
        <f t="shared" si="3"/>
        <v>1</v>
      </c>
      <c r="AB36" s="1898">
        <f t="shared" si="4"/>
        <v>1</v>
      </c>
      <c r="AC36" s="1898">
        <f t="shared" si="5"/>
        <v>1</v>
      </c>
    </row>
    <row r="37" spans="1:29" s="35" customFormat="1" ht="15">
      <c r="A37" s="453"/>
      <c r="B37" s="401" t="s">
        <v>2379</v>
      </c>
      <c r="C37" s="454">
        <f>'数据-取费表'!E20</f>
        <v>0.73</v>
      </c>
      <c r="D37" s="51">
        <v>100</v>
      </c>
      <c r="E37" s="455">
        <f>C37</f>
        <v>0.73</v>
      </c>
      <c r="F37" s="404">
        <f>LOOKUP(E37,112:112,113:113)-LOOKUP(C37,112:112,113:113)+100</f>
        <v>100</v>
      </c>
      <c r="G37" s="456">
        <f>C37</f>
        <v>0.73</v>
      </c>
      <c r="H37" s="51">
        <f>LOOKUP(G37,112:112,113:113)-LOOKUP(C37,112:112,113:113)+100</f>
        <v>100</v>
      </c>
      <c r="I37" s="455">
        <f>C37</f>
        <v>0.73</v>
      </c>
      <c r="J37" s="51">
        <f>LOOKUP(I37,112:112,113:113)-LOOKUP(C37,112:112,113:113)+100</f>
        <v>100</v>
      </c>
      <c r="K37" s="405">
        <v>1</v>
      </c>
      <c r="L37" s="1240"/>
      <c r="M37" s="1241"/>
      <c r="N37" s="1241"/>
      <c r="O37" s="1241"/>
      <c r="P37" s="3021"/>
      <c r="Q37" s="1882" t="str">
        <f t="shared" si="8"/>
        <v>成新度</v>
      </c>
      <c r="R37" s="747" t="s">
        <v>28</v>
      </c>
      <c r="S37" s="748">
        <f t="shared" si="9"/>
        <v>100</v>
      </c>
      <c r="T37" s="747" t="s">
        <v>28</v>
      </c>
      <c r="U37" s="748">
        <f t="shared" si="10"/>
        <v>100</v>
      </c>
      <c r="V37" s="747" t="s">
        <v>28</v>
      </c>
      <c r="W37" s="748">
        <f t="shared" si="11"/>
        <v>100</v>
      </c>
      <c r="X37" s="749"/>
      <c r="Y37" s="3023"/>
      <c r="Z37" s="23" t="str">
        <f t="shared" si="12"/>
        <v>成新度</v>
      </c>
      <c r="AA37" s="750">
        <f t="shared" si="3"/>
        <v>1</v>
      </c>
      <c r="AB37" s="750">
        <f t="shared" si="4"/>
        <v>1</v>
      </c>
      <c r="AC37" s="750">
        <f t="shared" si="5"/>
        <v>1</v>
      </c>
    </row>
    <row r="38" spans="1:29" ht="15">
      <c r="A38" s="452"/>
      <c r="B38" s="401" t="s">
        <v>2380</v>
      </c>
      <c r="C38" s="2408" t="s">
        <v>2894</v>
      </c>
      <c r="D38" s="414">
        <v>100</v>
      </c>
      <c r="E38" s="2408" t="s">
        <v>2894</v>
      </c>
      <c r="F38" s="441">
        <f>SUMIF(114:114,E38,115:115)-SUMIF(114:114,C38,115:115)+100</f>
        <v>100</v>
      </c>
      <c r="G38" s="2408" t="s">
        <v>2894</v>
      </c>
      <c r="H38" s="414">
        <f>SUMIF(114:114,G38,115:115)-SUMIF(114:114,C38,115:115)+100</f>
        <v>100</v>
      </c>
      <c r="I38" s="2408" t="s">
        <v>2894</v>
      </c>
      <c r="J38" s="414">
        <f>SUMIF(114:114,I38,115:115)-SUMIF(114:114,C38,115:115)+100</f>
        <v>100</v>
      </c>
      <c r="K38" s="405">
        <v>2</v>
      </c>
      <c r="L38" s="1248"/>
      <c r="M38" s="1239"/>
      <c r="N38" s="1239"/>
      <c r="O38" s="1239"/>
      <c r="P38" s="3021" t="s">
        <v>2374</v>
      </c>
      <c r="Q38" s="1894" t="str">
        <f t="shared" si="8"/>
        <v>物业管理</v>
      </c>
      <c r="R38" s="751" t="s">
        <v>28</v>
      </c>
      <c r="S38" s="752">
        <f t="shared" si="9"/>
        <v>100</v>
      </c>
      <c r="T38" s="751" t="s">
        <v>28</v>
      </c>
      <c r="U38" s="752">
        <f t="shared" si="10"/>
        <v>100</v>
      </c>
      <c r="V38" s="751" t="s">
        <v>28</v>
      </c>
      <c r="W38" s="752">
        <f t="shared" si="11"/>
        <v>100</v>
      </c>
      <c r="X38" s="1895"/>
      <c r="Y38" s="3023" t="s">
        <v>2374</v>
      </c>
      <c r="Z38" s="1897" t="str">
        <f t="shared" si="12"/>
        <v>物业管理</v>
      </c>
      <c r="AA38" s="1898">
        <f t="shared" si="3"/>
        <v>1</v>
      </c>
      <c r="AB38" s="1898">
        <f t="shared" si="4"/>
        <v>1</v>
      </c>
      <c r="AC38" s="1898">
        <f t="shared" si="5"/>
        <v>1</v>
      </c>
    </row>
    <row r="39" spans="1:29" ht="15">
      <c r="A39" s="452"/>
      <c r="B39" s="401" t="s">
        <v>2381</v>
      </c>
      <c r="C39" s="2408" t="s">
        <v>2895</v>
      </c>
      <c r="D39" s="414">
        <v>100</v>
      </c>
      <c r="E39" s="2408" t="s">
        <v>2895</v>
      </c>
      <c r="F39" s="441">
        <f>SUMIF(116:116,E39,117:117)-SUMIF(116:116,C39,117:117)+100</f>
        <v>100</v>
      </c>
      <c r="G39" s="2408" t="s">
        <v>2895</v>
      </c>
      <c r="H39" s="414">
        <f>SUMIF(116:116,G39,117:117)-SUMIF(116:116,C39,117:117)+100</f>
        <v>100</v>
      </c>
      <c r="I39" s="2408" t="s">
        <v>2895</v>
      </c>
      <c r="J39" s="414">
        <f>SUMIF(116:116,I39,117:117)-SUMIF(116:116,C39,117:117)+100</f>
        <v>100</v>
      </c>
      <c r="K39" s="405">
        <v>2</v>
      </c>
      <c r="L39" s="1248"/>
      <c r="M39" s="1239"/>
      <c r="N39" s="1239"/>
      <c r="O39" s="1239"/>
      <c r="P39" s="3021"/>
      <c r="Q39" s="1894" t="str">
        <f t="shared" si="8"/>
        <v>市政基础设施</v>
      </c>
      <c r="R39" s="751" t="s">
        <v>28</v>
      </c>
      <c r="S39" s="752">
        <f t="shared" si="9"/>
        <v>100</v>
      </c>
      <c r="T39" s="751" t="s">
        <v>28</v>
      </c>
      <c r="U39" s="752">
        <f t="shared" si="10"/>
        <v>100</v>
      </c>
      <c r="V39" s="751" t="s">
        <v>28</v>
      </c>
      <c r="W39" s="752">
        <f t="shared" si="11"/>
        <v>100</v>
      </c>
      <c r="X39" s="1895"/>
      <c r="Y39" s="3023"/>
      <c r="Z39" s="1897" t="str">
        <f t="shared" si="12"/>
        <v>市政基础设施</v>
      </c>
      <c r="AA39" s="1898">
        <f t="shared" si="3"/>
        <v>1</v>
      </c>
      <c r="AB39" s="1898">
        <f t="shared" si="4"/>
        <v>1</v>
      </c>
      <c r="AC39" s="1898">
        <f t="shared" si="5"/>
        <v>1</v>
      </c>
    </row>
    <row r="40" spans="1:29" ht="15">
      <c r="A40" s="452"/>
      <c r="B40" s="401" t="s">
        <v>2382</v>
      </c>
      <c r="C40" s="2408" t="s">
        <v>2896</v>
      </c>
      <c r="D40" s="414">
        <v>100</v>
      </c>
      <c r="E40" s="2408" t="s">
        <v>2896</v>
      </c>
      <c r="F40" s="441">
        <f>SUMIF(118:118,E40,119:119)-SUMIF(118:118,C40,119:119)+100</f>
        <v>100</v>
      </c>
      <c r="G40" s="2408" t="s">
        <v>2896</v>
      </c>
      <c r="H40" s="414">
        <f>SUMIF(118:118,G40,119:119)-SUMIF(118:118,C40,119:119)+100</f>
        <v>100</v>
      </c>
      <c r="I40" s="2408" t="s">
        <v>2896</v>
      </c>
      <c r="J40" s="414">
        <f>SUMIF(118:118,I40,119:119)-SUMIF(118:118,C40,119:119)+100</f>
        <v>100</v>
      </c>
      <c r="K40" s="405">
        <v>3</v>
      </c>
      <c r="L40" s="1248"/>
      <c r="M40" s="1239"/>
      <c r="N40" s="1239"/>
      <c r="O40" s="1239"/>
      <c r="P40" s="3021"/>
      <c r="Q40" s="1894" t="str">
        <f t="shared" si="8"/>
        <v>房型</v>
      </c>
      <c r="R40" s="751" t="s">
        <v>28</v>
      </c>
      <c r="S40" s="752">
        <f t="shared" si="9"/>
        <v>100</v>
      </c>
      <c r="T40" s="751" t="s">
        <v>28</v>
      </c>
      <c r="U40" s="752">
        <f t="shared" si="10"/>
        <v>100</v>
      </c>
      <c r="V40" s="751" t="s">
        <v>28</v>
      </c>
      <c r="W40" s="752">
        <f t="shared" si="11"/>
        <v>100</v>
      </c>
      <c r="X40" s="1895"/>
      <c r="Y40" s="3023"/>
      <c r="Z40" s="1897" t="str">
        <f t="shared" si="12"/>
        <v>房型</v>
      </c>
      <c r="AA40" s="1898">
        <f t="shared" si="3"/>
        <v>1</v>
      </c>
      <c r="AB40" s="1898">
        <f t="shared" si="4"/>
        <v>1</v>
      </c>
      <c r="AC40" s="1898">
        <f t="shared" si="5"/>
        <v>1</v>
      </c>
    </row>
    <row r="41" spans="1:29" s="451" customFormat="1" ht="28.5">
      <c r="A41" s="448"/>
      <c r="B41" s="401" t="s">
        <v>2383</v>
      </c>
      <c r="C41" s="449"/>
      <c r="D41" s="51">
        <v>100</v>
      </c>
      <c r="E41" s="409"/>
      <c r="F41" s="404">
        <f>SUMIF(120:120,E41,121:121)-SUMIF(120:120,C41,121:121)+100</f>
        <v>100</v>
      </c>
      <c r="G41" s="408"/>
      <c r="H41" s="51">
        <f>SUMIF(120:120,G41,121:121)-SUMIF(120:120,C41,121:121)+100</f>
        <v>100</v>
      </c>
      <c r="I41" s="457"/>
      <c r="J41" s="414">
        <f>SUMIF(120:120,I41,121:121)-SUMIF(120:120,C41,121:121)+100</f>
        <v>100</v>
      </c>
      <c r="K41" s="2397"/>
      <c r="L41" s="1246"/>
      <c r="M41" s="1249"/>
      <c r="N41" s="1249"/>
      <c r="O41" s="1249"/>
      <c r="P41" s="3021"/>
      <c r="Q41" s="753" t="str">
        <f t="shared" si="8"/>
        <v>单套/主力户型建筑面积</v>
      </c>
      <c r="R41" s="754" t="s">
        <v>28</v>
      </c>
      <c r="S41" s="755">
        <f t="shared" si="9"/>
        <v>100</v>
      </c>
      <c r="T41" s="754" t="s">
        <v>28</v>
      </c>
      <c r="U41" s="755">
        <f t="shared" si="10"/>
        <v>100</v>
      </c>
      <c r="V41" s="754" t="s">
        <v>28</v>
      </c>
      <c r="W41" s="755">
        <f t="shared" si="11"/>
        <v>100</v>
      </c>
      <c r="X41" s="756"/>
      <c r="Y41" s="3023"/>
      <c r="Z41" s="757" t="str">
        <f t="shared" si="12"/>
        <v>单套/主力户型建筑面积</v>
      </c>
      <c r="AA41" s="1898">
        <f t="shared" si="3"/>
        <v>1</v>
      </c>
      <c r="AB41" s="1898">
        <f t="shared" si="4"/>
        <v>1</v>
      </c>
      <c r="AC41" s="1898">
        <f t="shared" si="5"/>
        <v>1</v>
      </c>
    </row>
    <row r="42" spans="1:29" ht="15">
      <c r="A42" s="452"/>
      <c r="B42" s="401" t="s">
        <v>2384</v>
      </c>
      <c r="C42" s="2408" t="s">
        <v>2897</v>
      </c>
      <c r="D42" s="414">
        <v>100</v>
      </c>
      <c r="E42" s="2407" t="s">
        <v>2897</v>
      </c>
      <c r="F42" s="441">
        <f>SUMIF(122:122,E42,123:123)-SUMIF(122:122,C42,123:123)+100</f>
        <v>100</v>
      </c>
      <c r="G42" s="2407" t="s">
        <v>2897</v>
      </c>
      <c r="H42" s="414">
        <f>SUMIF(122:122,G42,123:123)-SUMIF(122:122,C42,123:123)+100</f>
        <v>100</v>
      </c>
      <c r="I42" s="2407" t="s">
        <v>2897</v>
      </c>
      <c r="J42" s="414">
        <f>SUMIF(122:122,I42,123:123)-SUMIF(122:122,C42,123:123)+100</f>
        <v>100</v>
      </c>
      <c r="K42" s="405">
        <v>2</v>
      </c>
      <c r="L42" s="1248"/>
      <c r="M42" s="1239"/>
      <c r="N42" s="1239"/>
      <c r="O42" s="1239"/>
      <c r="P42" s="3021"/>
      <c r="Q42" s="1894" t="str">
        <f t="shared" si="8"/>
        <v>内部装修</v>
      </c>
      <c r="R42" s="751" t="s">
        <v>28</v>
      </c>
      <c r="S42" s="752">
        <f t="shared" si="9"/>
        <v>100</v>
      </c>
      <c r="T42" s="751" t="s">
        <v>28</v>
      </c>
      <c r="U42" s="752">
        <f t="shared" si="10"/>
        <v>100</v>
      </c>
      <c r="V42" s="751" t="s">
        <v>28</v>
      </c>
      <c r="W42" s="752">
        <f t="shared" si="11"/>
        <v>100</v>
      </c>
      <c r="X42" s="1895"/>
      <c r="Y42" s="3023"/>
      <c r="Z42" s="1897" t="str">
        <f t="shared" si="12"/>
        <v>内部装修</v>
      </c>
      <c r="AA42" s="1898">
        <f t="shared" si="3"/>
        <v>1</v>
      </c>
      <c r="AB42" s="1898">
        <f t="shared" si="4"/>
        <v>1</v>
      </c>
      <c r="AC42" s="1898">
        <f t="shared" si="5"/>
        <v>1</v>
      </c>
    </row>
    <row r="43" spans="1:29" ht="15">
      <c r="A43" s="452"/>
      <c r="B43" s="401" t="s">
        <v>2385</v>
      </c>
      <c r="C43" s="2408" t="s">
        <v>30</v>
      </c>
      <c r="D43" s="414">
        <v>100</v>
      </c>
      <c r="E43" s="2408" t="s">
        <v>30</v>
      </c>
      <c r="F43" s="441">
        <f>SUMIF(124:124,E43,125:125)-SUMIF(124:124,C43,125:125)+100</f>
        <v>100</v>
      </c>
      <c r="G43" s="2408" t="s">
        <v>30</v>
      </c>
      <c r="H43" s="414">
        <f>SUMIF(124:124,G43,125:125)-SUMIF(124:124,C43,125:125)+100</f>
        <v>100</v>
      </c>
      <c r="I43" s="2408" t="s">
        <v>30</v>
      </c>
      <c r="J43" s="414">
        <f>SUMIF(124:124,I43,125:125)-SUMIF(124:124,C43,125:125)+100</f>
        <v>100</v>
      </c>
      <c r="K43" s="405">
        <v>1</v>
      </c>
      <c r="L43" s="1248"/>
      <c r="M43" s="1239"/>
      <c r="N43" s="1239"/>
      <c r="O43" s="1239"/>
      <c r="P43" s="3021"/>
      <c r="Q43" s="1894" t="str">
        <f t="shared" si="8"/>
        <v>内部装修维护情况</v>
      </c>
      <c r="R43" s="751" t="s">
        <v>28</v>
      </c>
      <c r="S43" s="752">
        <f t="shared" si="9"/>
        <v>100</v>
      </c>
      <c r="T43" s="751" t="s">
        <v>28</v>
      </c>
      <c r="U43" s="752">
        <f t="shared" si="10"/>
        <v>100</v>
      </c>
      <c r="V43" s="751" t="s">
        <v>28</v>
      </c>
      <c r="W43" s="752">
        <f t="shared" si="11"/>
        <v>100</v>
      </c>
      <c r="X43" s="1895"/>
      <c r="Y43" s="3023"/>
      <c r="Z43" s="1897" t="str">
        <f t="shared" si="12"/>
        <v>内部装修维护情况</v>
      </c>
      <c r="AA43" s="1898">
        <f t="shared" si="3"/>
        <v>1</v>
      </c>
      <c r="AB43" s="1898">
        <f t="shared" si="4"/>
        <v>1</v>
      </c>
      <c r="AC43" s="1898">
        <f t="shared" si="5"/>
        <v>1</v>
      </c>
    </row>
    <row r="44" spans="1:29" s="35" customFormat="1" ht="15">
      <c r="A44" s="453"/>
      <c r="B44" s="2409">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7"/>
      <c r="L44" s="1240"/>
      <c r="M44" s="1241"/>
      <c r="N44" s="1241"/>
      <c r="O44" s="1241"/>
      <c r="P44" s="3021"/>
      <c r="Q44" s="1882">
        <f t="shared" si="8"/>
        <v>111</v>
      </c>
      <c r="R44" s="747" t="s">
        <v>28</v>
      </c>
      <c r="S44" s="748">
        <f t="shared" si="9"/>
        <v>100</v>
      </c>
      <c r="T44" s="747" t="s">
        <v>28</v>
      </c>
      <c r="U44" s="748">
        <f t="shared" si="10"/>
        <v>100</v>
      </c>
      <c r="V44" s="747" t="s">
        <v>28</v>
      </c>
      <c r="W44" s="748">
        <f t="shared" si="11"/>
        <v>100</v>
      </c>
      <c r="X44" s="749"/>
      <c r="Y44" s="3023"/>
      <c r="Z44" s="23">
        <f t="shared" si="12"/>
        <v>111</v>
      </c>
      <c r="AA44" s="750">
        <f t="shared" si="3"/>
        <v>1</v>
      </c>
      <c r="AB44" s="750">
        <f t="shared" si="4"/>
        <v>1</v>
      </c>
      <c r="AC44" s="750">
        <f t="shared" si="5"/>
        <v>1</v>
      </c>
    </row>
    <row r="45" spans="1:29" ht="15">
      <c r="A45" s="452"/>
      <c r="B45" s="240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7"/>
      <c r="L45" s="1248"/>
      <c r="M45" s="1239"/>
      <c r="N45" s="1239"/>
      <c r="O45" s="1239"/>
      <c r="P45" s="3021"/>
      <c r="Q45" s="1894">
        <f t="shared" si="8"/>
        <v>111</v>
      </c>
      <c r="R45" s="751" t="s">
        <v>28</v>
      </c>
      <c r="S45" s="752">
        <f t="shared" si="9"/>
        <v>100</v>
      </c>
      <c r="T45" s="751" t="s">
        <v>28</v>
      </c>
      <c r="U45" s="752">
        <f t="shared" si="10"/>
        <v>100</v>
      </c>
      <c r="V45" s="751" t="s">
        <v>28</v>
      </c>
      <c r="W45" s="752">
        <f t="shared" si="11"/>
        <v>100</v>
      </c>
      <c r="X45" s="1895"/>
      <c r="Y45" s="3023"/>
      <c r="Z45" s="1897">
        <f t="shared" si="12"/>
        <v>111</v>
      </c>
      <c r="AA45" s="1898">
        <f t="shared" si="3"/>
        <v>1</v>
      </c>
      <c r="AB45" s="1898">
        <f t="shared" si="4"/>
        <v>1</v>
      </c>
      <c r="AC45" s="1898">
        <f t="shared" si="5"/>
        <v>1</v>
      </c>
    </row>
    <row r="46" spans="1:29" ht="15.75" thickBot="1">
      <c r="A46" s="458"/>
      <c r="B46" s="2398">
        <v>111</v>
      </c>
      <c r="C46" s="2399"/>
      <c r="D46" s="416">
        <v>100</v>
      </c>
      <c r="E46" s="2399"/>
      <c r="F46" s="417">
        <f>SUMIF(130:130,E46,131:131)-SUMIF(130:130,C46,131:131)+100</f>
        <v>100</v>
      </c>
      <c r="G46" s="2399"/>
      <c r="H46" s="416">
        <f>SUMIF(130:130,G46,131:131)-SUMIF(130:130,C46,131:131)+100</f>
        <v>100</v>
      </c>
      <c r="I46" s="2399"/>
      <c r="J46" s="416">
        <f>SUMIF(130:130,I46,131:131)-SUMIF(130:130,C46,131:131)+100</f>
        <v>100</v>
      </c>
      <c r="K46" s="2397"/>
      <c r="L46" s="1248"/>
      <c r="M46" s="1239"/>
      <c r="N46" s="1239"/>
      <c r="O46" s="1239"/>
      <c r="P46" s="3022"/>
      <c r="Q46" s="1894">
        <f t="shared" si="8"/>
        <v>111</v>
      </c>
      <c r="R46" s="751" t="s">
        <v>27</v>
      </c>
      <c r="S46" s="752">
        <f t="shared" si="9"/>
        <v>100</v>
      </c>
      <c r="T46" s="751" t="s">
        <v>27</v>
      </c>
      <c r="U46" s="752">
        <f t="shared" si="10"/>
        <v>100</v>
      </c>
      <c r="V46" s="751" t="s">
        <v>27</v>
      </c>
      <c r="W46" s="752">
        <f t="shared" si="11"/>
        <v>100</v>
      </c>
      <c r="X46" s="1895"/>
      <c r="Y46" s="3024"/>
      <c r="Z46" s="1897">
        <f t="shared" si="12"/>
        <v>111</v>
      </c>
      <c r="AA46" s="1898">
        <f t="shared" si="3"/>
        <v>1</v>
      </c>
      <c r="AB46" s="1898">
        <f t="shared" si="4"/>
        <v>1</v>
      </c>
      <c r="AC46" s="1898">
        <f t="shared" si="5"/>
        <v>1</v>
      </c>
    </row>
    <row r="47" spans="1:29" ht="15">
      <c r="A47" s="459" t="s">
        <v>2386</v>
      </c>
      <c r="B47" s="460"/>
      <c r="C47" s="1497" t="s">
        <v>26</v>
      </c>
      <c r="D47" s="1498"/>
      <c r="E47" s="1499">
        <v>41603</v>
      </c>
      <c r="F47" s="1500"/>
      <c r="G47" s="1501">
        <v>41567</v>
      </c>
      <c r="H47" s="1502"/>
      <c r="I47" s="1499">
        <v>41178</v>
      </c>
      <c r="J47" s="1502"/>
      <c r="K47" s="2413"/>
      <c r="L47" s="1251"/>
      <c r="M47" s="1252"/>
      <c r="N47" s="1239"/>
      <c r="O47" s="1252"/>
      <c r="P47" s="3029" t="str">
        <f>A47</f>
        <v>成交单价（元/平方米）</v>
      </c>
      <c r="Q47" s="3029"/>
      <c r="R47" s="3030">
        <f>E47</f>
        <v>41603</v>
      </c>
      <c r="S47" s="3030"/>
      <c r="T47" s="3030">
        <f>G47</f>
        <v>41567</v>
      </c>
      <c r="U47" s="3030"/>
      <c r="V47" s="3030">
        <f>I47</f>
        <v>41178</v>
      </c>
      <c r="W47" s="3030"/>
      <c r="X47" s="736"/>
      <c r="Y47" s="758"/>
      <c r="Z47" s="736"/>
      <c r="AA47" s="736"/>
      <c r="AB47" s="736"/>
      <c r="AC47" s="736"/>
    </row>
    <row r="48" spans="1:29" ht="15.75" thickBot="1">
      <c r="A48" s="466" t="s">
        <v>2387</v>
      </c>
      <c r="B48" s="467"/>
      <c r="C48" s="1503">
        <f>R49</f>
        <v>42154</v>
      </c>
      <c r="D48" s="1504"/>
      <c r="E48" s="1505">
        <f>R48</f>
        <v>42452</v>
      </c>
      <c r="F48" s="1505"/>
      <c r="G48" s="1503">
        <f>T48</f>
        <v>41567</v>
      </c>
      <c r="H48" s="1504"/>
      <c r="I48" s="1505">
        <f>V48</f>
        <v>42443</v>
      </c>
      <c r="J48" s="1504"/>
      <c r="K48" s="2414"/>
      <c r="L48" s="1251"/>
      <c r="M48" s="1252"/>
      <c r="N48" s="1252"/>
      <c r="O48" s="1252"/>
      <c r="P48" s="3029" t="str">
        <f>A48</f>
        <v>比较价值（元/平方米）</v>
      </c>
      <c r="Q48" s="3029"/>
      <c r="R48" s="3030">
        <f>IF(E1="售价",ROUND(PRODUCT(R47,AA7:AA46),0),ROUND(PRODUCT(R47,AA7:AA46),1))</f>
        <v>42452</v>
      </c>
      <c r="S48" s="3030"/>
      <c r="T48" s="3033">
        <f>IF(E1="售价",ROUND(PRODUCT(T47,AB7:AB46),0),ROUND(PRODUCT(T47,AB7:AB46),1))</f>
        <v>41567</v>
      </c>
      <c r="U48" s="3034"/>
      <c r="V48" s="3030">
        <f>IF(E1="售价",ROUND(PRODUCT(V47,AC7:AC46),0),ROUND(PRODUCT(V47,AC7:AC46),1))</f>
        <v>42443</v>
      </c>
      <c r="W48" s="3030"/>
      <c r="X48" s="736"/>
      <c r="Y48" s="736"/>
      <c r="Z48" s="736"/>
      <c r="AA48" s="736"/>
      <c r="AB48" s="736"/>
      <c r="AC48" s="736"/>
    </row>
    <row r="49" spans="1:29" ht="15.75" thickBot="1">
      <c r="A49" s="472" t="s">
        <v>2388</v>
      </c>
      <c r="B49" s="473"/>
      <c r="C49" s="1506">
        <f>R49</f>
        <v>42154</v>
      </c>
      <c r="D49" s="1507"/>
      <c r="E49" s="1507"/>
      <c r="F49" s="1507"/>
      <c r="G49" s="1507"/>
      <c r="H49" s="1507"/>
      <c r="I49" s="1507"/>
      <c r="J49" s="1507"/>
      <c r="K49" s="2415"/>
      <c r="L49" s="1251"/>
      <c r="M49" s="1252"/>
      <c r="N49" s="1252"/>
      <c r="O49" s="1252"/>
      <c r="P49" s="3035" t="str">
        <f>A49</f>
        <v>估价对象XX用房的比较价值（楼面单价，元/平方米）</v>
      </c>
      <c r="Q49" s="3036"/>
      <c r="R49" s="3037">
        <f>IF(E1="售价",ROUND(AVERAGE(R48:V48),0),ROUND(AVERAGE(R48:V48),1))</f>
        <v>42154</v>
      </c>
      <c r="S49" s="3037"/>
      <c r="T49" s="3037"/>
      <c r="U49" s="3037"/>
      <c r="V49" s="3037"/>
      <c r="W49" s="3037"/>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2389</v>
      </c>
      <c r="D52" s="478"/>
      <c r="E52" s="479">
        <f>IF(E47&lt;E48,E48/E47-1,E47/E48-1)</f>
        <v>2.0407182174362326E-2</v>
      </c>
      <c r="F52" s="480" t="str">
        <f>IF(OR(E52&gt;=0.3,E52&lt;=-0.3),"超过30%","")</f>
        <v/>
      </c>
      <c r="G52" s="479">
        <f>IF(G47&lt;G48,G48/G47-1,G47/G48-1)</f>
        <v>0</v>
      </c>
      <c r="H52" s="480" t="str">
        <f>IF(OR(G52&gt;=0.3,G52&lt;=-0.3),"超过30%","")</f>
        <v/>
      </c>
      <c r="I52" s="479">
        <f>IF(I47&lt;I48,I48/I47-1,I47/I48-1)</f>
        <v>3.0720287532177482E-2</v>
      </c>
      <c r="J52" s="480" t="str">
        <f>IF(OR(I52&gt;=0.3,I52&lt;=-0.3),"超过30%","")</f>
        <v/>
      </c>
      <c r="K52" s="1257"/>
      <c r="L52" s="1253"/>
      <c r="M52" s="1252"/>
      <c r="N52" s="1252"/>
      <c r="O52" s="1252"/>
    </row>
    <row r="53" spans="1:29" ht="13.5" customHeight="1">
      <c r="A53" s="1252"/>
      <c r="B53" s="1252"/>
      <c r="C53" s="477" t="s">
        <v>2390</v>
      </c>
      <c r="D53" s="481"/>
      <c r="E53" s="479">
        <f>IF(E48&lt;G48,G48/E48-1,E48/G48-1)</f>
        <v>2.1290927899535683E-2</v>
      </c>
      <c r="F53" s="480" t="str">
        <f>IF(OR(E53&gt;=0.2,E53&lt;=-0.2),"超过20%","")</f>
        <v/>
      </c>
      <c r="G53" s="479">
        <f>IF(G48&lt;I48,I48/G48-1,G48/I48-1)</f>
        <v>2.1074409988693033E-2</v>
      </c>
      <c r="H53" s="480" t="str">
        <f>IF(OR(G53&gt;=0.2,G53&lt;=-0.2),"超过20%","")</f>
        <v/>
      </c>
      <c r="I53" s="479">
        <f>IF(I48&lt;E48,E48/I48-1,I48/E48-1)</f>
        <v>2.1204910114747122E-4</v>
      </c>
      <c r="J53" s="480" t="str">
        <f>IF(OR(I53&gt;=0.2,I53&lt;=-0.2),"超过20%","")</f>
        <v/>
      </c>
      <c r="K53" s="1257"/>
      <c r="L53" s="1253"/>
      <c r="M53" s="1252"/>
      <c r="N53" s="1252"/>
      <c r="O53" s="1252"/>
    </row>
    <row r="54" spans="1:29" s="482" customFormat="1" ht="13.5" customHeight="1">
      <c r="A54" s="1254"/>
      <c r="B54" s="1254"/>
      <c r="C54" s="477" t="s">
        <v>2391</v>
      </c>
      <c r="D54" s="481"/>
      <c r="E54" s="479">
        <f>IF(E47&lt;G47,G47/E47-1,E47/G47-1)</f>
        <v>8.6607164337104692E-4</v>
      </c>
      <c r="F54" s="480" t="str">
        <f>IF(OR(E54&gt;=0.3,E54&lt;=-0.3),"超过30%","")</f>
        <v/>
      </c>
      <c r="G54" s="479">
        <f>IF(G47&lt;I47,I47/G47-1,G47/I47-1)</f>
        <v>9.4467919762979413E-3</v>
      </c>
      <c r="H54" s="480" t="str">
        <f>IF(OR(G54&gt;=0.3,G54&lt;=-0.3),"超过30%","")</f>
        <v/>
      </c>
      <c r="I54" s="479">
        <f>IF(I47&lt;E47,E47/I47-1,I47/E47-1)</f>
        <v>1.0321045218320446E-2</v>
      </c>
      <c r="J54" s="480" t="str">
        <f>IF(OR(I54&gt;=0.3,I54&lt;=-0.3),"超过30%","")</f>
        <v/>
      </c>
      <c r="K54" s="1258"/>
      <c r="L54" s="1259"/>
      <c r="M54" s="1254"/>
      <c r="N54" s="1254"/>
      <c r="O54" s="1254"/>
      <c r="P54" s="2417"/>
    </row>
    <row r="55" spans="1:29" s="482"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v>0.9</v>
      </c>
      <c r="K56" s="1257"/>
      <c r="L56" s="1253"/>
      <c r="M56" s="1252"/>
      <c r="N56" s="1252"/>
      <c r="O56" s="1252"/>
    </row>
    <row r="57" spans="1:29" ht="21.75" thickBot="1">
      <c r="A57" s="740" t="s">
        <v>2392</v>
      </c>
      <c r="B57" s="736"/>
      <c r="C57" s="741"/>
      <c r="D57" s="741"/>
      <c r="E57" s="741"/>
      <c r="F57" s="742"/>
      <c r="G57" s="742"/>
      <c r="H57" s="741"/>
      <c r="I57" s="741"/>
      <c r="J57" s="741"/>
      <c r="K57" s="743"/>
      <c r="L57" s="744"/>
      <c r="M57" s="741"/>
      <c r="N57" s="741"/>
      <c r="O57" s="741"/>
      <c r="P57" s="2418"/>
      <c r="Q57" s="484"/>
    </row>
    <row r="58" spans="1:29" s="488" customFormat="1" ht="15">
      <c r="A58" s="485" t="s">
        <v>2393</v>
      </c>
      <c r="B58" s="486"/>
      <c r="C58" s="1673" t="str">
        <f>YEAR(C7)&amp;"-"&amp;MONTH(C7)</f>
        <v>2018-6</v>
      </c>
      <c r="D58" s="1674">
        <f>EDATE(C58,-1)</f>
        <v>43221</v>
      </c>
      <c r="E58" s="1674">
        <f t="shared" ref="E58:O58" si="13">EDATE(D58,-1)</f>
        <v>43191</v>
      </c>
      <c r="F58" s="1674">
        <f t="shared" si="13"/>
        <v>43160</v>
      </c>
      <c r="G58" s="1674">
        <f t="shared" si="13"/>
        <v>43132</v>
      </c>
      <c r="H58" s="1674">
        <f t="shared" si="13"/>
        <v>43101</v>
      </c>
      <c r="I58" s="1674">
        <f t="shared" si="13"/>
        <v>43070</v>
      </c>
      <c r="J58" s="1674">
        <f t="shared" si="13"/>
        <v>43040</v>
      </c>
      <c r="K58" s="1674">
        <f t="shared" si="13"/>
        <v>43009</v>
      </c>
      <c r="L58" s="1674">
        <f t="shared" si="13"/>
        <v>42979</v>
      </c>
      <c r="M58" s="1674">
        <f t="shared" si="13"/>
        <v>42948</v>
      </c>
      <c r="N58" s="1674">
        <f t="shared" si="13"/>
        <v>42917</v>
      </c>
      <c r="O58" s="1674">
        <f t="shared" si="13"/>
        <v>42887</v>
      </c>
      <c r="P58" s="2419"/>
    </row>
    <row r="59" spans="1:29" s="35" customFormat="1" ht="15">
      <c r="A59" s="489"/>
      <c r="B59" s="490"/>
      <c r="C59" s="622">
        <v>100</v>
      </c>
      <c r="D59" s="492">
        <v>100</v>
      </c>
      <c r="E59" s="492">
        <v>100</v>
      </c>
      <c r="F59" s="492">
        <v>99</v>
      </c>
      <c r="G59" s="492">
        <v>99</v>
      </c>
      <c r="H59" s="492">
        <v>99</v>
      </c>
      <c r="I59" s="492">
        <v>98</v>
      </c>
      <c r="J59" s="492">
        <v>98</v>
      </c>
      <c r="K59" s="492">
        <v>98</v>
      </c>
      <c r="L59" s="492">
        <v>97</v>
      </c>
      <c r="M59" s="492">
        <v>97</v>
      </c>
      <c r="N59" s="493">
        <v>97</v>
      </c>
      <c r="O59" s="493"/>
      <c r="P59" s="2420"/>
    </row>
    <row r="60" spans="1:29" s="35" customFormat="1" ht="15.75" thickBot="1">
      <c r="A60" s="495" t="s">
        <v>2394</v>
      </c>
      <c r="B60" s="496"/>
      <c r="C60" s="497"/>
      <c r="D60" s="498"/>
      <c r="E60" s="498"/>
      <c r="F60" s="498"/>
      <c r="G60" s="498"/>
      <c r="H60" s="498"/>
      <c r="I60" s="498"/>
      <c r="J60" s="498"/>
      <c r="K60" s="498"/>
      <c r="L60" s="498"/>
      <c r="M60" s="499"/>
      <c r="N60" s="498"/>
      <c r="O60" s="499"/>
      <c r="P60" s="2420"/>
      <c r="Q60" s="484"/>
    </row>
    <row r="61" spans="1:29" s="35" customFormat="1" ht="15">
      <c r="A61" s="501" t="s">
        <v>2395</v>
      </c>
      <c r="B61" s="490"/>
      <c r="C61" s="502" t="s">
        <v>2396</v>
      </c>
      <c r="D61" s="503"/>
      <c r="E61" s="503"/>
      <c r="F61" s="503"/>
      <c r="G61" s="503"/>
      <c r="H61" s="503"/>
      <c r="I61" s="503"/>
      <c r="J61" s="503"/>
      <c r="K61" s="503"/>
      <c r="L61" s="504"/>
      <c r="M61" s="505"/>
      <c r="N61" s="1261"/>
      <c r="O61" s="1261"/>
      <c r="P61" s="2421"/>
      <c r="Q61" s="484"/>
    </row>
    <row r="62" spans="1:29" s="35" customFormat="1" ht="15.75" thickBot="1">
      <c r="A62" s="501"/>
      <c r="B62" s="490"/>
      <c r="C62" s="491">
        <v>100</v>
      </c>
      <c r="D62" s="492"/>
      <c r="E62" s="492"/>
      <c r="F62" s="492"/>
      <c r="G62" s="492"/>
      <c r="H62" s="492"/>
      <c r="I62" s="492"/>
      <c r="J62" s="492"/>
      <c r="K62" s="492"/>
      <c r="L62" s="492"/>
      <c r="M62" s="494"/>
      <c r="N62" s="1261"/>
      <c r="O62" s="1261"/>
      <c r="P62" s="2420"/>
      <c r="Q62" s="484"/>
    </row>
    <row r="63" spans="1:29">
      <c r="A63" s="507" t="s">
        <v>2397</v>
      </c>
      <c r="B63" s="508" t="s">
        <v>2362</v>
      </c>
      <c r="C63" s="509" t="str">
        <f>C9</f>
        <v>住宅</v>
      </c>
      <c r="D63" s="510"/>
      <c r="E63" s="510"/>
      <c r="F63" s="510"/>
      <c r="G63" s="510"/>
      <c r="H63" s="510"/>
      <c r="I63" s="510"/>
      <c r="J63" s="510"/>
      <c r="K63" s="511"/>
      <c r="L63" s="512"/>
      <c r="M63" s="513"/>
      <c r="N63" s="1262"/>
      <c r="O63" s="1262"/>
      <c r="P63" s="2422"/>
      <c r="Q63" s="484"/>
    </row>
    <row r="64" spans="1:29" ht="15.75" thickBot="1">
      <c r="A64" s="515"/>
      <c r="B64" s="516"/>
      <c r="C64" s="517">
        <v>100</v>
      </c>
      <c r="D64" s="517"/>
      <c r="E64" s="517"/>
      <c r="F64" s="517"/>
      <c r="G64" s="517"/>
      <c r="H64" s="517"/>
      <c r="I64" s="517"/>
      <c r="J64" s="517"/>
      <c r="K64" s="517"/>
      <c r="L64" s="517"/>
      <c r="M64" s="518"/>
      <c r="N64" s="1263"/>
      <c r="O64" s="1263"/>
      <c r="P64" s="2422"/>
      <c r="Q64" s="484"/>
    </row>
    <row r="65" spans="1:17" ht="27.75" thickTop="1">
      <c r="A65" s="515"/>
      <c r="B65" s="520" t="s">
        <v>2365</v>
      </c>
      <c r="C65" s="521" t="s">
        <v>2398</v>
      </c>
      <c r="D65" s="521" t="s">
        <v>2399</v>
      </c>
      <c r="E65" s="521" t="s">
        <v>2400</v>
      </c>
      <c r="F65" s="521" t="s">
        <v>2401</v>
      </c>
      <c r="G65" s="521" t="s">
        <v>2402</v>
      </c>
      <c r="H65" s="521" t="s">
        <v>2403</v>
      </c>
      <c r="I65" s="521" t="s">
        <v>2404</v>
      </c>
      <c r="J65" s="521"/>
      <c r="K65" s="522"/>
      <c r="L65" s="523"/>
      <c r="M65" s="524"/>
      <c r="N65" s="1262"/>
      <c r="O65" s="1262"/>
      <c r="P65" s="2422"/>
      <c r="Q65" s="484"/>
    </row>
    <row r="66" spans="1:17" ht="15.75" thickBot="1">
      <c r="A66" s="515"/>
      <c r="B66" s="525"/>
      <c r="C66" s="526">
        <v>100</v>
      </c>
      <c r="D66" s="526">
        <f t="shared" ref="D66:I66" si="14">C66-$K10</f>
        <v>98</v>
      </c>
      <c r="E66" s="526">
        <f t="shared" si="14"/>
        <v>96</v>
      </c>
      <c r="F66" s="526">
        <f t="shared" si="14"/>
        <v>94</v>
      </c>
      <c r="G66" s="526">
        <f t="shared" si="14"/>
        <v>92</v>
      </c>
      <c r="H66" s="526">
        <f t="shared" si="14"/>
        <v>90</v>
      </c>
      <c r="I66" s="526">
        <f t="shared" si="14"/>
        <v>88</v>
      </c>
      <c r="J66" s="526"/>
      <c r="K66" s="526"/>
      <c r="L66" s="526"/>
      <c r="M66" s="527"/>
      <c r="N66" s="1263"/>
      <c r="O66" s="1263"/>
      <c r="P66" s="2422"/>
      <c r="Q66" s="484"/>
    </row>
    <row r="67" spans="1:17" ht="15.75" thickTop="1">
      <c r="A67" s="515"/>
      <c r="B67" s="528" t="s">
        <v>2366</v>
      </c>
      <c r="C67" s="529" t="str">
        <f>C68&amp;"（含）"&amp;"-"&amp;D68</f>
        <v>0（含）-1</v>
      </c>
      <c r="D67" s="529" t="str">
        <f t="shared" ref="D67:L67" si="15">D68&amp;"（含）"&amp;"-"&amp;E68</f>
        <v>1（含）-</v>
      </c>
      <c r="E67" s="529" t="str">
        <f t="shared" si="15"/>
        <v>（含）-</v>
      </c>
      <c r="F67" s="529" t="str">
        <f t="shared" si="15"/>
        <v>（含）-</v>
      </c>
      <c r="G67" s="529" t="str">
        <f t="shared" si="15"/>
        <v>（含）-</v>
      </c>
      <c r="H67" s="529" t="str">
        <f t="shared" si="15"/>
        <v>（含）-</v>
      </c>
      <c r="I67" s="529" t="str">
        <f t="shared" si="15"/>
        <v>（含）-</v>
      </c>
      <c r="J67" s="529" t="str">
        <f t="shared" si="15"/>
        <v>（含）-</v>
      </c>
      <c r="K67" s="529" t="str">
        <f t="shared" si="15"/>
        <v>（含）-</v>
      </c>
      <c r="L67" s="529" t="str">
        <f t="shared" si="15"/>
        <v>（含）-</v>
      </c>
      <c r="M67" s="426" t="str">
        <f>M68&amp;"（含）"&amp;"-"&amp;P68</f>
        <v>（含）-</v>
      </c>
      <c r="N67" s="1263"/>
      <c r="O67" s="1263"/>
      <c r="P67" s="2422"/>
      <c r="Q67" s="484"/>
    </row>
    <row r="68" spans="1:17" ht="15">
      <c r="A68" s="515"/>
      <c r="B68" s="530"/>
      <c r="C68" s="531">
        <v>0</v>
      </c>
      <c r="D68" s="531">
        <v>1</v>
      </c>
      <c r="E68" s="531"/>
      <c r="F68" s="531"/>
      <c r="G68" s="531"/>
      <c r="H68" s="531"/>
      <c r="I68" s="531"/>
      <c r="J68" s="531"/>
      <c r="K68" s="532"/>
      <c r="L68" s="533"/>
      <c r="M68" s="534"/>
      <c r="N68" s="1262"/>
      <c r="O68" s="1262"/>
      <c r="P68" s="2422"/>
      <c r="Q68" s="484"/>
    </row>
    <row r="69" spans="1:17" ht="15.75" thickBot="1">
      <c r="A69" s="515"/>
      <c r="B69" s="516"/>
      <c r="C69" s="526">
        <v>100</v>
      </c>
      <c r="D69" s="526">
        <f t="shared" ref="D69:M69" si="16">C69-$K11</f>
        <v>100</v>
      </c>
      <c r="E69" s="526">
        <f t="shared" si="16"/>
        <v>100</v>
      </c>
      <c r="F69" s="526">
        <f t="shared" si="16"/>
        <v>100</v>
      </c>
      <c r="G69" s="526">
        <f t="shared" si="16"/>
        <v>100</v>
      </c>
      <c r="H69" s="526">
        <f t="shared" si="16"/>
        <v>100</v>
      </c>
      <c r="I69" s="526">
        <f t="shared" si="16"/>
        <v>100</v>
      </c>
      <c r="J69" s="526">
        <f t="shared" si="16"/>
        <v>100</v>
      </c>
      <c r="K69" s="526">
        <f t="shared" si="16"/>
        <v>100</v>
      </c>
      <c r="L69" s="526">
        <f t="shared" si="16"/>
        <v>100</v>
      </c>
      <c r="M69" s="527">
        <f t="shared" si="16"/>
        <v>100</v>
      </c>
      <c r="N69" s="1263"/>
      <c r="O69" s="1263"/>
      <c r="P69" s="2422"/>
      <c r="Q69" s="484"/>
    </row>
    <row r="70" spans="1:17" s="451" customFormat="1" ht="15.75" thickTop="1">
      <c r="A70" s="535"/>
      <c r="B70" s="520">
        <f>B12</f>
        <v>111</v>
      </c>
      <c r="C70" s="536"/>
      <c r="D70" s="536"/>
      <c r="E70" s="536"/>
      <c r="F70" s="536"/>
      <c r="G70" s="536"/>
      <c r="H70" s="537"/>
      <c r="I70" s="537"/>
      <c r="J70" s="537"/>
      <c r="K70" s="537"/>
      <c r="L70" s="538"/>
      <c r="M70" s="539"/>
      <c r="N70" s="1264"/>
      <c r="O70" s="1264"/>
      <c r="P70" s="2423"/>
      <c r="Q70" s="542"/>
    </row>
    <row r="71" spans="1:17" s="451" customFormat="1" ht="15.75" thickBot="1">
      <c r="A71" s="535"/>
      <c r="B71" s="525"/>
      <c r="C71" s="543"/>
      <c r="D71" s="517"/>
      <c r="E71" s="517"/>
      <c r="F71" s="517"/>
      <c r="G71" s="517"/>
      <c r="H71" s="517"/>
      <c r="I71" s="517"/>
      <c r="J71" s="517"/>
      <c r="K71" s="517"/>
      <c r="L71" s="517"/>
      <c r="M71" s="518"/>
      <c r="N71" s="1263"/>
      <c r="O71" s="1263"/>
      <c r="P71" s="2423"/>
      <c r="Q71" s="542"/>
    </row>
    <row r="72" spans="1:17" s="451" customFormat="1" ht="15.75" thickTop="1">
      <c r="A72" s="535"/>
      <c r="B72" s="520">
        <f>B13</f>
        <v>111</v>
      </c>
      <c r="C72" s="536"/>
      <c r="D72" s="536"/>
      <c r="E72" s="536"/>
      <c r="F72" s="536"/>
      <c r="G72" s="536"/>
      <c r="H72" s="537"/>
      <c r="I72" s="537"/>
      <c r="J72" s="537"/>
      <c r="K72" s="537"/>
      <c r="L72" s="538"/>
      <c r="M72" s="539"/>
      <c r="N72" s="1264"/>
      <c r="O72" s="1264"/>
      <c r="P72" s="2424"/>
      <c r="Q72" s="544"/>
    </row>
    <row r="73" spans="1:17" s="451" customFormat="1" ht="15.75" thickBot="1">
      <c r="A73" s="535"/>
      <c r="B73" s="525"/>
      <c r="C73" s="543"/>
      <c r="D73" s="543"/>
      <c r="E73" s="543"/>
      <c r="F73" s="543"/>
      <c r="G73" s="543"/>
      <c r="H73" s="545"/>
      <c r="I73" s="545"/>
      <c r="J73" s="545"/>
      <c r="K73" s="545"/>
      <c r="L73" s="545"/>
      <c r="M73" s="546"/>
      <c r="N73" s="1264"/>
      <c r="O73" s="1264"/>
      <c r="P73" s="2423"/>
      <c r="Q73" s="542"/>
    </row>
    <row r="74" spans="1:17" s="451" customFormat="1" ht="15.75" thickTop="1">
      <c r="A74" s="535"/>
      <c r="B74" s="528">
        <f>B14</f>
        <v>111</v>
      </c>
      <c r="C74" s="536"/>
      <c r="D74" s="536"/>
      <c r="E74" s="536"/>
      <c r="F74" s="536"/>
      <c r="G74" s="503"/>
      <c r="H74" s="547"/>
      <c r="I74" s="547"/>
      <c r="J74" s="547"/>
      <c r="K74" s="547"/>
      <c r="L74" s="548"/>
      <c r="M74" s="549"/>
      <c r="N74" s="1264"/>
      <c r="O74" s="1264"/>
      <c r="P74" s="2425"/>
      <c r="Q74" s="542"/>
    </row>
    <row r="75" spans="1:17" s="451" customFormat="1" ht="15.75" thickBot="1">
      <c r="A75" s="551"/>
      <c r="B75" s="552"/>
      <c r="C75" s="553"/>
      <c r="D75" s="553"/>
      <c r="E75" s="553"/>
      <c r="F75" s="553"/>
      <c r="G75" s="553"/>
      <c r="H75" s="554"/>
      <c r="I75" s="554"/>
      <c r="J75" s="554"/>
      <c r="K75" s="554"/>
      <c r="L75" s="554"/>
      <c r="M75" s="555"/>
      <c r="N75" s="1264"/>
      <c r="O75" s="1264"/>
      <c r="P75" s="2423"/>
      <c r="Q75" s="542"/>
    </row>
    <row r="76" spans="1:17">
      <c r="A76" s="507" t="s">
        <v>2367</v>
      </c>
      <c r="B76" s="508" t="s">
        <v>2405</v>
      </c>
      <c r="C76" s="556" t="s">
        <v>2406</v>
      </c>
      <c r="D76" s="556" t="s">
        <v>2407</v>
      </c>
      <c r="E76" s="556" t="s">
        <v>2408</v>
      </c>
      <c r="F76" s="556" t="s">
        <v>2409</v>
      </c>
      <c r="G76" s="556" t="s">
        <v>2410</v>
      </c>
      <c r="H76" s="509"/>
      <c r="I76" s="509"/>
      <c r="J76" s="509"/>
      <c r="K76" s="557"/>
      <c r="L76" s="558"/>
      <c r="M76" s="559"/>
      <c r="N76" s="1262"/>
      <c r="O76" s="1262"/>
      <c r="P76" s="2426"/>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3"/>
      <c r="O77" s="1263"/>
      <c r="P77" s="2422"/>
      <c r="Q77" s="484"/>
    </row>
    <row r="78" spans="1:17" ht="15.75" thickTop="1">
      <c r="A78" s="515"/>
      <c r="B78" s="520" t="s">
        <v>2411</v>
      </c>
      <c r="C78" s="561" t="s">
        <v>2406</v>
      </c>
      <c r="D78" s="561" t="s">
        <v>2407</v>
      </c>
      <c r="E78" s="561" t="s">
        <v>2408</v>
      </c>
      <c r="F78" s="561" t="s">
        <v>2409</v>
      </c>
      <c r="G78" s="561" t="s">
        <v>2410</v>
      </c>
      <c r="H78" s="521"/>
      <c r="I78" s="521"/>
      <c r="J78" s="521"/>
      <c r="K78" s="522"/>
      <c r="L78" s="523"/>
      <c r="M78" s="524"/>
      <c r="N78" s="1262"/>
      <c r="O78" s="1262"/>
      <c r="P78" s="2422"/>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3"/>
      <c r="O79" s="1263"/>
      <c r="P79" s="2422"/>
      <c r="Q79" s="484"/>
    </row>
    <row r="80" spans="1:17" ht="15.75" thickTop="1">
      <c r="A80" s="515"/>
      <c r="B80" s="520" t="s">
        <v>2412</v>
      </c>
      <c r="C80" s="561" t="s">
        <v>2406</v>
      </c>
      <c r="D80" s="561" t="s">
        <v>2407</v>
      </c>
      <c r="E80" s="561" t="s">
        <v>2408</v>
      </c>
      <c r="F80" s="561" t="s">
        <v>2409</v>
      </c>
      <c r="G80" s="561" t="s">
        <v>2410</v>
      </c>
      <c r="H80" s="521"/>
      <c r="I80" s="521"/>
      <c r="J80" s="521"/>
      <c r="K80" s="522"/>
      <c r="L80" s="523"/>
      <c r="M80" s="524"/>
      <c r="N80" s="1262"/>
      <c r="O80" s="1262"/>
      <c r="P80" s="2422"/>
      <c r="Q80" s="484"/>
    </row>
    <row r="81" spans="1:17" ht="15.75" thickBot="1">
      <c r="A81" s="515"/>
      <c r="B81" s="525"/>
      <c r="C81" s="526">
        <v>100</v>
      </c>
      <c r="D81" s="526">
        <f>C81-$K19</f>
        <v>99</v>
      </c>
      <c r="E81" s="526">
        <f>D81-$K19</f>
        <v>98</v>
      </c>
      <c r="F81" s="526">
        <f>E81-$K19</f>
        <v>97</v>
      </c>
      <c r="G81" s="526">
        <f>F81-$K19</f>
        <v>96</v>
      </c>
      <c r="H81" s="526"/>
      <c r="I81" s="526"/>
      <c r="J81" s="526"/>
      <c r="K81" s="526"/>
      <c r="L81" s="526"/>
      <c r="M81" s="527"/>
      <c r="N81" s="1263"/>
      <c r="O81" s="1263"/>
      <c r="P81" s="2422"/>
      <c r="Q81" s="484"/>
    </row>
    <row r="82" spans="1:17" ht="15.75" thickTop="1">
      <c r="A82" s="515"/>
      <c r="B82" s="528" t="s">
        <v>1752</v>
      </c>
      <c r="C82" s="521" t="s">
        <v>2413</v>
      </c>
      <c r="D82" s="521" t="s">
        <v>2414</v>
      </c>
      <c r="E82" s="521" t="s">
        <v>2415</v>
      </c>
      <c r="F82" s="521" t="s">
        <v>2416</v>
      </c>
      <c r="G82" s="521" t="s">
        <v>2417</v>
      </c>
      <c r="H82" s="521"/>
      <c r="I82" s="521"/>
      <c r="J82" s="521"/>
      <c r="K82" s="521"/>
      <c r="L82" s="521"/>
      <c r="M82" s="1462"/>
      <c r="N82" s="1263"/>
      <c r="O82" s="1263"/>
      <c r="P82" s="2422"/>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3"/>
      <c r="O83" s="1263"/>
      <c r="P83" s="2422"/>
      <c r="Q83" s="484"/>
    </row>
    <row r="84" spans="1:17" ht="15.75" thickTop="1">
      <c r="A84" s="515"/>
      <c r="B84" s="520" t="s">
        <v>2418</v>
      </c>
      <c r="C84" s="561" t="s">
        <v>2406</v>
      </c>
      <c r="D84" s="561" t="s">
        <v>2407</v>
      </c>
      <c r="E84" s="561" t="s">
        <v>2408</v>
      </c>
      <c r="F84" s="561" t="s">
        <v>2409</v>
      </c>
      <c r="G84" s="561" t="s">
        <v>2410</v>
      </c>
      <c r="H84" s="521"/>
      <c r="I84" s="521"/>
      <c r="J84" s="521"/>
      <c r="K84" s="522"/>
      <c r="L84" s="523"/>
      <c r="M84" s="524"/>
      <c r="N84" s="1262"/>
      <c r="O84" s="1262"/>
      <c r="P84" s="2422"/>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3"/>
      <c r="O85" s="1263"/>
      <c r="P85" s="2422"/>
      <c r="Q85" s="484"/>
    </row>
    <row r="86" spans="1:17" s="35" customFormat="1" ht="15.75" thickTop="1">
      <c r="A86" s="562"/>
      <c r="B86" s="520" t="s">
        <v>2419</v>
      </c>
      <c r="C86" s="536"/>
      <c r="D86" s="536"/>
      <c r="E86" s="536"/>
      <c r="F86" s="536"/>
      <c r="G86" s="536"/>
      <c r="H86" s="536"/>
      <c r="I86" s="536"/>
      <c r="J86" s="536"/>
      <c r="K86" s="536"/>
      <c r="L86" s="563"/>
      <c r="M86" s="564"/>
      <c r="N86" s="1261"/>
      <c r="O86" s="1261"/>
      <c r="P86" s="2422"/>
      <c r="Q86" s="484"/>
    </row>
    <row r="87" spans="1:17" s="35" customFormat="1" ht="15.75" thickBot="1">
      <c r="A87" s="562"/>
      <c r="B87" s="525"/>
      <c r="C87" s="565">
        <v>100</v>
      </c>
      <c r="D87" s="526">
        <f>$C$87-($C$86-D86)*$K$25</f>
        <v>100</v>
      </c>
      <c r="E87" s="526">
        <f t="shared" ref="E87:M87" si="17">$C$87-($C$86-E86)*$K$25</f>
        <v>100</v>
      </c>
      <c r="F87" s="526">
        <f t="shared" si="17"/>
        <v>100</v>
      </c>
      <c r="G87" s="526">
        <f t="shared" si="17"/>
        <v>100</v>
      </c>
      <c r="H87" s="526">
        <f t="shared" si="17"/>
        <v>100</v>
      </c>
      <c r="I87" s="526">
        <f t="shared" si="17"/>
        <v>100</v>
      </c>
      <c r="J87" s="526">
        <f t="shared" si="17"/>
        <v>100</v>
      </c>
      <c r="K87" s="526">
        <f t="shared" si="17"/>
        <v>100</v>
      </c>
      <c r="L87" s="526">
        <f t="shared" si="17"/>
        <v>100</v>
      </c>
      <c r="M87" s="526">
        <f t="shared" si="17"/>
        <v>100</v>
      </c>
      <c r="N87" s="1263"/>
      <c r="O87" s="1263"/>
      <c r="P87" s="2422"/>
      <c r="Q87" s="484"/>
    </row>
    <row r="88" spans="1:17" s="35" customFormat="1" ht="15.75" thickTop="1">
      <c r="A88" s="562"/>
      <c r="B88" s="520" t="s">
        <v>2420</v>
      </c>
      <c r="C88" s="536" t="s">
        <v>2850</v>
      </c>
      <c r="D88" s="536" t="s">
        <v>2851</v>
      </c>
      <c r="E88" s="536" t="s">
        <v>2852</v>
      </c>
      <c r="F88" s="2427" t="s">
        <v>2853</v>
      </c>
      <c r="G88" s="536" t="s">
        <v>2854</v>
      </c>
      <c r="H88" s="536" t="s">
        <v>2855</v>
      </c>
      <c r="I88" s="536" t="s">
        <v>2856</v>
      </c>
      <c r="J88" s="536" t="s">
        <v>2857</v>
      </c>
      <c r="K88" s="536" t="s">
        <v>2858</v>
      </c>
      <c r="L88" s="536" t="s">
        <v>2859</v>
      </c>
      <c r="M88" s="564"/>
      <c r="N88" s="1261"/>
      <c r="O88" s="1261"/>
      <c r="P88" s="2422"/>
      <c r="Q88" s="484"/>
    </row>
    <row r="89" spans="1:17" s="35" customFormat="1" ht="15.75" thickBot="1">
      <c r="A89" s="562"/>
      <c r="B89" s="525"/>
      <c r="C89" s="565">
        <v>100</v>
      </c>
      <c r="D89" s="526">
        <f t="shared" ref="D89:M89" si="18">C89-$K26</f>
        <v>99</v>
      </c>
      <c r="E89" s="526">
        <f t="shared" si="18"/>
        <v>98</v>
      </c>
      <c r="F89" s="526">
        <f t="shared" si="18"/>
        <v>97</v>
      </c>
      <c r="G89" s="526">
        <f t="shared" si="18"/>
        <v>96</v>
      </c>
      <c r="H89" s="526">
        <f t="shared" si="18"/>
        <v>95</v>
      </c>
      <c r="I89" s="526">
        <f t="shared" si="18"/>
        <v>94</v>
      </c>
      <c r="J89" s="526">
        <f t="shared" si="18"/>
        <v>93</v>
      </c>
      <c r="K89" s="526">
        <f t="shared" si="18"/>
        <v>92</v>
      </c>
      <c r="L89" s="526">
        <f t="shared" si="18"/>
        <v>91</v>
      </c>
      <c r="M89" s="526">
        <f t="shared" si="18"/>
        <v>90</v>
      </c>
      <c r="N89" s="1263"/>
      <c r="O89" s="1263"/>
      <c r="P89" s="2422"/>
      <c r="Q89" s="484"/>
    </row>
    <row r="90" spans="1:17" s="451" customFormat="1" ht="15.75" thickTop="1">
      <c r="A90" s="535"/>
      <c r="B90" s="520" t="str">
        <f>B27</f>
        <v>道路级别</v>
      </c>
      <c r="C90" s="2732" t="s">
        <v>2860</v>
      </c>
      <c r="D90" s="2732" t="s">
        <v>2861</v>
      </c>
      <c r="E90" s="2732" t="s">
        <v>2862</v>
      </c>
      <c r="F90" s="2732" t="s">
        <v>2863</v>
      </c>
      <c r="G90" s="2732" t="s">
        <v>2864</v>
      </c>
      <c r="H90" s="537"/>
      <c r="I90" s="537"/>
      <c r="J90" s="537"/>
      <c r="K90" s="537"/>
      <c r="L90" s="538"/>
      <c r="M90" s="539"/>
      <c r="N90" s="1264"/>
      <c r="O90" s="1264"/>
      <c r="P90" s="2423"/>
      <c r="Q90" s="542"/>
    </row>
    <row r="91" spans="1:17" s="451" customFormat="1" ht="15.75" thickBot="1">
      <c r="A91" s="535"/>
      <c r="B91" s="525"/>
      <c r="C91" s="543">
        <v>100</v>
      </c>
      <c r="D91" s="543">
        <v>98</v>
      </c>
      <c r="E91" s="543">
        <v>96</v>
      </c>
      <c r="F91" s="543">
        <v>94</v>
      </c>
      <c r="G91" s="543">
        <v>92</v>
      </c>
      <c r="H91" s="545"/>
      <c r="I91" s="545"/>
      <c r="J91" s="545"/>
      <c r="K91" s="545"/>
      <c r="L91" s="545"/>
      <c r="M91" s="546"/>
      <c r="N91" s="1264"/>
      <c r="O91" s="1264"/>
      <c r="P91" s="2423"/>
      <c r="Q91" s="542"/>
    </row>
    <row r="92" spans="1:17" ht="15.75" thickTop="1">
      <c r="A92" s="515"/>
      <c r="B92" s="520" t="str">
        <f>B28</f>
        <v>楼层</v>
      </c>
      <c r="C92" s="2732" t="s">
        <v>2865</v>
      </c>
      <c r="D92" s="2732" t="s">
        <v>2866</v>
      </c>
      <c r="E92" s="2732" t="s">
        <v>2867</v>
      </c>
      <c r="F92" s="536"/>
      <c r="G92" s="566"/>
      <c r="H92" s="566"/>
      <c r="I92" s="566"/>
      <c r="J92" s="566"/>
      <c r="K92" s="567"/>
      <c r="L92" s="568"/>
      <c r="M92" s="569"/>
      <c r="N92" s="1262"/>
      <c r="O92" s="1262"/>
      <c r="P92" s="2422"/>
      <c r="Q92" s="484"/>
    </row>
    <row r="93" spans="1:17" ht="15.75" thickBot="1">
      <c r="A93" s="515"/>
      <c r="B93" s="525"/>
      <c r="C93" s="543">
        <v>100</v>
      </c>
      <c r="D93" s="517">
        <v>98</v>
      </c>
      <c r="E93" s="517">
        <v>96</v>
      </c>
      <c r="F93" s="517"/>
      <c r="G93" s="517"/>
      <c r="H93" s="517"/>
      <c r="I93" s="517"/>
      <c r="J93" s="517"/>
      <c r="K93" s="517"/>
      <c r="L93" s="517"/>
      <c r="M93" s="518"/>
      <c r="N93" s="1263"/>
      <c r="O93" s="1263"/>
      <c r="P93" s="2422"/>
      <c r="Q93" s="484"/>
    </row>
    <row r="94" spans="1:17" ht="15.75" thickTop="1">
      <c r="A94" s="515"/>
      <c r="B94" s="520">
        <f>B29</f>
        <v>111</v>
      </c>
      <c r="C94" s="536"/>
      <c r="D94" s="536"/>
      <c r="E94" s="536"/>
      <c r="F94" s="536"/>
      <c r="G94" s="566"/>
      <c r="H94" s="566"/>
      <c r="I94" s="566"/>
      <c r="J94" s="566"/>
      <c r="K94" s="567"/>
      <c r="L94" s="568"/>
      <c r="M94" s="569"/>
      <c r="N94" s="1262"/>
      <c r="O94" s="1262"/>
      <c r="P94" s="2422"/>
      <c r="Q94" s="484"/>
    </row>
    <row r="95" spans="1:17" ht="15.75" thickBot="1">
      <c r="A95" s="515"/>
      <c r="B95" s="525"/>
      <c r="C95" s="543"/>
      <c r="D95" s="543"/>
      <c r="E95" s="543"/>
      <c r="F95" s="543"/>
      <c r="G95" s="517"/>
      <c r="H95" s="517"/>
      <c r="I95" s="517"/>
      <c r="J95" s="517"/>
      <c r="K95" s="517"/>
      <c r="L95" s="517"/>
      <c r="M95" s="518"/>
      <c r="N95" s="1263"/>
      <c r="O95" s="1263"/>
      <c r="P95" s="2422"/>
      <c r="Q95" s="484"/>
    </row>
    <row r="96" spans="1:17" ht="15.75" thickTop="1">
      <c r="A96" s="515"/>
      <c r="B96" s="520">
        <f>B30</f>
        <v>111</v>
      </c>
      <c r="C96" s="536"/>
      <c r="D96" s="536"/>
      <c r="E96" s="536"/>
      <c r="F96" s="536"/>
      <c r="G96" s="566"/>
      <c r="H96" s="566"/>
      <c r="I96" s="566"/>
      <c r="J96" s="566"/>
      <c r="K96" s="567"/>
      <c r="L96" s="568"/>
      <c r="M96" s="569"/>
      <c r="N96" s="1262"/>
      <c r="O96" s="1262"/>
      <c r="P96" s="2422"/>
      <c r="Q96" s="484"/>
    </row>
    <row r="97" spans="1:17" ht="15.75" thickBot="1">
      <c r="A97" s="515"/>
      <c r="B97" s="525"/>
      <c r="C97" s="553"/>
      <c r="D97" s="553"/>
      <c r="E97" s="553"/>
      <c r="F97" s="553"/>
      <c r="G97" s="517"/>
      <c r="H97" s="517"/>
      <c r="I97" s="517"/>
      <c r="J97" s="517"/>
      <c r="K97" s="517"/>
      <c r="L97" s="517"/>
      <c r="M97" s="518"/>
      <c r="N97" s="1263"/>
      <c r="O97" s="1263"/>
      <c r="P97" s="2422"/>
      <c r="Q97" s="484"/>
    </row>
    <row r="98" spans="1:17" ht="15.75" thickTop="1">
      <c r="A98" s="515"/>
      <c r="B98" s="528">
        <f>B31</f>
        <v>111</v>
      </c>
      <c r="C98" s="570"/>
      <c r="D98" s="570"/>
      <c r="E98" s="570"/>
      <c r="F98" s="570"/>
      <c r="G98" s="570"/>
      <c r="H98" s="570"/>
      <c r="I98" s="570"/>
      <c r="J98" s="570"/>
      <c r="K98" s="571"/>
      <c r="L98" s="572"/>
      <c r="M98" s="573"/>
      <c r="N98" s="1262"/>
      <c r="O98" s="1262"/>
      <c r="P98" s="2422"/>
      <c r="Q98" s="484"/>
    </row>
    <row r="99" spans="1:17" ht="15.75" thickBot="1">
      <c r="A99" s="2428"/>
      <c r="B99" s="552"/>
      <c r="C99" s="574"/>
      <c r="D99" s="574"/>
      <c r="E99" s="574"/>
      <c r="F99" s="574"/>
      <c r="G99" s="574"/>
      <c r="H99" s="574"/>
      <c r="I99" s="574"/>
      <c r="J99" s="574"/>
      <c r="K99" s="574"/>
      <c r="L99" s="574"/>
      <c r="M99" s="575"/>
      <c r="N99" s="1263"/>
      <c r="O99" s="1263"/>
      <c r="P99" s="2422"/>
      <c r="Q99" s="484"/>
    </row>
    <row r="100" spans="1:17">
      <c r="A100" s="507" t="s">
        <v>2372</v>
      </c>
      <c r="B100" s="508" t="s">
        <v>2421</v>
      </c>
      <c r="C100" s="2735" t="s">
        <v>2872</v>
      </c>
      <c r="D100" s="510"/>
      <c r="E100" s="510"/>
      <c r="F100" s="510"/>
      <c r="G100" s="510"/>
      <c r="H100" s="510"/>
      <c r="I100" s="510"/>
      <c r="J100" s="510"/>
      <c r="K100" s="511"/>
      <c r="L100" s="512"/>
      <c r="M100" s="513"/>
      <c r="N100" s="1262"/>
      <c r="O100" s="1262"/>
      <c r="P100" s="2422"/>
      <c r="Q100" s="484"/>
    </row>
    <row r="101" spans="1:17" ht="15.75" thickBot="1">
      <c r="A101" s="515"/>
      <c r="B101" s="525"/>
      <c r="C101" s="526">
        <v>100</v>
      </c>
      <c r="D101" s="526">
        <f t="shared" ref="D101:M101" si="19">C101-$K32</f>
        <v>99</v>
      </c>
      <c r="E101" s="526">
        <f t="shared" si="19"/>
        <v>98</v>
      </c>
      <c r="F101" s="526">
        <f t="shared" si="19"/>
        <v>97</v>
      </c>
      <c r="G101" s="526">
        <f t="shared" si="19"/>
        <v>96</v>
      </c>
      <c r="H101" s="526">
        <f t="shared" si="19"/>
        <v>95</v>
      </c>
      <c r="I101" s="526">
        <f t="shared" si="19"/>
        <v>94</v>
      </c>
      <c r="J101" s="526">
        <f t="shared" si="19"/>
        <v>93</v>
      </c>
      <c r="K101" s="526">
        <f t="shared" si="19"/>
        <v>92</v>
      </c>
      <c r="L101" s="526">
        <f t="shared" si="19"/>
        <v>91</v>
      </c>
      <c r="M101" s="526">
        <f t="shared" si="19"/>
        <v>90</v>
      </c>
      <c r="N101" s="1263"/>
      <c r="O101" s="1263"/>
      <c r="P101" s="2422"/>
      <c r="Q101" s="484"/>
    </row>
    <row r="102" spans="1:17" ht="15.75" thickTop="1">
      <c r="A102" s="515"/>
      <c r="B102" s="520" t="s">
        <v>2422</v>
      </c>
      <c r="C102" s="561" t="str">
        <f>C103&amp;"(含)"&amp;"-"&amp;D103</f>
        <v>0(含)-100</v>
      </c>
      <c r="D102" s="561" t="str">
        <f t="shared" ref="D102:L102" si="20">D103&amp;"(含)"&amp;"-"&amp;E103</f>
        <v>100(含)-200</v>
      </c>
      <c r="E102" s="561" t="str">
        <f t="shared" si="20"/>
        <v>200(含)-300</v>
      </c>
      <c r="F102" s="561" t="str">
        <f t="shared" si="20"/>
        <v>300(含)-400</v>
      </c>
      <c r="G102" s="561" t="str">
        <f t="shared" si="20"/>
        <v>400(含)-500</v>
      </c>
      <c r="H102" s="561" t="str">
        <f t="shared" si="20"/>
        <v>500(含)-600</v>
      </c>
      <c r="I102" s="561" t="str">
        <f t="shared" si="20"/>
        <v>600(含)-</v>
      </c>
      <c r="J102" s="561" t="str">
        <f t="shared" si="20"/>
        <v>(含)-</v>
      </c>
      <c r="K102" s="561" t="str">
        <f t="shared" si="20"/>
        <v>(含)-</v>
      </c>
      <c r="L102" s="561" t="str">
        <f t="shared" si="20"/>
        <v>(含)-</v>
      </c>
      <c r="M102" s="561" t="str">
        <f>M103&amp;"(含)"&amp;"-"&amp;P103</f>
        <v>(含)-</v>
      </c>
      <c r="N102" s="1261"/>
      <c r="O102" s="1261"/>
      <c r="P102" s="2422"/>
      <c r="Q102" s="484"/>
    </row>
    <row r="103" spans="1:17" s="451" customFormat="1">
      <c r="A103" s="576"/>
      <c r="B103" s="577"/>
      <c r="C103" s="578">
        <v>0</v>
      </c>
      <c r="D103" s="578">
        <v>100</v>
      </c>
      <c r="E103" s="578">
        <v>200</v>
      </c>
      <c r="F103" s="578">
        <v>300</v>
      </c>
      <c r="G103" s="578">
        <v>400</v>
      </c>
      <c r="H103" s="578">
        <v>500</v>
      </c>
      <c r="I103" s="578">
        <v>600</v>
      </c>
      <c r="J103" s="579"/>
      <c r="K103" s="579"/>
      <c r="L103" s="580"/>
      <c r="M103" s="581"/>
      <c r="N103" s="1264"/>
      <c r="O103" s="1264"/>
      <c r="P103" s="2423"/>
      <c r="Q103" s="542"/>
    </row>
    <row r="104" spans="1:17" s="451" customFormat="1" ht="15.75" thickBot="1">
      <c r="A104" s="535"/>
      <c r="B104" s="525"/>
      <c r="C104" s="543">
        <v>100</v>
      </c>
      <c r="D104" s="517">
        <v>102</v>
      </c>
      <c r="E104" s="517">
        <v>104</v>
      </c>
      <c r="F104" s="517">
        <v>102</v>
      </c>
      <c r="G104" s="517">
        <v>100</v>
      </c>
      <c r="H104" s="517">
        <v>98</v>
      </c>
      <c r="I104" s="517"/>
      <c r="J104" s="517"/>
      <c r="K104" s="517"/>
      <c r="L104" s="517"/>
      <c r="M104" s="517"/>
      <c r="N104" s="1263"/>
      <c r="O104" s="1263"/>
      <c r="P104" s="2423"/>
      <c r="Q104" s="542"/>
    </row>
    <row r="105" spans="1:17" ht="15" thickTop="1">
      <c r="A105" s="582"/>
      <c r="B105" s="520" t="s">
        <v>2423</v>
      </c>
      <c r="C105" s="2732" t="s">
        <v>2873</v>
      </c>
      <c r="D105" s="2732" t="s">
        <v>2874</v>
      </c>
      <c r="E105" s="2736" t="s">
        <v>2875</v>
      </c>
      <c r="F105" s="566"/>
      <c r="G105" s="566"/>
      <c r="H105" s="566"/>
      <c r="I105" s="566"/>
      <c r="J105" s="566"/>
      <c r="K105" s="567"/>
      <c r="L105" s="568"/>
      <c r="M105" s="569"/>
      <c r="N105" s="1262"/>
      <c r="O105" s="1262"/>
      <c r="P105" s="2422"/>
      <c r="Q105" s="484"/>
    </row>
    <row r="106" spans="1:17" ht="15.75" thickBot="1">
      <c r="A106" s="515"/>
      <c r="B106" s="525"/>
      <c r="C106" s="526">
        <v>100</v>
      </c>
      <c r="D106" s="526">
        <f t="shared" ref="D106:M106" si="21">C106-$K34</f>
        <v>98</v>
      </c>
      <c r="E106" s="526">
        <f t="shared" si="21"/>
        <v>96</v>
      </c>
      <c r="F106" s="526">
        <f t="shared" si="21"/>
        <v>94</v>
      </c>
      <c r="G106" s="526">
        <f t="shared" si="21"/>
        <v>92</v>
      </c>
      <c r="H106" s="526">
        <f t="shared" si="21"/>
        <v>90</v>
      </c>
      <c r="I106" s="526">
        <f t="shared" si="21"/>
        <v>88</v>
      </c>
      <c r="J106" s="526">
        <f t="shared" si="21"/>
        <v>86</v>
      </c>
      <c r="K106" s="526">
        <f t="shared" si="21"/>
        <v>84</v>
      </c>
      <c r="L106" s="526">
        <f t="shared" si="21"/>
        <v>82</v>
      </c>
      <c r="M106" s="526">
        <f t="shared" si="21"/>
        <v>80</v>
      </c>
      <c r="N106" s="1263"/>
      <c r="O106" s="1263"/>
      <c r="P106" s="2422"/>
      <c r="Q106" s="484"/>
    </row>
    <row r="107" spans="1:17" ht="15" thickTop="1">
      <c r="A107" s="582"/>
      <c r="B107" s="520" t="s">
        <v>2424</v>
      </c>
      <c r="C107" s="2736" t="s">
        <v>2876</v>
      </c>
      <c r="D107" s="2736" t="s">
        <v>2877</v>
      </c>
      <c r="E107" s="2736" t="s">
        <v>2878</v>
      </c>
      <c r="F107" s="566"/>
      <c r="G107" s="566"/>
      <c r="H107" s="566"/>
      <c r="I107" s="566"/>
      <c r="J107" s="566"/>
      <c r="K107" s="567"/>
      <c r="L107" s="568"/>
      <c r="M107" s="569"/>
      <c r="N107" s="1262"/>
      <c r="O107" s="1262"/>
      <c r="P107" s="2422"/>
      <c r="Q107" s="484"/>
    </row>
    <row r="108" spans="1:17" ht="15.75" thickBot="1">
      <c r="A108" s="515"/>
      <c r="B108" s="525"/>
      <c r="C108" s="526">
        <v>100</v>
      </c>
      <c r="D108" s="526">
        <f t="shared" ref="D108:M108" si="22">C108-$K35</f>
        <v>98</v>
      </c>
      <c r="E108" s="526">
        <f t="shared" si="22"/>
        <v>96</v>
      </c>
      <c r="F108" s="526">
        <f t="shared" si="22"/>
        <v>94</v>
      </c>
      <c r="G108" s="526">
        <f t="shared" si="22"/>
        <v>92</v>
      </c>
      <c r="H108" s="526">
        <f t="shared" si="22"/>
        <v>90</v>
      </c>
      <c r="I108" s="526">
        <f t="shared" si="22"/>
        <v>88</v>
      </c>
      <c r="J108" s="526">
        <f t="shared" si="22"/>
        <v>86</v>
      </c>
      <c r="K108" s="526">
        <f t="shared" si="22"/>
        <v>84</v>
      </c>
      <c r="L108" s="526">
        <f t="shared" si="22"/>
        <v>82</v>
      </c>
      <c r="M108" s="526">
        <f t="shared" si="22"/>
        <v>80</v>
      </c>
      <c r="N108" s="1263"/>
      <c r="O108" s="1263"/>
      <c r="P108" s="2422"/>
      <c r="Q108" s="484"/>
    </row>
    <row r="109" spans="1:17" ht="15" thickTop="1">
      <c r="A109" s="582"/>
      <c r="B109" s="520" t="s">
        <v>2425</v>
      </c>
      <c r="C109" s="2732" t="s">
        <v>2879</v>
      </c>
      <c r="D109" s="2732" t="s">
        <v>2880</v>
      </c>
      <c r="E109" s="2732" t="s">
        <v>2881</v>
      </c>
      <c r="F109" s="2736" t="s">
        <v>2882</v>
      </c>
      <c r="G109" s="566"/>
      <c r="H109" s="566"/>
      <c r="I109" s="566"/>
      <c r="J109" s="566"/>
      <c r="K109" s="567"/>
      <c r="L109" s="568"/>
      <c r="M109" s="569"/>
      <c r="N109" s="1262"/>
      <c r="O109" s="1262"/>
      <c r="P109" s="2422"/>
      <c r="Q109" s="484"/>
    </row>
    <row r="110" spans="1:17" ht="15.75" thickBot="1">
      <c r="A110" s="515"/>
      <c r="B110" s="525"/>
      <c r="C110" s="526">
        <v>100</v>
      </c>
      <c r="D110" s="526">
        <f t="shared" ref="D110:M110" si="23">C110-$K36</f>
        <v>98</v>
      </c>
      <c r="E110" s="526">
        <f t="shared" si="23"/>
        <v>96</v>
      </c>
      <c r="F110" s="526">
        <f t="shared" si="23"/>
        <v>94</v>
      </c>
      <c r="G110" s="526">
        <f t="shared" si="23"/>
        <v>92</v>
      </c>
      <c r="H110" s="526">
        <f t="shared" si="23"/>
        <v>90</v>
      </c>
      <c r="I110" s="526">
        <f t="shared" si="23"/>
        <v>88</v>
      </c>
      <c r="J110" s="526">
        <f t="shared" si="23"/>
        <v>86</v>
      </c>
      <c r="K110" s="526">
        <f t="shared" si="23"/>
        <v>84</v>
      </c>
      <c r="L110" s="526">
        <f t="shared" si="23"/>
        <v>82</v>
      </c>
      <c r="M110" s="526">
        <f t="shared" si="23"/>
        <v>80</v>
      </c>
      <c r="N110" s="1263"/>
      <c r="O110" s="1263"/>
      <c r="P110" s="2422"/>
      <c r="Q110" s="484"/>
    </row>
    <row r="111" spans="1:17" s="451" customFormat="1" ht="15" thickTop="1">
      <c r="A111" s="576"/>
      <c r="B111" s="520" t="s">
        <v>2426</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23"/>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23"/>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4"/>
      <c r="O113" s="1264"/>
      <c r="P113" s="2423"/>
      <c r="Q113" s="542"/>
    </row>
    <row r="114" spans="1:17" ht="15" thickTop="1">
      <c r="A114" s="582"/>
      <c r="B114" s="520" t="s">
        <v>2427</v>
      </c>
      <c r="C114" s="2732" t="s">
        <v>2883</v>
      </c>
      <c r="D114" s="2732" t="s">
        <v>2884</v>
      </c>
      <c r="E114" s="566"/>
      <c r="F114" s="566"/>
      <c r="G114" s="566"/>
      <c r="H114" s="566"/>
      <c r="I114" s="566"/>
      <c r="J114" s="566"/>
      <c r="K114" s="567"/>
      <c r="L114" s="568"/>
      <c r="M114" s="569"/>
      <c r="N114" s="1262"/>
      <c r="O114" s="1262"/>
      <c r="P114" s="2422"/>
      <c r="Q114" s="484"/>
    </row>
    <row r="115" spans="1:17" ht="15.75" thickBot="1">
      <c r="A115" s="515"/>
      <c r="B115" s="525"/>
      <c r="C115" s="526">
        <v>100</v>
      </c>
      <c r="D115" s="526">
        <f t="shared" ref="D115:M115" si="24">C115-$K38</f>
        <v>98</v>
      </c>
      <c r="E115" s="526">
        <f t="shared" si="24"/>
        <v>96</v>
      </c>
      <c r="F115" s="526">
        <f t="shared" si="24"/>
        <v>94</v>
      </c>
      <c r="G115" s="526">
        <f t="shared" si="24"/>
        <v>92</v>
      </c>
      <c r="H115" s="526">
        <f t="shared" si="24"/>
        <v>90</v>
      </c>
      <c r="I115" s="526">
        <f t="shared" si="24"/>
        <v>88</v>
      </c>
      <c r="J115" s="526">
        <f t="shared" si="24"/>
        <v>86</v>
      </c>
      <c r="K115" s="526">
        <f t="shared" si="24"/>
        <v>84</v>
      </c>
      <c r="L115" s="526">
        <f t="shared" si="24"/>
        <v>82</v>
      </c>
      <c r="M115" s="526">
        <f t="shared" si="24"/>
        <v>80</v>
      </c>
      <c r="N115" s="1263"/>
      <c r="O115" s="1263"/>
      <c r="P115" s="2422"/>
      <c r="Q115" s="484"/>
    </row>
    <row r="116" spans="1:17" ht="15" thickTop="1">
      <c r="A116" s="582"/>
      <c r="B116" s="520" t="s">
        <v>2428</v>
      </c>
      <c r="C116" s="2732" t="s">
        <v>2885</v>
      </c>
      <c r="D116" s="2732" t="s">
        <v>2886</v>
      </c>
      <c r="E116" s="2732" t="s">
        <v>2887</v>
      </c>
      <c r="F116" s="2732" t="s">
        <v>2888</v>
      </c>
      <c r="G116" s="2732" t="s">
        <v>2889</v>
      </c>
      <c r="H116" s="566"/>
      <c r="I116" s="566"/>
      <c r="J116" s="566"/>
      <c r="K116" s="567"/>
      <c r="L116" s="568"/>
      <c r="M116" s="569"/>
      <c r="N116" s="1262"/>
      <c r="O116" s="1262"/>
      <c r="P116" s="2422"/>
      <c r="Q116" s="484"/>
    </row>
    <row r="117" spans="1:17" ht="15.75" thickBot="1">
      <c r="A117" s="515"/>
      <c r="B117" s="525"/>
      <c r="C117" s="526">
        <v>100</v>
      </c>
      <c r="D117" s="526">
        <f>C117-$K39</f>
        <v>98</v>
      </c>
      <c r="E117" s="526">
        <f>D117-$K39</f>
        <v>96</v>
      </c>
      <c r="F117" s="526">
        <f>E117-$K39</f>
        <v>94</v>
      </c>
      <c r="G117" s="526">
        <f>F117-$K39</f>
        <v>92</v>
      </c>
      <c r="H117" s="526"/>
      <c r="I117" s="526"/>
      <c r="J117" s="526"/>
      <c r="K117" s="526"/>
      <c r="L117" s="526"/>
      <c r="M117" s="527"/>
      <c r="N117" s="1263"/>
      <c r="O117" s="1263"/>
      <c r="P117" s="2422"/>
      <c r="Q117" s="484"/>
    </row>
    <row r="118" spans="1:17" ht="15" thickTop="1">
      <c r="A118" s="582"/>
      <c r="B118" s="520" t="s">
        <v>2429</v>
      </c>
      <c r="C118" s="566" t="s">
        <v>2890</v>
      </c>
      <c r="D118" s="2736" t="s">
        <v>2891</v>
      </c>
      <c r="E118" s="566"/>
      <c r="F118" s="566"/>
      <c r="G118" s="566"/>
      <c r="H118" s="566"/>
      <c r="I118" s="566"/>
      <c r="J118" s="566"/>
      <c r="K118" s="567"/>
      <c r="L118" s="568"/>
      <c r="M118" s="569"/>
      <c r="N118" s="1262"/>
      <c r="O118" s="1262"/>
      <c r="P118" s="2422"/>
      <c r="Q118" s="484"/>
    </row>
    <row r="119" spans="1:17" ht="15.75" thickBot="1">
      <c r="A119" s="515"/>
      <c r="B119" s="525"/>
      <c r="C119" s="526">
        <v>100</v>
      </c>
      <c r="D119" s="526">
        <f t="shared" ref="D119:M119" si="25">C119-$K40</f>
        <v>97</v>
      </c>
      <c r="E119" s="526">
        <f t="shared" si="25"/>
        <v>94</v>
      </c>
      <c r="F119" s="526">
        <f t="shared" si="25"/>
        <v>91</v>
      </c>
      <c r="G119" s="526">
        <f t="shared" si="25"/>
        <v>88</v>
      </c>
      <c r="H119" s="526">
        <f t="shared" si="25"/>
        <v>85</v>
      </c>
      <c r="I119" s="526">
        <f t="shared" si="25"/>
        <v>82</v>
      </c>
      <c r="J119" s="526">
        <f t="shared" si="25"/>
        <v>79</v>
      </c>
      <c r="K119" s="526">
        <f t="shared" si="25"/>
        <v>76</v>
      </c>
      <c r="L119" s="526">
        <f t="shared" si="25"/>
        <v>73</v>
      </c>
      <c r="M119" s="526">
        <f t="shared" si="25"/>
        <v>70</v>
      </c>
      <c r="N119" s="1263"/>
      <c r="O119" s="1263"/>
      <c r="P119" s="2422"/>
      <c r="Q119" s="484"/>
    </row>
    <row r="120" spans="1:17" s="451" customFormat="1" ht="28.5" thickTop="1">
      <c r="A120" s="576"/>
      <c r="B120" s="520" t="s">
        <v>2383</v>
      </c>
      <c r="C120" s="536"/>
      <c r="D120" s="536"/>
      <c r="E120" s="536"/>
      <c r="F120" s="536"/>
      <c r="G120" s="536"/>
      <c r="H120" s="536"/>
      <c r="I120" s="536"/>
      <c r="J120" s="536"/>
      <c r="K120" s="536"/>
      <c r="L120" s="563"/>
      <c r="M120" s="564"/>
      <c r="N120" s="1264"/>
      <c r="O120" s="1264"/>
      <c r="P120" s="2423"/>
      <c r="Q120" s="542"/>
    </row>
    <row r="121" spans="1:17" s="451" customFormat="1" ht="15.75" thickBot="1">
      <c r="A121" s="535"/>
      <c r="B121" s="516"/>
      <c r="C121" s="543"/>
      <c r="D121" s="517"/>
      <c r="E121" s="517"/>
      <c r="F121" s="517"/>
      <c r="G121" s="517"/>
      <c r="H121" s="517"/>
      <c r="I121" s="517"/>
      <c r="J121" s="517"/>
      <c r="K121" s="517"/>
      <c r="L121" s="517"/>
      <c r="M121" s="517"/>
      <c r="N121" s="1264"/>
      <c r="O121" s="1264"/>
      <c r="P121" s="2423"/>
      <c r="Q121" s="542"/>
    </row>
    <row r="122" spans="1:17" ht="15" thickTop="1">
      <c r="A122" s="582"/>
      <c r="B122" s="520" t="s">
        <v>2430</v>
      </c>
      <c r="C122" s="2732" t="s">
        <v>2879</v>
      </c>
      <c r="D122" s="2732" t="s">
        <v>2880</v>
      </c>
      <c r="E122" s="2732" t="s">
        <v>2881</v>
      </c>
      <c r="F122" s="2736" t="s">
        <v>2882</v>
      </c>
      <c r="G122" s="566"/>
      <c r="H122" s="566"/>
      <c r="I122" s="566"/>
      <c r="J122" s="566"/>
      <c r="K122" s="567"/>
      <c r="L122" s="568"/>
      <c r="M122" s="569"/>
      <c r="N122" s="1262"/>
      <c r="O122" s="1262"/>
      <c r="P122" s="2422"/>
      <c r="Q122" s="484"/>
    </row>
    <row r="123" spans="1:17" ht="15.75" thickBot="1">
      <c r="A123" s="515"/>
      <c r="B123" s="525"/>
      <c r="C123" s="526">
        <v>100</v>
      </c>
      <c r="D123" s="526">
        <f t="shared" ref="D123:M123" si="26">C123-$K42</f>
        <v>98</v>
      </c>
      <c r="E123" s="526">
        <f t="shared" si="26"/>
        <v>96</v>
      </c>
      <c r="F123" s="526">
        <f t="shared" si="26"/>
        <v>94</v>
      </c>
      <c r="G123" s="526">
        <f t="shared" si="26"/>
        <v>92</v>
      </c>
      <c r="H123" s="526">
        <f t="shared" si="26"/>
        <v>90</v>
      </c>
      <c r="I123" s="526">
        <f t="shared" si="26"/>
        <v>88</v>
      </c>
      <c r="J123" s="526">
        <f t="shared" si="26"/>
        <v>86</v>
      </c>
      <c r="K123" s="526">
        <f t="shared" si="26"/>
        <v>84</v>
      </c>
      <c r="L123" s="526">
        <f t="shared" si="26"/>
        <v>82</v>
      </c>
      <c r="M123" s="526">
        <f t="shared" si="26"/>
        <v>80</v>
      </c>
      <c r="N123" s="1263"/>
      <c r="O123" s="1263"/>
      <c r="P123" s="2422"/>
      <c r="Q123" s="484"/>
    </row>
    <row r="124" spans="1:17" ht="15" thickTop="1">
      <c r="A124" s="582"/>
      <c r="B124" s="520" t="s">
        <v>2431</v>
      </c>
      <c r="C124" s="561" t="s">
        <v>2406</v>
      </c>
      <c r="D124" s="561" t="s">
        <v>2407</v>
      </c>
      <c r="E124" s="561" t="s">
        <v>2408</v>
      </c>
      <c r="F124" s="561" t="s">
        <v>2409</v>
      </c>
      <c r="G124" s="561" t="s">
        <v>2410</v>
      </c>
      <c r="H124" s="521"/>
      <c r="I124" s="521"/>
      <c r="J124" s="521"/>
      <c r="K124" s="522"/>
      <c r="L124" s="523"/>
      <c r="M124" s="524"/>
      <c r="N124" s="1262"/>
      <c r="O124" s="1262"/>
      <c r="P124" s="2423"/>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3"/>
      <c r="O125" s="1263"/>
      <c r="P125" s="2422"/>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23"/>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23"/>
      <c r="Q127" s="542"/>
    </row>
    <row r="128" spans="1:17" ht="15" thickTop="1">
      <c r="A128" s="582"/>
      <c r="B128" s="520">
        <f>B45</f>
        <v>111</v>
      </c>
      <c r="C128" s="536"/>
      <c r="D128" s="536"/>
      <c r="E128" s="536"/>
      <c r="F128" s="536"/>
      <c r="G128" s="566"/>
      <c r="H128" s="566"/>
      <c r="I128" s="566"/>
      <c r="J128" s="566"/>
      <c r="K128" s="567"/>
      <c r="L128" s="568"/>
      <c r="M128" s="569"/>
      <c r="N128" s="1262"/>
      <c r="O128" s="1262"/>
      <c r="P128" s="2422"/>
      <c r="Q128" s="484"/>
    </row>
    <row r="129" spans="1:17" ht="15.75" thickBot="1">
      <c r="A129" s="515"/>
      <c r="B129" s="525"/>
      <c r="C129" s="543"/>
      <c r="D129" s="543"/>
      <c r="E129" s="543"/>
      <c r="F129" s="543"/>
      <c r="G129" s="517"/>
      <c r="H129" s="517"/>
      <c r="I129" s="517"/>
      <c r="J129" s="517"/>
      <c r="K129" s="517"/>
      <c r="L129" s="517"/>
      <c r="M129" s="518"/>
      <c r="N129" s="1263"/>
      <c r="O129" s="1263"/>
      <c r="P129" s="2422"/>
      <c r="Q129" s="484"/>
    </row>
    <row r="130" spans="1:17" ht="15" thickTop="1">
      <c r="A130" s="582"/>
      <c r="B130" s="528">
        <f>B46</f>
        <v>111</v>
      </c>
      <c r="C130" s="536"/>
      <c r="D130" s="536"/>
      <c r="E130" s="536"/>
      <c r="F130" s="536"/>
      <c r="G130" s="570"/>
      <c r="H130" s="570"/>
      <c r="I130" s="570"/>
      <c r="J130" s="570"/>
      <c r="K130" s="503"/>
      <c r="L130" s="504"/>
      <c r="M130" s="573"/>
      <c r="N130" s="1262"/>
      <c r="O130" s="1262"/>
      <c r="P130" s="2422"/>
      <c r="Q130" s="484"/>
    </row>
    <row r="131" spans="1:17" ht="15.75" thickBot="1">
      <c r="A131" s="2428"/>
      <c r="B131" s="552"/>
      <c r="C131" s="553"/>
      <c r="D131" s="553"/>
      <c r="E131" s="553"/>
      <c r="F131" s="553"/>
      <c r="G131" s="574"/>
      <c r="H131" s="574"/>
      <c r="I131" s="574"/>
      <c r="J131" s="574"/>
      <c r="K131" s="574"/>
      <c r="L131" s="574"/>
      <c r="M131" s="575"/>
      <c r="N131" s="1263"/>
      <c r="O131" s="1263"/>
      <c r="P131" s="2422"/>
      <c r="Q131" s="484"/>
    </row>
    <row r="136" spans="1:17" ht="15" thickBot="1">
      <c r="B136" s="2429" t="s">
        <v>2432</v>
      </c>
    </row>
    <row r="137" spans="1:17" ht="15">
      <c r="B137" s="2430" t="s">
        <v>2433</v>
      </c>
      <c r="C137" s="2431"/>
      <c r="D137" s="2431"/>
      <c r="E137" s="2431"/>
      <c r="F137" s="2431"/>
      <c r="G137" s="2432"/>
      <c r="H137" s="2433"/>
      <c r="I137" s="2434" t="s">
        <v>2434</v>
      </c>
      <c r="J137" s="2431"/>
      <c r="K137" s="2435"/>
    </row>
    <row r="138" spans="1:17" ht="15">
      <c r="B138" s="2436"/>
      <c r="C138" s="61" t="s">
        <v>2435</v>
      </c>
      <c r="D138" s="61" t="s">
        <v>2436</v>
      </c>
      <c r="E138" s="2437" t="s">
        <v>2437</v>
      </c>
      <c r="F138" s="2438" t="s">
        <v>2438</v>
      </c>
      <c r="G138" s="61" t="s">
        <v>2436</v>
      </c>
      <c r="H138" s="62" t="s">
        <v>2437</v>
      </c>
      <c r="I138" s="2439"/>
      <c r="J138" s="61" t="s">
        <v>2439</v>
      </c>
      <c r="K138" s="62" t="s">
        <v>2440</v>
      </c>
    </row>
    <row r="139" spans="1:17" ht="15">
      <c r="B139" s="1120">
        <v>6</v>
      </c>
      <c r="C139" s="1128">
        <v>96</v>
      </c>
      <c r="D139" s="2440" t="s">
        <v>2441</v>
      </c>
      <c r="E139" s="1129">
        <v>100</v>
      </c>
      <c r="F139" s="1130">
        <v>102.5</v>
      </c>
      <c r="G139" s="2440" t="s">
        <v>2441</v>
      </c>
      <c r="H139" s="1131">
        <v>105</v>
      </c>
      <c r="I139" s="2441" t="s">
        <v>2442</v>
      </c>
      <c r="J139" s="1128">
        <v>20</v>
      </c>
      <c r="K139" s="1122">
        <f>C145/(J139-2)</f>
        <v>4.0555555555555553E-3</v>
      </c>
    </row>
    <row r="140" spans="1:17" ht="15">
      <c r="B140" s="1121">
        <v>5</v>
      </c>
      <c r="C140" s="1132">
        <v>100</v>
      </c>
      <c r="D140" s="1132"/>
      <c r="E140" s="1133"/>
      <c r="F140" s="1134">
        <v>102</v>
      </c>
      <c r="G140" s="1132"/>
      <c r="H140" s="1135"/>
      <c r="I140" s="2442" t="s">
        <v>2443</v>
      </c>
      <c r="J140" s="216">
        <f>ROUNDUP((J139-1)/2,0)</f>
        <v>10</v>
      </c>
      <c r="K140" s="1123">
        <v>100</v>
      </c>
    </row>
    <row r="141" spans="1:17" ht="15">
      <c r="B141" s="1121">
        <v>4</v>
      </c>
      <c r="C141" s="1132">
        <v>102</v>
      </c>
      <c r="D141" s="1132"/>
      <c r="E141" s="1133"/>
      <c r="F141" s="1134">
        <v>101.5</v>
      </c>
      <c r="G141" s="1132"/>
      <c r="H141" s="1135"/>
      <c r="I141" s="2442" t="s">
        <v>2444</v>
      </c>
      <c r="J141" s="216">
        <v>1</v>
      </c>
      <c r="K141" s="1124">
        <f>ROUND(100+(J141-J140)*K139*100,1)</f>
        <v>96.4</v>
      </c>
    </row>
    <row r="142" spans="1:17" ht="15">
      <c r="B142" s="1121">
        <v>3</v>
      </c>
      <c r="C142" s="1132">
        <v>103</v>
      </c>
      <c r="D142" s="1132"/>
      <c r="E142" s="1133"/>
      <c r="F142" s="1134">
        <v>101</v>
      </c>
      <c r="G142" s="1132"/>
      <c r="H142" s="1135"/>
      <c r="I142" s="2442" t="s">
        <v>2445</v>
      </c>
      <c r="J142" s="216">
        <f>J139</f>
        <v>20</v>
      </c>
      <c r="K142" s="1137">
        <v>95</v>
      </c>
    </row>
    <row r="143" spans="1:17" ht="15">
      <c r="B143" s="1121">
        <v>2</v>
      </c>
      <c r="C143" s="1132">
        <v>100</v>
      </c>
      <c r="D143" s="1132"/>
      <c r="E143" s="1133"/>
      <c r="F143" s="1134">
        <v>100.5</v>
      </c>
      <c r="G143" s="1132"/>
      <c r="H143" s="1135"/>
      <c r="I143" s="2442" t="s">
        <v>2446</v>
      </c>
      <c r="J143" s="1132">
        <v>15</v>
      </c>
      <c r="K143" s="1124">
        <f>ROUND(100+(J143-J140)*K139*100,1)</f>
        <v>102</v>
      </c>
    </row>
    <row r="144" spans="1:17" ht="15">
      <c r="B144" s="1121">
        <v>1</v>
      </c>
      <c r="C144" s="1132">
        <v>98</v>
      </c>
      <c r="D144" s="2443" t="s">
        <v>2447</v>
      </c>
      <c r="E144" s="1133">
        <v>102</v>
      </c>
      <c r="F144" s="1136">
        <v>100</v>
      </c>
      <c r="G144" s="2443" t="s">
        <v>2447</v>
      </c>
      <c r="H144" s="1135">
        <v>105</v>
      </c>
      <c r="I144" s="2442" t="s">
        <v>2446</v>
      </c>
      <c r="J144" s="1132">
        <v>18</v>
      </c>
      <c r="K144" s="1124">
        <f>ROUND(100+(J144-J140)*K139*100,1)</f>
        <v>103.2</v>
      </c>
    </row>
    <row r="145" spans="2:11" ht="15.75" thickBot="1">
      <c r="B145" s="2444" t="s">
        <v>2448</v>
      </c>
      <c r="C145" s="1126">
        <f>ROUND(MAX(C139:C144)/MIN(C139:C144)-1,3)</f>
        <v>7.2999999999999995E-2</v>
      </c>
      <c r="D145" s="1127"/>
      <c r="E145" s="1127"/>
      <c r="F145" s="2445" t="s">
        <v>2449</v>
      </c>
      <c r="G145" s="2446"/>
      <c r="H145" s="2447"/>
      <c r="I145" s="2448" t="s">
        <v>2446</v>
      </c>
      <c r="J145" s="1138">
        <v>8</v>
      </c>
      <c r="K145" s="1125">
        <f>ROUND(100+(J145-J140)*K139*100,1)</f>
        <v>99.2</v>
      </c>
    </row>
    <row r="147" spans="2:11">
      <c r="B147" s="2429" t="s">
        <v>2450</v>
      </c>
    </row>
    <row r="148" spans="2:11">
      <c r="B148" s="2429"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K26" sqref="K26"/>
    </sheetView>
  </sheetViews>
  <sheetFormatPr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0"/>
    <col min="23" max="23" width="9" style="796"/>
    <col min="24" max="25" width="9" style="1310"/>
    <col min="26" max="44" width="9" style="796"/>
    <col min="45" max="16384" width="9" style="54"/>
  </cols>
  <sheetData>
    <row r="1" spans="1:44" ht="20.25">
      <c r="A1" s="372" t="s">
        <v>2305</v>
      </c>
      <c r="B1" s="1139"/>
      <c r="C1" s="83"/>
      <c r="D1" s="83"/>
      <c r="E1" s="83"/>
      <c r="F1" s="83"/>
      <c r="G1" s="83"/>
      <c r="H1" s="83"/>
      <c r="I1" s="83"/>
      <c r="J1" s="83"/>
      <c r="K1" s="83"/>
      <c r="L1" s="83"/>
      <c r="M1" s="83"/>
      <c r="N1" s="83"/>
      <c r="O1" s="83"/>
      <c r="P1" s="83"/>
      <c r="Q1" s="83"/>
      <c r="R1" s="767"/>
      <c r="S1" s="53"/>
      <c r="T1" s="53"/>
      <c r="U1" s="1307"/>
      <c r="V1" s="1307"/>
      <c r="X1" s="1307"/>
      <c r="Y1" s="1307"/>
    </row>
    <row r="2" spans="1:44" ht="15.75">
      <c r="A2" s="164" t="s">
        <v>2306</v>
      </c>
      <c r="B2" s="333">
        <f>B23</f>
        <v>0</v>
      </c>
      <c r="C2" s="1178" t="str">
        <f>C23</f>
        <v>元</v>
      </c>
      <c r="D2" s="83"/>
      <c r="E2" s="83"/>
      <c r="F2" s="83"/>
      <c r="G2" s="83"/>
      <c r="H2" s="83"/>
      <c r="I2" s="83"/>
      <c r="J2" s="83"/>
      <c r="K2" s="83"/>
      <c r="L2" s="83"/>
      <c r="M2" s="83"/>
      <c r="N2" s="83"/>
      <c r="O2" s="83"/>
      <c r="P2" s="83"/>
      <c r="Q2" s="83"/>
      <c r="R2" s="767"/>
      <c r="S2" s="53"/>
      <c r="T2" s="53"/>
      <c r="U2" s="1307"/>
      <c r="V2" s="1307"/>
      <c r="X2" s="1307"/>
      <c r="Y2" s="1307"/>
    </row>
    <row r="3" spans="1:44" ht="15.75">
      <c r="A3" s="166" t="s">
        <v>2307</v>
      </c>
      <c r="B3" s="333">
        <f>B24</f>
        <v>0</v>
      </c>
      <c r="C3" s="1178" t="s">
        <v>2308</v>
      </c>
      <c r="D3" s="83"/>
      <c r="E3" s="83"/>
      <c r="F3" s="83"/>
      <c r="G3" s="83"/>
      <c r="H3" s="83"/>
      <c r="I3" s="83"/>
      <c r="J3" s="83"/>
      <c r="K3" s="83"/>
      <c r="L3" s="83"/>
      <c r="M3" s="83"/>
      <c r="N3" s="83"/>
      <c r="O3" s="83"/>
      <c r="P3" s="83"/>
      <c r="Q3" s="83"/>
      <c r="R3" s="767"/>
      <c r="S3" s="53"/>
      <c r="T3" s="53"/>
      <c r="U3" s="1307"/>
      <c r="V3" s="1307"/>
      <c r="X3" s="1307"/>
      <c r="Y3" s="1307"/>
    </row>
    <row r="4" spans="1:44" ht="14.25" customHeight="1" thickBot="1">
      <c r="A4" s="69"/>
      <c r="B4" s="677" t="s">
        <v>2309</v>
      </c>
      <c r="C4" s="3041" t="s">
        <v>2310</v>
      </c>
      <c r="D4" s="3042"/>
      <c r="E4" s="3042"/>
      <c r="F4" s="3042"/>
      <c r="G4" s="3042"/>
      <c r="H4" s="3042"/>
      <c r="I4" s="3042"/>
      <c r="J4" s="3042"/>
      <c r="K4" s="3042"/>
      <c r="L4" s="3042"/>
      <c r="M4" s="3042"/>
      <c r="N4" s="3042"/>
      <c r="O4" s="3042"/>
      <c r="P4" s="3042"/>
      <c r="Q4" s="3042"/>
      <c r="R4" s="3042"/>
      <c r="S4" s="3043"/>
      <c r="T4" s="677" t="s">
        <v>2311</v>
      </c>
      <c r="U4" s="1307"/>
      <c r="V4" s="1307"/>
      <c r="X4" s="1307"/>
      <c r="Y4" s="1307"/>
    </row>
    <row r="5" spans="1:44" s="691" customFormat="1">
      <c r="A5" s="1317"/>
      <c r="B5" s="686" t="s">
        <v>2312</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R5" si="1">M6&amp;"(含)"&amp;"-"&amp;N6</f>
        <v>(含)-</v>
      </c>
      <c r="N5" s="688" t="str">
        <f t="shared" si="1"/>
        <v>(含)-</v>
      </c>
      <c r="O5" s="688" t="str">
        <f t="shared" si="1"/>
        <v>(含)-</v>
      </c>
      <c r="P5" s="688" t="str">
        <f t="shared" si="1"/>
        <v>(含)-</v>
      </c>
      <c r="Q5" s="688" t="str">
        <f t="shared" si="1"/>
        <v>(含)-</v>
      </c>
      <c r="R5" s="688" t="str">
        <f t="shared" si="1"/>
        <v>(含)-</v>
      </c>
      <c r="S5" s="1193" t="str">
        <f>S6&amp;"(含)"&amp;"-"</f>
        <v>(含)-</v>
      </c>
      <c r="T5" s="690"/>
      <c r="U5" s="1308"/>
      <c r="V5" s="1308"/>
      <c r="W5" s="797"/>
      <c r="X5" s="1308"/>
      <c r="Y5" s="1308"/>
      <c r="Z5" s="797"/>
      <c r="AA5" s="797"/>
      <c r="AB5" s="797"/>
      <c r="AC5" s="797"/>
      <c r="AD5" s="797"/>
      <c r="AE5" s="797"/>
      <c r="AF5" s="797"/>
      <c r="AG5" s="797"/>
      <c r="AH5" s="797"/>
      <c r="AI5" s="797"/>
      <c r="AJ5" s="797"/>
      <c r="AK5" s="797"/>
      <c r="AL5" s="797"/>
      <c r="AM5" s="797"/>
      <c r="AN5" s="797"/>
      <c r="AO5" s="797"/>
      <c r="AP5" s="797"/>
      <c r="AQ5" s="797"/>
      <c r="AR5" s="797"/>
    </row>
    <row r="6" spans="1:44" s="698" customFormat="1">
      <c r="A6" s="1318"/>
      <c r="B6" s="692"/>
      <c r="C6" s="693"/>
      <c r="D6" s="694"/>
      <c r="E6" s="694"/>
      <c r="F6" s="694"/>
      <c r="G6" s="694"/>
      <c r="H6" s="694"/>
      <c r="I6" s="694"/>
      <c r="J6" s="695"/>
      <c r="K6" s="695"/>
      <c r="L6" s="696"/>
      <c r="M6" s="1141"/>
      <c r="N6" s="1143"/>
      <c r="O6" s="694"/>
      <c r="P6" s="694"/>
      <c r="Q6" s="694"/>
      <c r="R6" s="694"/>
      <c r="S6" s="1194"/>
      <c r="T6" s="697"/>
      <c r="U6" s="1308"/>
      <c r="V6" s="1308"/>
      <c r="W6" s="798"/>
      <c r="X6" s="1308"/>
      <c r="Y6" s="1308"/>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9"/>
      <c r="B7" s="1158"/>
      <c r="C7" s="1159"/>
      <c r="D7" s="1160"/>
      <c r="E7" s="1160"/>
      <c r="F7" s="1160"/>
      <c r="G7" s="1160"/>
      <c r="H7" s="1160"/>
      <c r="I7" s="1160"/>
      <c r="J7" s="1160"/>
      <c r="K7" s="1160"/>
      <c r="L7" s="1160"/>
      <c r="M7" s="1161"/>
      <c r="N7" s="1162"/>
      <c r="O7" s="1160"/>
      <c r="P7" s="1160"/>
      <c r="Q7" s="1160"/>
      <c r="R7" s="1160"/>
      <c r="S7" s="1195"/>
      <c r="T7" s="700"/>
      <c r="U7" s="1308"/>
      <c r="V7" s="1308"/>
      <c r="W7" s="798"/>
      <c r="X7" s="1308"/>
      <c r="Y7" s="1308"/>
      <c r="Z7" s="798"/>
      <c r="AA7" s="798"/>
      <c r="AB7" s="798"/>
      <c r="AC7" s="798"/>
      <c r="AD7" s="798"/>
      <c r="AE7" s="798"/>
      <c r="AF7" s="798"/>
      <c r="AG7" s="798"/>
      <c r="AH7" s="798"/>
      <c r="AI7" s="798"/>
      <c r="AJ7" s="798"/>
      <c r="AK7" s="798"/>
      <c r="AL7" s="798"/>
      <c r="AM7" s="798"/>
      <c r="AN7" s="798"/>
      <c r="AO7" s="798"/>
      <c r="AP7" s="798"/>
      <c r="AQ7" s="798"/>
      <c r="AR7" s="798"/>
    </row>
    <row r="8" spans="1:44" s="36" customFormat="1">
      <c r="A8" s="1320"/>
      <c r="B8" s="1171" t="s">
        <v>2313</v>
      </c>
      <c r="C8" s="1163"/>
      <c r="D8" s="1164"/>
      <c r="E8" s="1164"/>
      <c r="F8" s="1164"/>
      <c r="G8" s="1164"/>
      <c r="H8" s="1164"/>
      <c r="I8" s="1164"/>
      <c r="J8" s="1164"/>
      <c r="K8" s="1164"/>
      <c r="L8" s="1165"/>
      <c r="M8" s="1166"/>
      <c r="N8" s="1166"/>
      <c r="O8" s="1164"/>
      <c r="P8" s="1164"/>
      <c r="Q8" s="1164"/>
      <c r="R8" s="1164"/>
      <c r="S8" s="1196"/>
      <c r="T8" s="1167"/>
      <c r="U8" s="1308"/>
      <c r="V8" s="1308"/>
      <c r="W8" s="799"/>
      <c r="X8" s="1308"/>
      <c r="Y8" s="1308"/>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0"/>
      <c r="B9" s="1153"/>
      <c r="C9" s="1154">
        <v>100</v>
      </c>
      <c r="D9" s="1155">
        <f t="shared" ref="D9:S9" si="2">C9-$T$8</f>
        <v>100</v>
      </c>
      <c r="E9" s="1155">
        <f t="shared" si="2"/>
        <v>100</v>
      </c>
      <c r="F9" s="1155">
        <f t="shared" si="2"/>
        <v>100</v>
      </c>
      <c r="G9" s="1155">
        <f t="shared" si="2"/>
        <v>100</v>
      </c>
      <c r="H9" s="1155">
        <f t="shared" si="2"/>
        <v>100</v>
      </c>
      <c r="I9" s="1155">
        <f t="shared" si="2"/>
        <v>100</v>
      </c>
      <c r="J9" s="1155">
        <f t="shared" si="2"/>
        <v>100</v>
      </c>
      <c r="K9" s="1155">
        <f t="shared" si="2"/>
        <v>100</v>
      </c>
      <c r="L9" s="1155">
        <f t="shared" si="2"/>
        <v>100</v>
      </c>
      <c r="M9" s="1156">
        <f t="shared" si="2"/>
        <v>100</v>
      </c>
      <c r="N9" s="1156">
        <f t="shared" si="2"/>
        <v>100</v>
      </c>
      <c r="O9" s="1155">
        <f t="shared" si="2"/>
        <v>100</v>
      </c>
      <c r="P9" s="1155">
        <f t="shared" si="2"/>
        <v>100</v>
      </c>
      <c r="Q9" s="1155">
        <f t="shared" si="2"/>
        <v>100</v>
      </c>
      <c r="R9" s="1155">
        <f t="shared" si="2"/>
        <v>100</v>
      </c>
      <c r="S9" s="1197">
        <f t="shared" si="2"/>
        <v>100</v>
      </c>
      <c r="T9" s="1157"/>
      <c r="U9" s="1308"/>
      <c r="V9" s="1308"/>
      <c r="W9" s="799"/>
      <c r="X9" s="1308"/>
      <c r="Y9" s="1308"/>
      <c r="Z9" s="799"/>
      <c r="AA9" s="799"/>
      <c r="AB9" s="799"/>
      <c r="AC9" s="799"/>
      <c r="AD9" s="799"/>
      <c r="AE9" s="799"/>
      <c r="AF9" s="799"/>
      <c r="AG9" s="799"/>
      <c r="AH9" s="799"/>
      <c r="AI9" s="799"/>
      <c r="AJ9" s="799"/>
      <c r="AK9" s="799"/>
      <c r="AL9" s="799"/>
      <c r="AM9" s="799"/>
      <c r="AN9" s="799"/>
      <c r="AO9" s="799"/>
      <c r="AP9" s="799"/>
      <c r="AQ9" s="799"/>
      <c r="AR9" s="799"/>
    </row>
    <row r="10" spans="1:44" s="36" customFormat="1">
      <c r="A10" s="1320"/>
      <c r="B10" s="1152" t="s">
        <v>2314</v>
      </c>
      <c r="C10" s="1148"/>
      <c r="D10" s="1149"/>
      <c r="E10" s="1149"/>
      <c r="F10" s="1149"/>
      <c r="G10" s="1149"/>
      <c r="H10" s="1149"/>
      <c r="I10" s="1149"/>
      <c r="J10" s="1149"/>
      <c r="K10" s="1149"/>
      <c r="L10" s="1149"/>
      <c r="M10" s="1151"/>
      <c r="N10" s="1142"/>
      <c r="O10" s="1144"/>
      <c r="P10" s="1145"/>
      <c r="Q10" s="1146"/>
      <c r="R10" s="1147"/>
      <c r="S10" s="1198"/>
      <c r="T10" s="699"/>
      <c r="U10" s="1308"/>
      <c r="V10" s="1308"/>
      <c r="W10" s="799"/>
      <c r="X10" s="1308"/>
      <c r="Y10" s="1308"/>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0"/>
      <c r="B11" s="1153"/>
      <c r="C11" s="1154">
        <v>100</v>
      </c>
      <c r="D11" s="1155">
        <f t="shared" ref="D11:M11" si="3">C11-$T$10</f>
        <v>100</v>
      </c>
      <c r="E11" s="1155">
        <f t="shared" si="3"/>
        <v>100</v>
      </c>
      <c r="F11" s="1155">
        <f t="shared" si="3"/>
        <v>100</v>
      </c>
      <c r="G11" s="1155">
        <f t="shared" si="3"/>
        <v>100</v>
      </c>
      <c r="H11" s="1155">
        <f t="shared" si="3"/>
        <v>100</v>
      </c>
      <c r="I11" s="1155">
        <f t="shared" si="3"/>
        <v>100</v>
      </c>
      <c r="J11" s="1155">
        <f t="shared" si="3"/>
        <v>100</v>
      </c>
      <c r="K11" s="1155">
        <f t="shared" si="3"/>
        <v>100</v>
      </c>
      <c r="L11" s="1155">
        <f t="shared" si="3"/>
        <v>100</v>
      </c>
      <c r="M11" s="1156">
        <f t="shared" si="3"/>
        <v>100</v>
      </c>
      <c r="N11" s="1156">
        <f t="shared" ref="N11:S11" si="4">M11-$T$10</f>
        <v>100</v>
      </c>
      <c r="O11" s="1155">
        <f t="shared" si="4"/>
        <v>100</v>
      </c>
      <c r="P11" s="1155">
        <f t="shared" si="4"/>
        <v>100</v>
      </c>
      <c r="Q11" s="1155">
        <f t="shared" si="4"/>
        <v>100</v>
      </c>
      <c r="R11" s="1155">
        <f t="shared" si="4"/>
        <v>100</v>
      </c>
      <c r="S11" s="1197">
        <f t="shared" si="4"/>
        <v>100</v>
      </c>
      <c r="T11" s="1157"/>
      <c r="U11" s="1308"/>
      <c r="V11" s="1308"/>
      <c r="W11" s="799"/>
      <c r="X11" s="1308"/>
      <c r="Y11" s="1308"/>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0"/>
      <c r="B12" s="1152" t="s">
        <v>2315</v>
      </c>
      <c r="C12" s="1148"/>
      <c r="D12" s="1149"/>
      <c r="E12" s="1149"/>
      <c r="F12" s="1149"/>
      <c r="G12" s="1149"/>
      <c r="H12" s="1149"/>
      <c r="I12" s="1149"/>
      <c r="J12" s="1149"/>
      <c r="K12" s="1149"/>
      <c r="L12" s="1150"/>
      <c r="M12" s="1151"/>
      <c r="N12" s="1142"/>
      <c r="O12" s="1144"/>
      <c r="P12" s="1145"/>
      <c r="Q12" s="1146"/>
      <c r="R12" s="1147"/>
      <c r="S12" s="1198"/>
      <c r="T12" s="699"/>
      <c r="U12" s="1308"/>
      <c r="V12" s="1308"/>
      <c r="W12" s="799"/>
      <c r="X12" s="1308"/>
      <c r="Y12" s="1308"/>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0"/>
      <c r="B13" s="1158"/>
      <c r="C13" s="1168">
        <v>100</v>
      </c>
      <c r="D13" s="1169">
        <f t="shared" ref="D13:M13" si="5">C13-$T$12</f>
        <v>100</v>
      </c>
      <c r="E13" s="1169">
        <f t="shared" si="5"/>
        <v>100</v>
      </c>
      <c r="F13" s="1169">
        <f t="shared" si="5"/>
        <v>100</v>
      </c>
      <c r="G13" s="1169">
        <f t="shared" si="5"/>
        <v>100</v>
      </c>
      <c r="H13" s="1169">
        <f t="shared" si="5"/>
        <v>100</v>
      </c>
      <c r="I13" s="1169">
        <f t="shared" si="5"/>
        <v>100</v>
      </c>
      <c r="J13" s="1169">
        <f t="shared" si="5"/>
        <v>100</v>
      </c>
      <c r="K13" s="1169">
        <f t="shared" si="5"/>
        <v>100</v>
      </c>
      <c r="L13" s="1169">
        <f t="shared" si="5"/>
        <v>100</v>
      </c>
      <c r="M13" s="1170">
        <f t="shared" si="5"/>
        <v>100</v>
      </c>
      <c r="N13" s="1170">
        <f t="shared" ref="N13:S13" si="6">M13-$T$12</f>
        <v>100</v>
      </c>
      <c r="O13" s="1169">
        <f t="shared" si="6"/>
        <v>100</v>
      </c>
      <c r="P13" s="1169">
        <f t="shared" si="6"/>
        <v>100</v>
      </c>
      <c r="Q13" s="1169">
        <f t="shared" si="6"/>
        <v>100</v>
      </c>
      <c r="R13" s="1169">
        <f t="shared" si="6"/>
        <v>100</v>
      </c>
      <c r="S13" s="1199">
        <f t="shared" si="6"/>
        <v>100</v>
      </c>
      <c r="T13" s="700"/>
      <c r="U13" s="1308"/>
      <c r="V13" s="1308"/>
      <c r="W13" s="799"/>
      <c r="X13" s="1308"/>
      <c r="Y13" s="1308"/>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0"/>
      <c r="B14" s="1171" t="s">
        <v>2316</v>
      </c>
      <c r="C14" s="1163"/>
      <c r="D14" s="1164"/>
      <c r="E14" s="1164"/>
      <c r="F14" s="1164"/>
      <c r="G14" s="1164"/>
      <c r="H14" s="1164"/>
      <c r="I14" s="1164"/>
      <c r="J14" s="1164"/>
      <c r="K14" s="1164"/>
      <c r="L14" s="1164"/>
      <c r="M14" s="1166"/>
      <c r="N14" s="1172"/>
      <c r="O14" s="1173"/>
      <c r="P14" s="1174"/>
      <c r="Q14" s="1175"/>
      <c r="R14" s="1176"/>
      <c r="S14" s="1200"/>
      <c r="T14" s="1167"/>
      <c r="U14" s="1308"/>
      <c r="V14" s="1308"/>
      <c r="W14" s="799"/>
      <c r="X14" s="1308"/>
      <c r="Y14" s="1308"/>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0"/>
      <c r="B15" s="1153"/>
      <c r="C15" s="1154">
        <v>100</v>
      </c>
      <c r="D15" s="1155">
        <f t="shared" ref="D15:M15" si="7">C15-$T$14</f>
        <v>100</v>
      </c>
      <c r="E15" s="1155">
        <f t="shared" si="7"/>
        <v>100</v>
      </c>
      <c r="F15" s="1155">
        <f t="shared" si="7"/>
        <v>100</v>
      </c>
      <c r="G15" s="1155">
        <f t="shared" si="7"/>
        <v>100</v>
      </c>
      <c r="H15" s="1155">
        <f t="shared" si="7"/>
        <v>100</v>
      </c>
      <c r="I15" s="1155">
        <f t="shared" si="7"/>
        <v>100</v>
      </c>
      <c r="J15" s="1155">
        <f t="shared" si="7"/>
        <v>100</v>
      </c>
      <c r="K15" s="1155">
        <f t="shared" si="7"/>
        <v>100</v>
      </c>
      <c r="L15" s="1155">
        <f t="shared" si="7"/>
        <v>100</v>
      </c>
      <c r="M15" s="1156">
        <f t="shared" si="7"/>
        <v>100</v>
      </c>
      <c r="N15" s="1156">
        <f t="shared" ref="N15:S15" si="8">M15-$T$14</f>
        <v>100</v>
      </c>
      <c r="O15" s="1155">
        <f t="shared" si="8"/>
        <v>100</v>
      </c>
      <c r="P15" s="1155">
        <f t="shared" si="8"/>
        <v>100</v>
      </c>
      <c r="Q15" s="1155">
        <f t="shared" si="8"/>
        <v>100</v>
      </c>
      <c r="R15" s="1155">
        <f t="shared" si="8"/>
        <v>100</v>
      </c>
      <c r="S15" s="1197">
        <f t="shared" si="8"/>
        <v>100</v>
      </c>
      <c r="T15" s="1157"/>
      <c r="U15" s="1308"/>
      <c r="V15" s="1308"/>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0"/>
      <c r="B16" s="1171" t="s">
        <v>2317</v>
      </c>
      <c r="C16" s="1163"/>
      <c r="D16" s="1164"/>
      <c r="E16" s="1164"/>
      <c r="F16" s="1164"/>
      <c r="G16" s="1164"/>
      <c r="H16" s="1164"/>
      <c r="I16" s="1164"/>
      <c r="J16" s="1164"/>
      <c r="K16" s="1164"/>
      <c r="L16" s="1164"/>
      <c r="M16" s="1166"/>
      <c r="N16" s="1172"/>
      <c r="O16" s="1173"/>
      <c r="P16" s="1174"/>
      <c r="Q16" s="1175"/>
      <c r="R16" s="1176"/>
      <c r="S16" s="1200"/>
      <c r="T16" s="1192"/>
      <c r="U16" s="1308"/>
      <c r="V16" s="1308"/>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0"/>
      <c r="B18" s="1171" t="s">
        <v>2318</v>
      </c>
      <c r="C18" s="1163"/>
      <c r="D18" s="1164"/>
      <c r="E18" s="1164"/>
      <c r="F18" s="1164"/>
      <c r="G18" s="1164"/>
      <c r="H18" s="1164"/>
      <c r="I18" s="1164"/>
      <c r="J18" s="1164"/>
      <c r="K18" s="1164"/>
      <c r="L18" s="1164"/>
      <c r="M18" s="1166"/>
      <c r="N18" s="1172"/>
      <c r="O18" s="1173"/>
      <c r="P18" s="1174"/>
      <c r="Q18" s="1175"/>
      <c r="R18" s="1176"/>
      <c r="S18" s="1200"/>
      <c r="T18" s="1192"/>
      <c r="U18" s="1308"/>
      <c r="V18" s="1308"/>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6" t="s">
        <v>2319</v>
      </c>
      <c r="B20" s="2367" t="s">
        <v>2320</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8" t="s">
        <v>2321</v>
      </c>
      <c r="G22" s="1873"/>
      <c r="H22" s="1873"/>
      <c r="I22" s="1873"/>
      <c r="J22" s="1874"/>
      <c r="K22" s="83"/>
      <c r="L22" s="83"/>
      <c r="M22" s="83"/>
      <c r="N22" s="83"/>
      <c r="O22" s="83"/>
      <c r="P22" s="83"/>
      <c r="Q22" s="83"/>
      <c r="R22" s="767"/>
      <c r="S22" s="53"/>
      <c r="T22" s="53"/>
      <c r="U22" s="1307"/>
      <c r="V22" s="1308"/>
      <c r="W22" s="799"/>
      <c r="X22" s="36"/>
      <c r="Y22" s="36"/>
      <c r="Z22" s="799"/>
    </row>
    <row r="23" spans="1:45" ht="16.5" thickBot="1">
      <c r="A23" s="164" t="s">
        <v>2322</v>
      </c>
      <c r="B23" s="307">
        <f>IF(F23="——",IF(C23="万元",T25,S25),IF(C23="万元",T25-H23,S25-H23))</f>
        <v>0</v>
      </c>
      <c r="C23" s="2369" t="str">
        <f>'数据-取费表'!B3</f>
        <v>元</v>
      </c>
      <c r="D23" s="83"/>
      <c r="E23" s="83"/>
      <c r="F23" s="2370" t="s">
        <v>1253</v>
      </c>
      <c r="G23" s="1875"/>
      <c r="H23" s="677" t="e">
        <f ca="1">SUMIF(INDIRECT("'"&amp;J23&amp;"'"&amp;"!A:A"),"承租人权益价值",INDIRECT("'"&amp;J23&amp;"'"&amp;"!c:c"))</f>
        <v>#REF!</v>
      </c>
      <c r="I23" s="677" t="str">
        <f>C2</f>
        <v>元</v>
      </c>
      <c r="J23" s="2371"/>
      <c r="K23" s="83"/>
      <c r="L23" s="83"/>
      <c r="M23" s="83"/>
      <c r="N23" s="83"/>
      <c r="O23" s="83"/>
      <c r="P23" s="83"/>
      <c r="Q23" s="83"/>
      <c r="R23" s="767"/>
      <c r="S23" s="53"/>
      <c r="T23" s="53"/>
      <c r="V23" s="1308"/>
      <c r="W23" s="799"/>
      <c r="X23" s="36"/>
      <c r="Y23" s="36"/>
      <c r="Z23" s="799"/>
    </row>
    <row r="24" spans="1:45" ht="15.75">
      <c r="A24" s="2369" t="s">
        <v>2323</v>
      </c>
      <c r="B24" s="307">
        <f>R25</f>
        <v>0</v>
      </c>
      <c r="C24" s="1139"/>
      <c r="D24" s="83"/>
      <c r="E24" s="83"/>
      <c r="F24" s="83"/>
      <c r="G24" s="83"/>
      <c r="H24" s="83"/>
      <c r="I24" s="83"/>
      <c r="J24" s="83"/>
      <c r="K24" s="83"/>
      <c r="L24" s="83"/>
      <c r="M24" s="83"/>
      <c r="N24" s="83"/>
      <c r="O24" s="83"/>
      <c r="P24" s="83"/>
      <c r="Q24" s="83"/>
      <c r="R24" s="767"/>
      <c r="S24" s="14" t="s">
        <v>2324</v>
      </c>
      <c r="T24" s="1892" t="s">
        <v>2325</v>
      </c>
      <c r="U24" s="2372" t="s">
        <v>2326</v>
      </c>
      <c r="V24" s="1337"/>
      <c r="W24" s="2373" t="s">
        <v>2327</v>
      </c>
      <c r="X24" s="2372" t="s">
        <v>2328</v>
      </c>
      <c r="Y24" s="1337"/>
      <c r="Z24" s="2374" t="s">
        <v>2327</v>
      </c>
    </row>
    <row r="25" spans="1:45">
      <c r="A25" s="333" t="s">
        <v>2329</v>
      </c>
      <c r="B25" s="14">
        <f>SUM(B27:B10000)</f>
        <v>103.71</v>
      </c>
      <c r="C25" s="3038" t="s">
        <v>45</v>
      </c>
      <c r="D25" s="3039"/>
      <c r="E25" s="3039"/>
      <c r="F25" s="3039"/>
      <c r="G25" s="3039"/>
      <c r="H25" s="3039"/>
      <c r="I25" s="3039"/>
      <c r="J25" s="3039"/>
      <c r="K25" s="3039"/>
      <c r="L25" s="3039"/>
      <c r="M25" s="3039"/>
      <c r="N25" s="3039"/>
      <c r="O25" s="3039"/>
      <c r="P25" s="3039"/>
      <c r="Q25" s="3040"/>
      <c r="R25" s="702">
        <f>IF(C23="万元",ROUND(T25*10000/B25,0),ROUND(S25/B25,0))</f>
        <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3" t="s">
        <v>2333</v>
      </c>
      <c r="S26" s="10" t="s">
        <v>2334</v>
      </c>
      <c r="T26" s="10" t="s">
        <v>2334</v>
      </c>
      <c r="U26" s="1878" t="s">
        <v>2335</v>
      </c>
      <c r="V26" s="2376" t="s">
        <v>2336</v>
      </c>
      <c r="W26" s="2377" t="s">
        <v>2337</v>
      </c>
      <c r="X26" s="1878" t="s">
        <v>2335</v>
      </c>
      <c r="Y26" s="2376" t="s">
        <v>2336</v>
      </c>
      <c r="Z26" s="2377" t="s">
        <v>2337</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2338</v>
      </c>
      <c r="B27" s="705">
        <f>'数据-取费表'!E5</f>
        <v>103.71</v>
      </c>
      <c r="C27" s="705">
        <v>1</v>
      </c>
      <c r="D27" s="706"/>
      <c r="E27" s="705">
        <v>1</v>
      </c>
      <c r="F27" s="706"/>
      <c r="G27" s="705">
        <v>1</v>
      </c>
      <c r="H27" s="706"/>
      <c r="I27" s="705">
        <v>1</v>
      </c>
      <c r="J27" s="706"/>
      <c r="K27" s="705">
        <v>1</v>
      </c>
      <c r="L27" s="706"/>
      <c r="M27" s="705">
        <v>1</v>
      </c>
      <c r="N27" s="706"/>
      <c r="O27" s="705">
        <v>1</v>
      </c>
      <c r="P27" s="706"/>
      <c r="Q27" s="705">
        <v>1</v>
      </c>
      <c r="R27" s="1187"/>
      <c r="S27" s="705">
        <f>ROUND(R27*B27,0)</f>
        <v>0</v>
      </c>
      <c r="T27" s="705">
        <f>ROUND(R27*B27/10000,0)</f>
        <v>0</v>
      </c>
      <c r="U27" s="1309">
        <f>ROUND(W27*B27,0)</f>
        <v>0</v>
      </c>
      <c r="V27" s="1309">
        <f>ROUND(W27*B27/10000,0)</f>
        <v>0</v>
      </c>
      <c r="W27" s="1305"/>
      <c r="X27" s="1309">
        <f>ROUND(Z27*B27,0)</f>
        <v>0</v>
      </c>
      <c r="Y27" s="1309">
        <f>ROUND(Z27*B27/10000,0)</f>
        <v>0</v>
      </c>
      <c r="Z27" s="1305"/>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9">IF(B28="",1,(LOOKUP(B28,$6:$6,$7:$7)-LOOKUP($B$27,$6:$6,$7:$7)+100)/100)</f>
        <v>1</v>
      </c>
      <c r="D28" s="706"/>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c r="Q28" s="14">
        <f t="shared" ref="Q28:Q91" si="16">(SUMIF($20:$20,P28,$21:$21)-SUMIF($20:$20,$P$27,$21:$21)+100)/100</f>
        <v>1</v>
      </c>
      <c r="R28" s="702">
        <f>IF(B28="",0,ROUND($R$27*C28*E28*G28*I28*K28*M28*O28*Q28,0))</f>
        <v>0</v>
      </c>
      <c r="S28" s="333">
        <f>ROUND(R28*B28,0)</f>
        <v>0</v>
      </c>
      <c r="T28" s="1177">
        <f>ROUND(R28*B28/10000,0)</f>
        <v>0</v>
      </c>
      <c r="U28" s="1309">
        <f t="shared" ref="U28:U91" si="17">ROUND(W28*B28,0)</f>
        <v>0</v>
      </c>
      <c r="V28" s="1309">
        <f t="shared" ref="V28:V91" si="18">ROUND(W28*B28/10000,0)</f>
        <v>0</v>
      </c>
      <c r="W28" s="1306"/>
      <c r="X28" s="1309">
        <f t="shared" ref="X28:X91" si="19">ROUND(Z28*B28,0)</f>
        <v>0</v>
      </c>
      <c r="Y28" s="1309">
        <f t="shared" ref="Y28:Y91" si="20">ROUND(Z28*B28/10000,0)</f>
        <v>0</v>
      </c>
      <c r="Z28" s="1306"/>
    </row>
    <row r="29" spans="1:45">
      <c r="A29" s="74"/>
      <c r="B29" s="24"/>
      <c r="C29" s="14">
        <f t="shared" si="9"/>
        <v>1</v>
      </c>
      <c r="D29" s="706"/>
      <c r="E29" s="14">
        <f t="shared" si="10"/>
        <v>1</v>
      </c>
      <c r="F29" s="706"/>
      <c r="G29" s="14">
        <f t="shared" si="11"/>
        <v>1</v>
      </c>
      <c r="H29" s="706"/>
      <c r="I29" s="14">
        <f t="shared" si="12"/>
        <v>1</v>
      </c>
      <c r="J29" s="706"/>
      <c r="K29" s="14">
        <f t="shared" si="13"/>
        <v>1</v>
      </c>
      <c r="L29" s="706"/>
      <c r="M29" s="14">
        <f t="shared" si="14"/>
        <v>1</v>
      </c>
      <c r="N29" s="706"/>
      <c r="O29" s="14">
        <f t="shared" si="15"/>
        <v>1</v>
      </c>
      <c r="P29" s="706"/>
      <c r="Q29" s="14">
        <f t="shared" si="16"/>
        <v>1</v>
      </c>
      <c r="R29" s="702">
        <f t="shared" ref="R29:R92" si="21">IF(B29="",0,ROUND($R$27*C29*E29*G29*I29*K29*M29*O29*Q29,0))</f>
        <v>0</v>
      </c>
      <c r="S29" s="333">
        <f t="shared" ref="S29:S92" si="22">ROUND(R29*B29,0)</f>
        <v>0</v>
      </c>
      <c r="T29" s="1177">
        <f t="shared" ref="T29:T92" si="23">ROUND(R29*B29/10000,0)</f>
        <v>0</v>
      </c>
      <c r="U29" s="1309">
        <f t="shared" si="17"/>
        <v>0</v>
      </c>
      <c r="V29" s="1309">
        <f t="shared" si="18"/>
        <v>0</v>
      </c>
      <c r="W29" s="1306"/>
      <c r="X29" s="1309">
        <f t="shared" si="19"/>
        <v>0</v>
      </c>
      <c r="Y29" s="1309">
        <f t="shared" si="20"/>
        <v>0</v>
      </c>
      <c r="Z29" s="1306"/>
    </row>
    <row r="30" spans="1:45">
      <c r="A30" s="74"/>
      <c r="B30" s="24"/>
      <c r="C30" s="14">
        <f t="shared" si="9"/>
        <v>1</v>
      </c>
      <c r="D30" s="706"/>
      <c r="E30" s="14">
        <f t="shared" si="10"/>
        <v>1</v>
      </c>
      <c r="F30" s="706"/>
      <c r="G30" s="14">
        <f t="shared" si="11"/>
        <v>1</v>
      </c>
      <c r="H30" s="706"/>
      <c r="I30" s="14">
        <f t="shared" si="12"/>
        <v>1</v>
      </c>
      <c r="J30" s="706"/>
      <c r="K30" s="14">
        <f t="shared" si="13"/>
        <v>1</v>
      </c>
      <c r="L30" s="706"/>
      <c r="M30" s="14">
        <f t="shared" si="14"/>
        <v>1</v>
      </c>
      <c r="N30" s="706"/>
      <c r="O30" s="14">
        <f t="shared" si="15"/>
        <v>1</v>
      </c>
      <c r="P30" s="706"/>
      <c r="Q30" s="14">
        <f t="shared" si="16"/>
        <v>1</v>
      </c>
      <c r="R30" s="702">
        <f t="shared" si="21"/>
        <v>0</v>
      </c>
      <c r="S30" s="333">
        <f t="shared" si="22"/>
        <v>0</v>
      </c>
      <c r="T30" s="1177">
        <f t="shared" si="23"/>
        <v>0</v>
      </c>
      <c r="U30" s="1309">
        <f t="shared" si="17"/>
        <v>0</v>
      </c>
      <c r="V30" s="1309">
        <f t="shared" si="18"/>
        <v>0</v>
      </c>
      <c r="W30" s="1306"/>
      <c r="X30" s="1309">
        <f t="shared" si="19"/>
        <v>0</v>
      </c>
      <c r="Y30" s="1309">
        <f t="shared" si="20"/>
        <v>0</v>
      </c>
      <c r="Z30" s="1306"/>
    </row>
    <row r="31" spans="1:45">
      <c r="A31" s="74"/>
      <c r="B31" s="24"/>
      <c r="C31" s="14">
        <f t="shared" si="9"/>
        <v>1</v>
      </c>
      <c r="D31" s="706"/>
      <c r="E31" s="14">
        <f t="shared" si="10"/>
        <v>1</v>
      </c>
      <c r="F31" s="706"/>
      <c r="G31" s="14">
        <f t="shared" si="11"/>
        <v>1</v>
      </c>
      <c r="H31" s="706"/>
      <c r="I31" s="14">
        <f t="shared" si="12"/>
        <v>1</v>
      </c>
      <c r="J31" s="706"/>
      <c r="K31" s="14">
        <f t="shared" si="13"/>
        <v>1</v>
      </c>
      <c r="L31" s="706"/>
      <c r="M31" s="14">
        <f t="shared" si="14"/>
        <v>1</v>
      </c>
      <c r="N31" s="706"/>
      <c r="O31" s="14">
        <f t="shared" si="15"/>
        <v>1</v>
      </c>
      <c r="P31" s="706"/>
      <c r="Q31" s="14">
        <f t="shared" si="16"/>
        <v>1</v>
      </c>
      <c r="R31" s="702">
        <f t="shared" si="21"/>
        <v>0</v>
      </c>
      <c r="S31" s="333">
        <f t="shared" si="22"/>
        <v>0</v>
      </c>
      <c r="T31" s="1177">
        <f t="shared" si="23"/>
        <v>0</v>
      </c>
      <c r="U31" s="1309">
        <f t="shared" si="17"/>
        <v>0</v>
      </c>
      <c r="V31" s="1309">
        <f t="shared" si="18"/>
        <v>0</v>
      </c>
      <c r="W31" s="1306"/>
      <c r="X31" s="1309">
        <f t="shared" si="19"/>
        <v>0</v>
      </c>
      <c r="Y31" s="1309">
        <f t="shared" si="20"/>
        <v>0</v>
      </c>
      <c r="Z31" s="1306"/>
    </row>
    <row r="32" spans="1:45">
      <c r="A32" s="74"/>
      <c r="B32" s="24"/>
      <c r="C32" s="14">
        <f t="shared" si="9"/>
        <v>1</v>
      </c>
      <c r="D32" s="706"/>
      <c r="E32" s="14">
        <f t="shared" si="10"/>
        <v>1</v>
      </c>
      <c r="F32" s="706"/>
      <c r="G32" s="14">
        <f t="shared" si="11"/>
        <v>1</v>
      </c>
      <c r="H32" s="706"/>
      <c r="I32" s="14">
        <f t="shared" si="12"/>
        <v>1</v>
      </c>
      <c r="J32" s="706"/>
      <c r="K32" s="14">
        <f t="shared" si="13"/>
        <v>1</v>
      </c>
      <c r="L32" s="706"/>
      <c r="M32" s="14">
        <f t="shared" si="14"/>
        <v>1</v>
      </c>
      <c r="N32" s="706"/>
      <c r="O32" s="14">
        <f t="shared" si="15"/>
        <v>1</v>
      </c>
      <c r="P32" s="706"/>
      <c r="Q32" s="14">
        <f t="shared" si="16"/>
        <v>1</v>
      </c>
      <c r="R32" s="702">
        <f t="shared" si="21"/>
        <v>0</v>
      </c>
      <c r="S32" s="333">
        <f t="shared" si="22"/>
        <v>0</v>
      </c>
      <c r="T32" s="1177">
        <f t="shared" si="23"/>
        <v>0</v>
      </c>
      <c r="U32" s="1309">
        <f t="shared" si="17"/>
        <v>0</v>
      </c>
      <c r="V32" s="1309">
        <f t="shared" si="18"/>
        <v>0</v>
      </c>
      <c r="W32" s="1306"/>
      <c r="X32" s="1309">
        <f t="shared" si="19"/>
        <v>0</v>
      </c>
      <c r="Y32" s="1309">
        <f t="shared" si="20"/>
        <v>0</v>
      </c>
      <c r="Z32" s="1306"/>
    </row>
    <row r="33" spans="1:26">
      <c r="A33" s="74"/>
      <c r="B33" s="24"/>
      <c r="C33" s="14">
        <f t="shared" si="9"/>
        <v>1</v>
      </c>
      <c r="D33" s="706"/>
      <c r="E33" s="14">
        <f t="shared" si="10"/>
        <v>1</v>
      </c>
      <c r="F33" s="706"/>
      <c r="G33" s="14">
        <f t="shared" si="11"/>
        <v>1</v>
      </c>
      <c r="H33" s="706"/>
      <c r="I33" s="14">
        <f t="shared" si="12"/>
        <v>1</v>
      </c>
      <c r="J33" s="706"/>
      <c r="K33" s="14">
        <f t="shared" si="13"/>
        <v>1</v>
      </c>
      <c r="L33" s="706"/>
      <c r="M33" s="14">
        <f t="shared" si="14"/>
        <v>1</v>
      </c>
      <c r="N33" s="706"/>
      <c r="O33" s="14">
        <f t="shared" si="15"/>
        <v>1</v>
      </c>
      <c r="P33" s="706"/>
      <c r="Q33" s="14">
        <f t="shared" si="16"/>
        <v>1</v>
      </c>
      <c r="R33" s="702">
        <f t="shared" si="21"/>
        <v>0</v>
      </c>
      <c r="S33" s="333">
        <f t="shared" si="22"/>
        <v>0</v>
      </c>
      <c r="T33" s="1177">
        <f t="shared" si="23"/>
        <v>0</v>
      </c>
      <c r="U33" s="1309">
        <f t="shared" si="17"/>
        <v>0</v>
      </c>
      <c r="V33" s="1309">
        <f t="shared" si="18"/>
        <v>0</v>
      </c>
      <c r="W33" s="1306"/>
      <c r="X33" s="1309">
        <f t="shared" si="19"/>
        <v>0</v>
      </c>
      <c r="Y33" s="1309">
        <f t="shared" si="20"/>
        <v>0</v>
      </c>
      <c r="Z33" s="1306"/>
    </row>
    <row r="34" spans="1:26">
      <c r="A34" s="74"/>
      <c r="B34" s="24"/>
      <c r="C34" s="14">
        <f t="shared" si="9"/>
        <v>1</v>
      </c>
      <c r="D34" s="706"/>
      <c r="E34" s="14">
        <f t="shared" si="10"/>
        <v>1</v>
      </c>
      <c r="F34" s="706"/>
      <c r="G34" s="14">
        <f t="shared" si="11"/>
        <v>1</v>
      </c>
      <c r="H34" s="706"/>
      <c r="I34" s="14">
        <f t="shared" si="12"/>
        <v>1</v>
      </c>
      <c r="J34" s="706"/>
      <c r="K34" s="14">
        <f t="shared" si="13"/>
        <v>1</v>
      </c>
      <c r="L34" s="706"/>
      <c r="M34" s="14">
        <f t="shared" si="14"/>
        <v>1</v>
      </c>
      <c r="N34" s="706"/>
      <c r="O34" s="14">
        <f t="shared" si="15"/>
        <v>1</v>
      </c>
      <c r="P34" s="706"/>
      <c r="Q34" s="14">
        <f t="shared" si="16"/>
        <v>1</v>
      </c>
      <c r="R34" s="702">
        <f t="shared" si="21"/>
        <v>0</v>
      </c>
      <c r="S34" s="333">
        <f t="shared" si="22"/>
        <v>0</v>
      </c>
      <c r="T34" s="1177">
        <f t="shared" si="23"/>
        <v>0</v>
      </c>
      <c r="U34" s="1309">
        <f t="shared" si="17"/>
        <v>0</v>
      </c>
      <c r="V34" s="1309">
        <f t="shared" si="18"/>
        <v>0</v>
      </c>
      <c r="W34" s="1306"/>
      <c r="X34" s="1309">
        <f t="shared" si="19"/>
        <v>0</v>
      </c>
      <c r="Y34" s="1309">
        <f t="shared" si="20"/>
        <v>0</v>
      </c>
      <c r="Z34" s="1306"/>
    </row>
    <row r="35" spans="1:26">
      <c r="A35" s="74"/>
      <c r="B35" s="24"/>
      <c r="C35" s="14">
        <f t="shared" si="9"/>
        <v>1</v>
      </c>
      <c r="D35" s="706"/>
      <c r="E35" s="14">
        <f t="shared" si="10"/>
        <v>1</v>
      </c>
      <c r="F35" s="706"/>
      <c r="G35" s="14">
        <f t="shared" si="11"/>
        <v>1</v>
      </c>
      <c r="H35" s="706"/>
      <c r="I35" s="14">
        <f t="shared" si="12"/>
        <v>1</v>
      </c>
      <c r="J35" s="706"/>
      <c r="K35" s="14">
        <f t="shared" si="13"/>
        <v>1</v>
      </c>
      <c r="L35" s="706"/>
      <c r="M35" s="14">
        <f t="shared" si="14"/>
        <v>1</v>
      </c>
      <c r="N35" s="706"/>
      <c r="O35" s="14">
        <f t="shared" si="15"/>
        <v>1</v>
      </c>
      <c r="P35" s="706"/>
      <c r="Q35" s="14">
        <f t="shared" si="16"/>
        <v>1</v>
      </c>
      <c r="R35" s="702">
        <f t="shared" si="21"/>
        <v>0</v>
      </c>
      <c r="S35" s="333">
        <f t="shared" si="22"/>
        <v>0</v>
      </c>
      <c r="T35" s="1177">
        <f t="shared" si="23"/>
        <v>0</v>
      </c>
      <c r="U35" s="1309">
        <f t="shared" si="17"/>
        <v>0</v>
      </c>
      <c r="V35" s="1309">
        <f t="shared" si="18"/>
        <v>0</v>
      </c>
      <c r="W35" s="1306"/>
      <c r="X35" s="1309">
        <f t="shared" si="19"/>
        <v>0</v>
      </c>
      <c r="Y35" s="1309">
        <f t="shared" si="20"/>
        <v>0</v>
      </c>
      <c r="Z35" s="1306"/>
    </row>
    <row r="36" spans="1:26">
      <c r="A36" s="74"/>
      <c r="B36" s="24"/>
      <c r="C36" s="14">
        <f t="shared" si="9"/>
        <v>1</v>
      </c>
      <c r="D36" s="706"/>
      <c r="E36" s="14">
        <f t="shared" si="10"/>
        <v>1</v>
      </c>
      <c r="F36" s="706"/>
      <c r="G36" s="14">
        <f t="shared" si="11"/>
        <v>1</v>
      </c>
      <c r="H36" s="706"/>
      <c r="I36" s="14">
        <f t="shared" si="12"/>
        <v>1</v>
      </c>
      <c r="J36" s="706"/>
      <c r="K36" s="14">
        <f t="shared" si="13"/>
        <v>1</v>
      </c>
      <c r="L36" s="706"/>
      <c r="M36" s="14">
        <f t="shared" si="14"/>
        <v>1</v>
      </c>
      <c r="N36" s="706"/>
      <c r="O36" s="14">
        <f t="shared" si="15"/>
        <v>1</v>
      </c>
      <c r="P36" s="706"/>
      <c r="Q36" s="14">
        <f t="shared" si="16"/>
        <v>1</v>
      </c>
      <c r="R36" s="702">
        <f t="shared" si="21"/>
        <v>0</v>
      </c>
      <c r="S36" s="333">
        <f t="shared" si="22"/>
        <v>0</v>
      </c>
      <c r="T36" s="1177">
        <f t="shared" si="23"/>
        <v>0</v>
      </c>
      <c r="U36" s="1309">
        <f t="shared" si="17"/>
        <v>0</v>
      </c>
      <c r="V36" s="1309">
        <f t="shared" si="18"/>
        <v>0</v>
      </c>
      <c r="W36" s="1306"/>
      <c r="X36" s="1309">
        <f t="shared" si="19"/>
        <v>0</v>
      </c>
      <c r="Y36" s="1309">
        <f t="shared" si="20"/>
        <v>0</v>
      </c>
      <c r="Z36" s="1306"/>
    </row>
    <row r="37" spans="1:26">
      <c r="A37" s="74"/>
      <c r="B37" s="24"/>
      <c r="C37" s="14">
        <f t="shared" si="9"/>
        <v>1</v>
      </c>
      <c r="D37" s="706"/>
      <c r="E37" s="14">
        <f t="shared" si="10"/>
        <v>1</v>
      </c>
      <c r="F37" s="706"/>
      <c r="G37" s="14">
        <f t="shared" si="11"/>
        <v>1</v>
      </c>
      <c r="H37" s="706"/>
      <c r="I37" s="14">
        <f t="shared" si="12"/>
        <v>1</v>
      </c>
      <c r="J37" s="706"/>
      <c r="K37" s="14">
        <f t="shared" si="13"/>
        <v>1</v>
      </c>
      <c r="L37" s="706"/>
      <c r="M37" s="14">
        <f t="shared" si="14"/>
        <v>1</v>
      </c>
      <c r="N37" s="706"/>
      <c r="O37" s="14">
        <f t="shared" si="15"/>
        <v>1</v>
      </c>
      <c r="P37" s="706"/>
      <c r="Q37" s="14">
        <f t="shared" si="16"/>
        <v>1</v>
      </c>
      <c r="R37" s="702">
        <f t="shared" si="21"/>
        <v>0</v>
      </c>
      <c r="S37" s="333">
        <f t="shared" si="22"/>
        <v>0</v>
      </c>
      <c r="T37" s="1177">
        <f t="shared" si="23"/>
        <v>0</v>
      </c>
      <c r="U37" s="1309">
        <f t="shared" si="17"/>
        <v>0</v>
      </c>
      <c r="V37" s="1309">
        <f t="shared" si="18"/>
        <v>0</v>
      </c>
      <c r="W37" s="1306"/>
      <c r="X37" s="1309">
        <f t="shared" si="19"/>
        <v>0</v>
      </c>
      <c r="Y37" s="1309">
        <f t="shared" si="20"/>
        <v>0</v>
      </c>
      <c r="Z37" s="1306"/>
    </row>
    <row r="38" spans="1:26">
      <c r="A38" s="74"/>
      <c r="B38" s="24"/>
      <c r="C38" s="14">
        <f t="shared" si="9"/>
        <v>1</v>
      </c>
      <c r="D38" s="706"/>
      <c r="E38" s="14">
        <f t="shared" si="10"/>
        <v>1</v>
      </c>
      <c r="F38" s="706"/>
      <c r="G38" s="14">
        <f t="shared" si="11"/>
        <v>1</v>
      </c>
      <c r="H38" s="706"/>
      <c r="I38" s="14">
        <f t="shared" si="12"/>
        <v>1</v>
      </c>
      <c r="J38" s="706"/>
      <c r="K38" s="14">
        <f t="shared" si="13"/>
        <v>1</v>
      </c>
      <c r="L38" s="706"/>
      <c r="M38" s="14">
        <f t="shared" si="14"/>
        <v>1</v>
      </c>
      <c r="N38" s="706"/>
      <c r="O38" s="14">
        <f t="shared" si="15"/>
        <v>1</v>
      </c>
      <c r="P38" s="706"/>
      <c r="Q38" s="14">
        <f t="shared" si="16"/>
        <v>1</v>
      </c>
      <c r="R38" s="702">
        <f t="shared" si="21"/>
        <v>0</v>
      </c>
      <c r="S38" s="333">
        <f t="shared" si="22"/>
        <v>0</v>
      </c>
      <c r="T38" s="1177">
        <f t="shared" si="23"/>
        <v>0</v>
      </c>
      <c r="U38" s="1309">
        <f t="shared" si="17"/>
        <v>0</v>
      </c>
      <c r="V38" s="1309">
        <f t="shared" si="18"/>
        <v>0</v>
      </c>
      <c r="W38" s="1306"/>
      <c r="X38" s="1309">
        <f t="shared" si="19"/>
        <v>0</v>
      </c>
      <c r="Y38" s="1309">
        <f t="shared" si="20"/>
        <v>0</v>
      </c>
      <c r="Z38" s="1306"/>
    </row>
    <row r="39" spans="1:26">
      <c r="A39" s="74"/>
      <c r="B39" s="24"/>
      <c r="C39" s="14">
        <f t="shared" si="9"/>
        <v>1</v>
      </c>
      <c r="D39" s="706"/>
      <c r="E39" s="14">
        <f t="shared" si="10"/>
        <v>1</v>
      </c>
      <c r="F39" s="706"/>
      <c r="G39" s="14">
        <f t="shared" si="11"/>
        <v>1</v>
      </c>
      <c r="H39" s="706"/>
      <c r="I39" s="14">
        <f t="shared" si="12"/>
        <v>1</v>
      </c>
      <c r="J39" s="706"/>
      <c r="K39" s="14">
        <f t="shared" si="13"/>
        <v>1</v>
      </c>
      <c r="L39" s="706"/>
      <c r="M39" s="14">
        <f t="shared" si="14"/>
        <v>1</v>
      </c>
      <c r="N39" s="706"/>
      <c r="O39" s="14">
        <f t="shared" si="15"/>
        <v>1</v>
      </c>
      <c r="P39" s="706"/>
      <c r="Q39" s="14">
        <f t="shared" si="16"/>
        <v>1</v>
      </c>
      <c r="R39" s="702">
        <f t="shared" si="21"/>
        <v>0</v>
      </c>
      <c r="S39" s="333">
        <f t="shared" si="22"/>
        <v>0</v>
      </c>
      <c r="T39" s="1177">
        <f t="shared" si="23"/>
        <v>0</v>
      </c>
      <c r="U39" s="1309">
        <f t="shared" si="17"/>
        <v>0</v>
      </c>
      <c r="V39" s="1309">
        <f t="shared" si="18"/>
        <v>0</v>
      </c>
      <c r="W39" s="1306"/>
      <c r="X39" s="1309">
        <f t="shared" si="19"/>
        <v>0</v>
      </c>
      <c r="Y39" s="1309">
        <f t="shared" si="20"/>
        <v>0</v>
      </c>
      <c r="Z39" s="1306"/>
    </row>
    <row r="40" spans="1:26">
      <c r="A40" s="74"/>
      <c r="B40" s="24"/>
      <c r="C40" s="14">
        <f t="shared" si="9"/>
        <v>1</v>
      </c>
      <c r="D40" s="706"/>
      <c r="E40" s="14">
        <f t="shared" si="10"/>
        <v>1</v>
      </c>
      <c r="F40" s="706"/>
      <c r="G40" s="14">
        <f t="shared" si="11"/>
        <v>1</v>
      </c>
      <c r="H40" s="706"/>
      <c r="I40" s="14">
        <f t="shared" si="12"/>
        <v>1</v>
      </c>
      <c r="J40" s="706"/>
      <c r="K40" s="14">
        <f t="shared" si="13"/>
        <v>1</v>
      </c>
      <c r="L40" s="706"/>
      <c r="M40" s="14">
        <f t="shared" si="14"/>
        <v>1</v>
      </c>
      <c r="N40" s="706"/>
      <c r="O40" s="14">
        <f t="shared" si="15"/>
        <v>1</v>
      </c>
      <c r="P40" s="706"/>
      <c r="Q40" s="14">
        <f t="shared" si="16"/>
        <v>1</v>
      </c>
      <c r="R40" s="702">
        <f t="shared" si="21"/>
        <v>0</v>
      </c>
      <c r="S40" s="333">
        <f t="shared" si="22"/>
        <v>0</v>
      </c>
      <c r="T40" s="1177">
        <f t="shared" si="23"/>
        <v>0</v>
      </c>
      <c r="U40" s="1309">
        <f t="shared" si="17"/>
        <v>0</v>
      </c>
      <c r="V40" s="1309">
        <f t="shared" si="18"/>
        <v>0</v>
      </c>
      <c r="W40" s="1306"/>
      <c r="X40" s="1309">
        <f t="shared" si="19"/>
        <v>0</v>
      </c>
      <c r="Y40" s="1309">
        <f t="shared" si="20"/>
        <v>0</v>
      </c>
      <c r="Z40" s="1306"/>
    </row>
    <row r="41" spans="1:26">
      <c r="A41" s="74"/>
      <c r="B41" s="24"/>
      <c r="C41" s="14">
        <f t="shared" si="9"/>
        <v>1</v>
      </c>
      <c r="D41" s="706"/>
      <c r="E41" s="14">
        <f t="shared" si="10"/>
        <v>1</v>
      </c>
      <c r="F41" s="706"/>
      <c r="G41" s="14">
        <f t="shared" si="11"/>
        <v>1</v>
      </c>
      <c r="H41" s="706"/>
      <c r="I41" s="14">
        <f t="shared" si="12"/>
        <v>1</v>
      </c>
      <c r="J41" s="706"/>
      <c r="K41" s="14">
        <f t="shared" si="13"/>
        <v>1</v>
      </c>
      <c r="L41" s="706"/>
      <c r="M41" s="14">
        <f t="shared" si="14"/>
        <v>1</v>
      </c>
      <c r="N41" s="706"/>
      <c r="O41" s="14">
        <f t="shared" si="15"/>
        <v>1</v>
      </c>
      <c r="P41" s="706"/>
      <c r="Q41" s="14">
        <f t="shared" si="16"/>
        <v>1</v>
      </c>
      <c r="R41" s="702">
        <f t="shared" si="21"/>
        <v>0</v>
      </c>
      <c r="S41" s="333">
        <f t="shared" si="22"/>
        <v>0</v>
      </c>
      <c r="T41" s="1177">
        <f t="shared" si="23"/>
        <v>0</v>
      </c>
      <c r="U41" s="1309">
        <f t="shared" si="17"/>
        <v>0</v>
      </c>
      <c r="V41" s="1309">
        <f t="shared" si="18"/>
        <v>0</v>
      </c>
      <c r="W41" s="1306"/>
      <c r="X41" s="1309">
        <f t="shared" si="19"/>
        <v>0</v>
      </c>
      <c r="Y41" s="1309">
        <f t="shared" si="20"/>
        <v>0</v>
      </c>
      <c r="Z41" s="1306"/>
    </row>
    <row r="42" spans="1:26">
      <c r="A42" s="74"/>
      <c r="B42" s="24"/>
      <c r="C42" s="14">
        <f t="shared" si="9"/>
        <v>1</v>
      </c>
      <c r="D42" s="706"/>
      <c r="E42" s="14">
        <f t="shared" si="10"/>
        <v>1</v>
      </c>
      <c r="F42" s="706"/>
      <c r="G42" s="14">
        <f t="shared" si="11"/>
        <v>1</v>
      </c>
      <c r="H42" s="706"/>
      <c r="I42" s="14">
        <f t="shared" si="12"/>
        <v>1</v>
      </c>
      <c r="J42" s="706"/>
      <c r="K42" s="14">
        <f t="shared" si="13"/>
        <v>1</v>
      </c>
      <c r="L42" s="706"/>
      <c r="M42" s="14">
        <f t="shared" si="14"/>
        <v>1</v>
      </c>
      <c r="N42" s="706"/>
      <c r="O42" s="14">
        <f t="shared" si="15"/>
        <v>1</v>
      </c>
      <c r="P42" s="706"/>
      <c r="Q42" s="14">
        <f t="shared" si="16"/>
        <v>1</v>
      </c>
      <c r="R42" s="702">
        <f t="shared" si="21"/>
        <v>0</v>
      </c>
      <c r="S42" s="333">
        <f t="shared" si="22"/>
        <v>0</v>
      </c>
      <c r="T42" s="1177">
        <f t="shared" si="23"/>
        <v>0</v>
      </c>
      <c r="U42" s="1309">
        <f t="shared" si="17"/>
        <v>0</v>
      </c>
      <c r="V42" s="1309">
        <f t="shared" si="18"/>
        <v>0</v>
      </c>
      <c r="W42" s="1306"/>
      <c r="X42" s="1309">
        <f t="shared" si="19"/>
        <v>0</v>
      </c>
      <c r="Y42" s="1309">
        <f t="shared" si="20"/>
        <v>0</v>
      </c>
      <c r="Z42" s="1306"/>
    </row>
    <row r="43" spans="1:26">
      <c r="A43" s="74"/>
      <c r="B43" s="24"/>
      <c r="C43" s="14">
        <f t="shared" si="9"/>
        <v>1</v>
      </c>
      <c r="D43" s="706"/>
      <c r="E43" s="14">
        <f t="shared" si="10"/>
        <v>1</v>
      </c>
      <c r="F43" s="706"/>
      <c r="G43" s="14">
        <f t="shared" si="11"/>
        <v>1</v>
      </c>
      <c r="H43" s="706"/>
      <c r="I43" s="14">
        <f t="shared" si="12"/>
        <v>1</v>
      </c>
      <c r="J43" s="706"/>
      <c r="K43" s="14">
        <f t="shared" si="13"/>
        <v>1</v>
      </c>
      <c r="L43" s="706"/>
      <c r="M43" s="14">
        <f t="shared" si="14"/>
        <v>1</v>
      </c>
      <c r="N43" s="706"/>
      <c r="O43" s="14">
        <f t="shared" si="15"/>
        <v>1</v>
      </c>
      <c r="P43" s="706"/>
      <c r="Q43" s="14">
        <f t="shared" si="16"/>
        <v>1</v>
      </c>
      <c r="R43" s="702">
        <f t="shared" si="21"/>
        <v>0</v>
      </c>
      <c r="S43" s="333">
        <f t="shared" si="22"/>
        <v>0</v>
      </c>
      <c r="T43" s="1177">
        <f t="shared" si="23"/>
        <v>0</v>
      </c>
      <c r="U43" s="1309">
        <f t="shared" si="17"/>
        <v>0</v>
      </c>
      <c r="V43" s="1309">
        <f t="shared" si="18"/>
        <v>0</v>
      </c>
      <c r="W43" s="1306"/>
      <c r="X43" s="1309">
        <f t="shared" si="19"/>
        <v>0</v>
      </c>
      <c r="Y43" s="1309">
        <f t="shared" si="20"/>
        <v>0</v>
      </c>
      <c r="Z43" s="1306"/>
    </row>
    <row r="44" spans="1:26">
      <c r="A44" s="74"/>
      <c r="B44" s="24"/>
      <c r="C44" s="14">
        <f t="shared" si="9"/>
        <v>1</v>
      </c>
      <c r="D44" s="706"/>
      <c r="E44" s="14">
        <f t="shared" si="10"/>
        <v>1</v>
      </c>
      <c r="F44" s="706"/>
      <c r="G44" s="14">
        <f t="shared" si="11"/>
        <v>1</v>
      </c>
      <c r="H44" s="706"/>
      <c r="I44" s="14">
        <f t="shared" si="12"/>
        <v>1</v>
      </c>
      <c r="J44" s="706"/>
      <c r="K44" s="14">
        <f t="shared" si="13"/>
        <v>1</v>
      </c>
      <c r="L44" s="706"/>
      <c r="M44" s="14">
        <f t="shared" si="14"/>
        <v>1</v>
      </c>
      <c r="N44" s="706"/>
      <c r="O44" s="14">
        <f t="shared" si="15"/>
        <v>1</v>
      </c>
      <c r="P44" s="706"/>
      <c r="Q44" s="14">
        <f t="shared" si="16"/>
        <v>1</v>
      </c>
      <c r="R44" s="702">
        <f t="shared" si="21"/>
        <v>0</v>
      </c>
      <c r="S44" s="333">
        <f t="shared" si="22"/>
        <v>0</v>
      </c>
      <c r="T44" s="1177">
        <f t="shared" si="23"/>
        <v>0</v>
      </c>
      <c r="U44" s="1309">
        <f t="shared" si="17"/>
        <v>0</v>
      </c>
      <c r="V44" s="1309">
        <f t="shared" si="18"/>
        <v>0</v>
      </c>
      <c r="W44" s="1306"/>
      <c r="X44" s="1309">
        <f t="shared" si="19"/>
        <v>0</v>
      </c>
      <c r="Y44" s="1309">
        <f t="shared" si="20"/>
        <v>0</v>
      </c>
      <c r="Z44" s="1306"/>
    </row>
    <row r="45" spans="1:26">
      <c r="A45" s="74"/>
      <c r="B45" s="24"/>
      <c r="C45" s="14">
        <f t="shared" si="9"/>
        <v>1</v>
      </c>
      <c r="D45" s="706"/>
      <c r="E45" s="14">
        <f t="shared" si="10"/>
        <v>1</v>
      </c>
      <c r="F45" s="706"/>
      <c r="G45" s="14">
        <f t="shared" si="11"/>
        <v>1</v>
      </c>
      <c r="H45" s="706"/>
      <c r="I45" s="14">
        <f t="shared" si="12"/>
        <v>1</v>
      </c>
      <c r="J45" s="706"/>
      <c r="K45" s="14">
        <f t="shared" si="13"/>
        <v>1</v>
      </c>
      <c r="L45" s="706"/>
      <c r="M45" s="14">
        <f t="shared" si="14"/>
        <v>1</v>
      </c>
      <c r="N45" s="706"/>
      <c r="O45" s="14">
        <f t="shared" si="15"/>
        <v>1</v>
      </c>
      <c r="P45" s="706"/>
      <c r="Q45" s="14">
        <f t="shared" si="16"/>
        <v>1</v>
      </c>
      <c r="R45" s="702">
        <f t="shared" si="21"/>
        <v>0</v>
      </c>
      <c r="S45" s="333">
        <f t="shared" si="22"/>
        <v>0</v>
      </c>
      <c r="T45" s="1177">
        <f t="shared" si="23"/>
        <v>0</v>
      </c>
      <c r="U45" s="1309">
        <f t="shared" si="17"/>
        <v>0</v>
      </c>
      <c r="V45" s="1309">
        <f t="shared" si="18"/>
        <v>0</v>
      </c>
      <c r="W45" s="1306"/>
      <c r="X45" s="1309">
        <f t="shared" si="19"/>
        <v>0</v>
      </c>
      <c r="Y45" s="1309">
        <f t="shared" si="20"/>
        <v>0</v>
      </c>
      <c r="Z45" s="1306"/>
    </row>
    <row r="46" spans="1:26">
      <c r="A46" s="74"/>
      <c r="B46" s="24"/>
      <c r="C46" s="14">
        <f t="shared" si="9"/>
        <v>1</v>
      </c>
      <c r="D46" s="706"/>
      <c r="E46" s="14">
        <f t="shared" si="10"/>
        <v>1</v>
      </c>
      <c r="F46" s="706"/>
      <c r="G46" s="14">
        <f t="shared" si="11"/>
        <v>1</v>
      </c>
      <c r="H46" s="706"/>
      <c r="I46" s="14">
        <f t="shared" si="12"/>
        <v>1</v>
      </c>
      <c r="J46" s="706"/>
      <c r="K46" s="14">
        <f t="shared" si="13"/>
        <v>1</v>
      </c>
      <c r="L46" s="706"/>
      <c r="M46" s="14">
        <f t="shared" si="14"/>
        <v>1</v>
      </c>
      <c r="N46" s="706"/>
      <c r="O46" s="14">
        <f t="shared" si="15"/>
        <v>1</v>
      </c>
      <c r="P46" s="706"/>
      <c r="Q46" s="14">
        <f t="shared" si="16"/>
        <v>1</v>
      </c>
      <c r="R46" s="702">
        <f t="shared" si="21"/>
        <v>0</v>
      </c>
      <c r="S46" s="333">
        <f t="shared" si="22"/>
        <v>0</v>
      </c>
      <c r="T46" s="1177">
        <f t="shared" si="23"/>
        <v>0</v>
      </c>
      <c r="U46" s="1309">
        <f t="shared" si="17"/>
        <v>0</v>
      </c>
      <c r="V46" s="1309">
        <f t="shared" si="18"/>
        <v>0</v>
      </c>
      <c r="W46" s="1306"/>
      <c r="X46" s="1309">
        <f t="shared" si="19"/>
        <v>0</v>
      </c>
      <c r="Y46" s="1309">
        <f t="shared" si="20"/>
        <v>0</v>
      </c>
      <c r="Z46" s="1306"/>
    </row>
    <row r="47" spans="1:26">
      <c r="A47" s="74"/>
      <c r="B47" s="24"/>
      <c r="C47" s="14">
        <f t="shared" si="9"/>
        <v>1</v>
      </c>
      <c r="D47" s="706"/>
      <c r="E47" s="14">
        <f t="shared" si="10"/>
        <v>1</v>
      </c>
      <c r="F47" s="706"/>
      <c r="G47" s="14">
        <f t="shared" si="11"/>
        <v>1</v>
      </c>
      <c r="H47" s="706"/>
      <c r="I47" s="14">
        <f t="shared" si="12"/>
        <v>1</v>
      </c>
      <c r="J47" s="706"/>
      <c r="K47" s="14">
        <f t="shared" si="13"/>
        <v>1</v>
      </c>
      <c r="L47" s="706"/>
      <c r="M47" s="14">
        <f t="shared" si="14"/>
        <v>1</v>
      </c>
      <c r="N47" s="706"/>
      <c r="O47" s="14">
        <f t="shared" si="15"/>
        <v>1</v>
      </c>
      <c r="P47" s="706"/>
      <c r="Q47" s="14">
        <f t="shared" si="16"/>
        <v>1</v>
      </c>
      <c r="R47" s="702">
        <f t="shared" si="21"/>
        <v>0</v>
      </c>
      <c r="S47" s="333">
        <f t="shared" si="22"/>
        <v>0</v>
      </c>
      <c r="T47" s="1177">
        <f t="shared" si="23"/>
        <v>0</v>
      </c>
      <c r="U47" s="1309">
        <f t="shared" si="17"/>
        <v>0</v>
      </c>
      <c r="V47" s="1309">
        <f t="shared" si="18"/>
        <v>0</v>
      </c>
      <c r="W47" s="1306"/>
      <c r="X47" s="1309">
        <f t="shared" si="19"/>
        <v>0</v>
      </c>
      <c r="Y47" s="1309">
        <f t="shared" si="20"/>
        <v>0</v>
      </c>
      <c r="Z47" s="1306"/>
    </row>
    <row r="48" spans="1:26">
      <c r="A48" s="74"/>
      <c r="B48" s="24"/>
      <c r="C48" s="14">
        <f t="shared" si="9"/>
        <v>1</v>
      </c>
      <c r="D48" s="706"/>
      <c r="E48" s="14">
        <f t="shared" si="10"/>
        <v>1</v>
      </c>
      <c r="F48" s="706"/>
      <c r="G48" s="14">
        <f t="shared" si="11"/>
        <v>1</v>
      </c>
      <c r="H48" s="706"/>
      <c r="I48" s="14">
        <f t="shared" si="12"/>
        <v>1</v>
      </c>
      <c r="J48" s="706"/>
      <c r="K48" s="14">
        <f t="shared" si="13"/>
        <v>1</v>
      </c>
      <c r="L48" s="706"/>
      <c r="M48" s="14">
        <f t="shared" si="14"/>
        <v>1</v>
      </c>
      <c r="N48" s="706"/>
      <c r="O48" s="14">
        <f t="shared" si="15"/>
        <v>1</v>
      </c>
      <c r="P48" s="706"/>
      <c r="Q48" s="14">
        <f t="shared" si="16"/>
        <v>1</v>
      </c>
      <c r="R48" s="702">
        <f t="shared" si="21"/>
        <v>0</v>
      </c>
      <c r="S48" s="333">
        <f t="shared" si="22"/>
        <v>0</v>
      </c>
      <c r="T48" s="1177">
        <f t="shared" si="23"/>
        <v>0</v>
      </c>
      <c r="U48" s="1309">
        <f t="shared" si="17"/>
        <v>0</v>
      </c>
      <c r="V48" s="1309">
        <f t="shared" si="18"/>
        <v>0</v>
      </c>
      <c r="W48" s="1306"/>
      <c r="X48" s="1309">
        <f t="shared" si="19"/>
        <v>0</v>
      </c>
      <c r="Y48" s="1309">
        <f t="shared" si="20"/>
        <v>0</v>
      </c>
      <c r="Z48" s="1306"/>
    </row>
    <row r="49" spans="1:26">
      <c r="A49" s="74"/>
      <c r="B49" s="24"/>
      <c r="C49" s="14">
        <f t="shared" si="9"/>
        <v>1</v>
      </c>
      <c r="D49" s="706"/>
      <c r="E49" s="14">
        <f t="shared" si="10"/>
        <v>1</v>
      </c>
      <c r="F49" s="706"/>
      <c r="G49" s="14">
        <f t="shared" si="11"/>
        <v>1</v>
      </c>
      <c r="H49" s="706"/>
      <c r="I49" s="14">
        <f t="shared" si="12"/>
        <v>1</v>
      </c>
      <c r="J49" s="706"/>
      <c r="K49" s="14">
        <f t="shared" si="13"/>
        <v>1</v>
      </c>
      <c r="L49" s="706"/>
      <c r="M49" s="14">
        <f t="shared" si="14"/>
        <v>1</v>
      </c>
      <c r="N49" s="706"/>
      <c r="O49" s="14">
        <f t="shared" si="15"/>
        <v>1</v>
      </c>
      <c r="P49" s="706"/>
      <c r="Q49" s="14">
        <f t="shared" si="16"/>
        <v>1</v>
      </c>
      <c r="R49" s="702">
        <f t="shared" si="21"/>
        <v>0</v>
      </c>
      <c r="S49" s="333">
        <f t="shared" si="22"/>
        <v>0</v>
      </c>
      <c r="T49" s="1177">
        <f t="shared" si="23"/>
        <v>0</v>
      </c>
      <c r="U49" s="1309">
        <f t="shared" si="17"/>
        <v>0</v>
      </c>
      <c r="V49" s="1309">
        <f t="shared" si="18"/>
        <v>0</v>
      </c>
      <c r="W49" s="1306"/>
      <c r="X49" s="1309">
        <f t="shared" si="19"/>
        <v>0</v>
      </c>
      <c r="Y49" s="1309">
        <f t="shared" si="20"/>
        <v>0</v>
      </c>
      <c r="Z49" s="1306"/>
    </row>
    <row r="50" spans="1:26">
      <c r="A50" s="74"/>
      <c r="B50" s="24"/>
      <c r="C50" s="14">
        <f t="shared" si="9"/>
        <v>1</v>
      </c>
      <c r="D50" s="706"/>
      <c r="E50" s="14">
        <f t="shared" si="10"/>
        <v>1</v>
      </c>
      <c r="F50" s="706"/>
      <c r="G50" s="14">
        <f t="shared" si="11"/>
        <v>1</v>
      </c>
      <c r="H50" s="706"/>
      <c r="I50" s="14">
        <f t="shared" si="12"/>
        <v>1</v>
      </c>
      <c r="J50" s="706"/>
      <c r="K50" s="14">
        <f t="shared" si="13"/>
        <v>1</v>
      </c>
      <c r="L50" s="706"/>
      <c r="M50" s="14">
        <f t="shared" si="14"/>
        <v>1</v>
      </c>
      <c r="N50" s="706"/>
      <c r="O50" s="14">
        <f t="shared" si="15"/>
        <v>1</v>
      </c>
      <c r="P50" s="706"/>
      <c r="Q50" s="14">
        <f t="shared" si="16"/>
        <v>1</v>
      </c>
      <c r="R50" s="702">
        <f t="shared" si="21"/>
        <v>0</v>
      </c>
      <c r="S50" s="333">
        <f t="shared" si="22"/>
        <v>0</v>
      </c>
      <c r="T50" s="1177">
        <f t="shared" si="23"/>
        <v>0</v>
      </c>
      <c r="U50" s="1309">
        <f t="shared" si="17"/>
        <v>0</v>
      </c>
      <c r="V50" s="1309">
        <f t="shared" si="18"/>
        <v>0</v>
      </c>
      <c r="W50" s="1306"/>
      <c r="X50" s="1309">
        <f t="shared" si="19"/>
        <v>0</v>
      </c>
      <c r="Y50" s="1309">
        <f t="shared" si="20"/>
        <v>0</v>
      </c>
      <c r="Z50" s="1306"/>
    </row>
    <row r="51" spans="1:26">
      <c r="A51" s="74"/>
      <c r="B51" s="24"/>
      <c r="C51" s="14">
        <f t="shared" si="9"/>
        <v>1</v>
      </c>
      <c r="D51" s="706"/>
      <c r="E51" s="14">
        <f t="shared" si="10"/>
        <v>1</v>
      </c>
      <c r="F51" s="706"/>
      <c r="G51" s="14">
        <f t="shared" si="11"/>
        <v>1</v>
      </c>
      <c r="H51" s="706"/>
      <c r="I51" s="14">
        <f t="shared" si="12"/>
        <v>1</v>
      </c>
      <c r="J51" s="706"/>
      <c r="K51" s="14">
        <f t="shared" si="13"/>
        <v>1</v>
      </c>
      <c r="L51" s="706"/>
      <c r="M51" s="14">
        <f t="shared" si="14"/>
        <v>1</v>
      </c>
      <c r="N51" s="706"/>
      <c r="O51" s="14">
        <f t="shared" si="15"/>
        <v>1</v>
      </c>
      <c r="P51" s="706"/>
      <c r="Q51" s="14">
        <f t="shared" si="16"/>
        <v>1</v>
      </c>
      <c r="R51" s="702">
        <f t="shared" si="21"/>
        <v>0</v>
      </c>
      <c r="S51" s="333">
        <f t="shared" si="22"/>
        <v>0</v>
      </c>
      <c r="T51" s="1177">
        <f t="shared" si="23"/>
        <v>0</v>
      </c>
      <c r="U51" s="1309">
        <f t="shared" si="17"/>
        <v>0</v>
      </c>
      <c r="V51" s="1309">
        <f t="shared" si="18"/>
        <v>0</v>
      </c>
      <c r="W51" s="1306"/>
      <c r="X51" s="1309">
        <f t="shared" si="19"/>
        <v>0</v>
      </c>
      <c r="Y51" s="1309">
        <f t="shared" si="20"/>
        <v>0</v>
      </c>
      <c r="Z51" s="1306"/>
    </row>
    <row r="52" spans="1:26">
      <c r="A52" s="74"/>
      <c r="B52" s="24"/>
      <c r="C52" s="14">
        <f t="shared" si="9"/>
        <v>1</v>
      </c>
      <c r="D52" s="706"/>
      <c r="E52" s="14">
        <f t="shared" si="10"/>
        <v>1</v>
      </c>
      <c r="F52" s="706"/>
      <c r="G52" s="14">
        <f t="shared" si="11"/>
        <v>1</v>
      </c>
      <c r="H52" s="706"/>
      <c r="I52" s="14">
        <f t="shared" si="12"/>
        <v>1</v>
      </c>
      <c r="J52" s="706"/>
      <c r="K52" s="14">
        <f t="shared" si="13"/>
        <v>1</v>
      </c>
      <c r="L52" s="706"/>
      <c r="M52" s="14">
        <f t="shared" si="14"/>
        <v>1</v>
      </c>
      <c r="N52" s="706"/>
      <c r="O52" s="14">
        <f t="shared" si="15"/>
        <v>1</v>
      </c>
      <c r="P52" s="706"/>
      <c r="Q52" s="14">
        <f t="shared" si="16"/>
        <v>1</v>
      </c>
      <c r="R52" s="702">
        <f t="shared" si="21"/>
        <v>0</v>
      </c>
      <c r="S52" s="333">
        <f t="shared" si="22"/>
        <v>0</v>
      </c>
      <c r="T52" s="1177">
        <f t="shared" si="23"/>
        <v>0</v>
      </c>
      <c r="U52" s="1309">
        <f t="shared" si="17"/>
        <v>0</v>
      </c>
      <c r="V52" s="1309">
        <f t="shared" si="18"/>
        <v>0</v>
      </c>
      <c r="W52" s="1306"/>
      <c r="X52" s="1309">
        <f t="shared" si="19"/>
        <v>0</v>
      </c>
      <c r="Y52" s="1309">
        <f t="shared" si="20"/>
        <v>0</v>
      </c>
      <c r="Z52" s="1306"/>
    </row>
    <row r="53" spans="1:26">
      <c r="A53" s="74"/>
      <c r="B53" s="24"/>
      <c r="C53" s="14">
        <f t="shared" si="9"/>
        <v>1</v>
      </c>
      <c r="D53" s="706"/>
      <c r="E53" s="14">
        <f t="shared" si="10"/>
        <v>1</v>
      </c>
      <c r="F53" s="706"/>
      <c r="G53" s="14">
        <f t="shared" si="11"/>
        <v>1</v>
      </c>
      <c r="H53" s="706"/>
      <c r="I53" s="14">
        <f t="shared" si="12"/>
        <v>1</v>
      </c>
      <c r="J53" s="706"/>
      <c r="K53" s="14">
        <f t="shared" si="13"/>
        <v>1</v>
      </c>
      <c r="L53" s="706"/>
      <c r="M53" s="14">
        <f t="shared" si="14"/>
        <v>1</v>
      </c>
      <c r="N53" s="706"/>
      <c r="O53" s="14">
        <f t="shared" si="15"/>
        <v>1</v>
      </c>
      <c r="P53" s="706"/>
      <c r="Q53" s="14">
        <f t="shared" si="16"/>
        <v>1</v>
      </c>
      <c r="R53" s="702">
        <f t="shared" si="21"/>
        <v>0</v>
      </c>
      <c r="S53" s="333">
        <f t="shared" si="22"/>
        <v>0</v>
      </c>
      <c r="T53" s="1177">
        <f t="shared" si="23"/>
        <v>0</v>
      </c>
      <c r="U53" s="1309">
        <f t="shared" si="17"/>
        <v>0</v>
      </c>
      <c r="V53" s="1309">
        <f t="shared" si="18"/>
        <v>0</v>
      </c>
      <c r="W53" s="1306"/>
      <c r="X53" s="1309">
        <f t="shared" si="19"/>
        <v>0</v>
      </c>
      <c r="Y53" s="1309">
        <f t="shared" si="20"/>
        <v>0</v>
      </c>
      <c r="Z53" s="1306"/>
    </row>
    <row r="54" spans="1:26">
      <c r="A54" s="74"/>
      <c r="B54" s="24"/>
      <c r="C54" s="14">
        <f t="shared" si="9"/>
        <v>1</v>
      </c>
      <c r="D54" s="706"/>
      <c r="E54" s="14">
        <f t="shared" si="10"/>
        <v>1</v>
      </c>
      <c r="F54" s="706"/>
      <c r="G54" s="14">
        <f t="shared" si="11"/>
        <v>1</v>
      </c>
      <c r="H54" s="706"/>
      <c r="I54" s="14">
        <f t="shared" si="12"/>
        <v>1</v>
      </c>
      <c r="J54" s="706"/>
      <c r="K54" s="14">
        <f t="shared" si="13"/>
        <v>1</v>
      </c>
      <c r="L54" s="706"/>
      <c r="M54" s="14">
        <f t="shared" si="14"/>
        <v>1</v>
      </c>
      <c r="N54" s="706"/>
      <c r="O54" s="14">
        <f t="shared" si="15"/>
        <v>1</v>
      </c>
      <c r="P54" s="706"/>
      <c r="Q54" s="14">
        <f t="shared" si="16"/>
        <v>1</v>
      </c>
      <c r="R54" s="702">
        <f t="shared" si="21"/>
        <v>0</v>
      </c>
      <c r="S54" s="333">
        <f t="shared" si="22"/>
        <v>0</v>
      </c>
      <c r="T54" s="1177">
        <f t="shared" si="23"/>
        <v>0</v>
      </c>
      <c r="U54" s="1309">
        <f t="shared" si="17"/>
        <v>0</v>
      </c>
      <c r="V54" s="1309">
        <f t="shared" si="18"/>
        <v>0</v>
      </c>
      <c r="W54" s="1306"/>
      <c r="X54" s="1309">
        <f t="shared" si="19"/>
        <v>0</v>
      </c>
      <c r="Y54" s="1309">
        <f t="shared" si="20"/>
        <v>0</v>
      </c>
      <c r="Z54" s="1306"/>
    </row>
    <row r="55" spans="1:26">
      <c r="A55" s="74"/>
      <c r="B55" s="24"/>
      <c r="C55" s="14">
        <f t="shared" si="9"/>
        <v>1</v>
      </c>
      <c r="D55" s="706"/>
      <c r="E55" s="14">
        <f t="shared" si="10"/>
        <v>1</v>
      </c>
      <c r="F55" s="706"/>
      <c r="G55" s="14">
        <f t="shared" si="11"/>
        <v>1</v>
      </c>
      <c r="H55" s="706"/>
      <c r="I55" s="14">
        <f t="shared" si="12"/>
        <v>1</v>
      </c>
      <c r="J55" s="706"/>
      <c r="K55" s="14">
        <f t="shared" si="13"/>
        <v>1</v>
      </c>
      <c r="L55" s="706"/>
      <c r="M55" s="14">
        <f t="shared" si="14"/>
        <v>1</v>
      </c>
      <c r="N55" s="706"/>
      <c r="O55" s="14">
        <f t="shared" si="15"/>
        <v>1</v>
      </c>
      <c r="P55" s="706"/>
      <c r="Q55" s="14">
        <f t="shared" si="16"/>
        <v>1</v>
      </c>
      <c r="R55" s="702">
        <f t="shared" si="21"/>
        <v>0</v>
      </c>
      <c r="S55" s="333">
        <f t="shared" si="22"/>
        <v>0</v>
      </c>
      <c r="T55" s="1177">
        <f t="shared" si="23"/>
        <v>0</v>
      </c>
      <c r="U55" s="1309">
        <f t="shared" si="17"/>
        <v>0</v>
      </c>
      <c r="V55" s="1309">
        <f t="shared" si="18"/>
        <v>0</v>
      </c>
      <c r="W55" s="1306"/>
      <c r="X55" s="1309">
        <f t="shared" si="19"/>
        <v>0</v>
      </c>
      <c r="Y55" s="1309">
        <f t="shared" si="20"/>
        <v>0</v>
      </c>
      <c r="Z55" s="1306"/>
    </row>
    <row r="56" spans="1:26">
      <c r="A56" s="74"/>
      <c r="B56" s="24"/>
      <c r="C56" s="14">
        <f t="shared" si="9"/>
        <v>1</v>
      </c>
      <c r="D56" s="706"/>
      <c r="E56" s="14">
        <f t="shared" si="10"/>
        <v>1</v>
      </c>
      <c r="F56" s="706"/>
      <c r="G56" s="14">
        <f t="shared" si="11"/>
        <v>1</v>
      </c>
      <c r="H56" s="706"/>
      <c r="I56" s="14">
        <f t="shared" si="12"/>
        <v>1</v>
      </c>
      <c r="J56" s="706"/>
      <c r="K56" s="14">
        <f t="shared" si="13"/>
        <v>1</v>
      </c>
      <c r="L56" s="706"/>
      <c r="M56" s="14">
        <f t="shared" si="14"/>
        <v>1</v>
      </c>
      <c r="N56" s="706"/>
      <c r="O56" s="14">
        <f t="shared" si="15"/>
        <v>1</v>
      </c>
      <c r="P56" s="706"/>
      <c r="Q56" s="14">
        <f t="shared" si="16"/>
        <v>1</v>
      </c>
      <c r="R56" s="702">
        <f t="shared" si="21"/>
        <v>0</v>
      </c>
      <c r="S56" s="333">
        <f t="shared" si="22"/>
        <v>0</v>
      </c>
      <c r="T56" s="1177">
        <f t="shared" si="23"/>
        <v>0</v>
      </c>
      <c r="U56" s="1309">
        <f t="shared" si="17"/>
        <v>0</v>
      </c>
      <c r="V56" s="1309">
        <f t="shared" si="18"/>
        <v>0</v>
      </c>
      <c r="W56" s="1306"/>
      <c r="X56" s="1309">
        <f t="shared" si="19"/>
        <v>0</v>
      </c>
      <c r="Y56" s="1309">
        <f t="shared" si="20"/>
        <v>0</v>
      </c>
      <c r="Z56" s="1306"/>
    </row>
    <row r="57" spans="1:26">
      <c r="A57" s="74"/>
      <c r="B57" s="24"/>
      <c r="C57" s="14">
        <f t="shared" si="9"/>
        <v>1</v>
      </c>
      <c r="D57" s="706"/>
      <c r="E57" s="14">
        <f t="shared" si="10"/>
        <v>1</v>
      </c>
      <c r="F57" s="706"/>
      <c r="G57" s="14">
        <f t="shared" si="11"/>
        <v>1</v>
      </c>
      <c r="H57" s="706"/>
      <c r="I57" s="14">
        <f t="shared" si="12"/>
        <v>1</v>
      </c>
      <c r="J57" s="706"/>
      <c r="K57" s="14">
        <f t="shared" si="13"/>
        <v>1</v>
      </c>
      <c r="L57" s="706"/>
      <c r="M57" s="14">
        <f t="shared" si="14"/>
        <v>1</v>
      </c>
      <c r="N57" s="706"/>
      <c r="O57" s="14">
        <f t="shared" si="15"/>
        <v>1</v>
      </c>
      <c r="P57" s="706"/>
      <c r="Q57" s="14">
        <f t="shared" si="16"/>
        <v>1</v>
      </c>
      <c r="R57" s="702">
        <f t="shared" si="21"/>
        <v>0</v>
      </c>
      <c r="S57" s="333">
        <f t="shared" si="22"/>
        <v>0</v>
      </c>
      <c r="T57" s="1177">
        <f t="shared" si="23"/>
        <v>0</v>
      </c>
      <c r="U57" s="1309">
        <f t="shared" si="17"/>
        <v>0</v>
      </c>
      <c r="V57" s="1309">
        <f t="shared" si="18"/>
        <v>0</v>
      </c>
      <c r="W57" s="1306"/>
      <c r="X57" s="1309">
        <f t="shared" si="19"/>
        <v>0</v>
      </c>
      <c r="Y57" s="1309">
        <f t="shared" si="20"/>
        <v>0</v>
      </c>
      <c r="Z57" s="1306"/>
    </row>
    <row r="58" spans="1:26">
      <c r="A58" s="74"/>
      <c r="B58" s="24"/>
      <c r="C58" s="14">
        <f t="shared" si="9"/>
        <v>1</v>
      </c>
      <c r="D58" s="706"/>
      <c r="E58" s="14">
        <f t="shared" si="10"/>
        <v>1</v>
      </c>
      <c r="F58" s="706"/>
      <c r="G58" s="14">
        <f t="shared" si="11"/>
        <v>1</v>
      </c>
      <c r="H58" s="706"/>
      <c r="I58" s="14">
        <f t="shared" si="12"/>
        <v>1</v>
      </c>
      <c r="J58" s="706"/>
      <c r="K58" s="14">
        <f t="shared" si="13"/>
        <v>1</v>
      </c>
      <c r="L58" s="706"/>
      <c r="M58" s="14">
        <f t="shared" si="14"/>
        <v>1</v>
      </c>
      <c r="N58" s="706"/>
      <c r="O58" s="14">
        <f t="shared" si="15"/>
        <v>1</v>
      </c>
      <c r="P58" s="706"/>
      <c r="Q58" s="14">
        <f t="shared" si="16"/>
        <v>1</v>
      </c>
      <c r="R58" s="702">
        <f t="shared" si="21"/>
        <v>0</v>
      </c>
      <c r="S58" s="333">
        <f t="shared" si="22"/>
        <v>0</v>
      </c>
      <c r="T58" s="1177">
        <f t="shared" si="23"/>
        <v>0</v>
      </c>
      <c r="U58" s="1309">
        <f t="shared" si="17"/>
        <v>0</v>
      </c>
      <c r="V58" s="1309">
        <f t="shared" si="18"/>
        <v>0</v>
      </c>
      <c r="W58" s="1306"/>
      <c r="X58" s="1309">
        <f t="shared" si="19"/>
        <v>0</v>
      </c>
      <c r="Y58" s="1309">
        <f t="shared" si="20"/>
        <v>0</v>
      </c>
      <c r="Z58" s="1306"/>
    </row>
    <row r="59" spans="1:26">
      <c r="A59" s="74"/>
      <c r="B59" s="24"/>
      <c r="C59" s="14">
        <f t="shared" si="9"/>
        <v>1</v>
      </c>
      <c r="D59" s="706"/>
      <c r="E59" s="14">
        <f t="shared" si="10"/>
        <v>1</v>
      </c>
      <c r="F59" s="706"/>
      <c r="G59" s="14">
        <f t="shared" si="11"/>
        <v>1</v>
      </c>
      <c r="H59" s="706"/>
      <c r="I59" s="14">
        <f t="shared" si="12"/>
        <v>1</v>
      </c>
      <c r="J59" s="706"/>
      <c r="K59" s="14">
        <f t="shared" si="13"/>
        <v>1</v>
      </c>
      <c r="L59" s="706"/>
      <c r="M59" s="14">
        <f t="shared" si="14"/>
        <v>1</v>
      </c>
      <c r="N59" s="706"/>
      <c r="O59" s="14">
        <f t="shared" si="15"/>
        <v>1</v>
      </c>
      <c r="P59" s="706"/>
      <c r="Q59" s="14">
        <f t="shared" si="16"/>
        <v>1</v>
      </c>
      <c r="R59" s="702">
        <f t="shared" si="21"/>
        <v>0</v>
      </c>
      <c r="S59" s="333">
        <f t="shared" si="22"/>
        <v>0</v>
      </c>
      <c r="T59" s="1177">
        <f t="shared" si="23"/>
        <v>0</v>
      </c>
      <c r="U59" s="1309">
        <f t="shared" si="17"/>
        <v>0</v>
      </c>
      <c r="V59" s="1309">
        <f t="shared" si="18"/>
        <v>0</v>
      </c>
      <c r="W59" s="1306"/>
      <c r="X59" s="1309">
        <f t="shared" si="19"/>
        <v>0</v>
      </c>
      <c r="Y59" s="1309">
        <f t="shared" si="20"/>
        <v>0</v>
      </c>
      <c r="Z59" s="1306"/>
    </row>
    <row r="60" spans="1:26">
      <c r="A60" s="74"/>
      <c r="B60" s="24"/>
      <c r="C60" s="14">
        <f t="shared" si="9"/>
        <v>1</v>
      </c>
      <c r="D60" s="706"/>
      <c r="E60" s="14">
        <f t="shared" si="10"/>
        <v>1</v>
      </c>
      <c r="F60" s="706"/>
      <c r="G60" s="14">
        <f t="shared" si="11"/>
        <v>1</v>
      </c>
      <c r="H60" s="706"/>
      <c r="I60" s="14">
        <f t="shared" si="12"/>
        <v>1</v>
      </c>
      <c r="J60" s="706"/>
      <c r="K60" s="14">
        <f t="shared" si="13"/>
        <v>1</v>
      </c>
      <c r="L60" s="706"/>
      <c r="M60" s="14">
        <f t="shared" si="14"/>
        <v>1</v>
      </c>
      <c r="N60" s="706"/>
      <c r="O60" s="14">
        <f t="shared" si="15"/>
        <v>1</v>
      </c>
      <c r="P60" s="706"/>
      <c r="Q60" s="14">
        <f t="shared" si="16"/>
        <v>1</v>
      </c>
      <c r="R60" s="702">
        <f t="shared" si="21"/>
        <v>0</v>
      </c>
      <c r="S60" s="333">
        <f t="shared" si="22"/>
        <v>0</v>
      </c>
      <c r="T60" s="1177">
        <f t="shared" si="23"/>
        <v>0</v>
      </c>
      <c r="U60" s="1309">
        <f t="shared" si="17"/>
        <v>0</v>
      </c>
      <c r="V60" s="1309">
        <f t="shared" si="18"/>
        <v>0</v>
      </c>
      <c r="W60" s="1306"/>
      <c r="X60" s="1309">
        <f t="shared" si="19"/>
        <v>0</v>
      </c>
      <c r="Y60" s="1309">
        <f t="shared" si="20"/>
        <v>0</v>
      </c>
      <c r="Z60" s="1306"/>
    </row>
    <row r="61" spans="1:26">
      <c r="A61" s="74"/>
      <c r="B61" s="24"/>
      <c r="C61" s="14">
        <f t="shared" si="9"/>
        <v>1</v>
      </c>
      <c r="D61" s="706"/>
      <c r="E61" s="14">
        <f t="shared" si="10"/>
        <v>1</v>
      </c>
      <c r="F61" s="706"/>
      <c r="G61" s="14">
        <f t="shared" si="11"/>
        <v>1</v>
      </c>
      <c r="H61" s="706"/>
      <c r="I61" s="14">
        <f t="shared" si="12"/>
        <v>1</v>
      </c>
      <c r="J61" s="706"/>
      <c r="K61" s="14">
        <f t="shared" si="13"/>
        <v>1</v>
      </c>
      <c r="L61" s="706"/>
      <c r="M61" s="14">
        <f t="shared" si="14"/>
        <v>1</v>
      </c>
      <c r="N61" s="706"/>
      <c r="O61" s="14">
        <f t="shared" si="15"/>
        <v>1</v>
      </c>
      <c r="P61" s="706"/>
      <c r="Q61" s="14">
        <f t="shared" si="16"/>
        <v>1</v>
      </c>
      <c r="R61" s="702">
        <f t="shared" si="21"/>
        <v>0</v>
      </c>
      <c r="S61" s="333">
        <f t="shared" si="22"/>
        <v>0</v>
      </c>
      <c r="T61" s="1177">
        <f t="shared" si="23"/>
        <v>0</v>
      </c>
      <c r="U61" s="1309">
        <f t="shared" si="17"/>
        <v>0</v>
      </c>
      <c r="V61" s="1309">
        <f t="shared" si="18"/>
        <v>0</v>
      </c>
      <c r="W61" s="1306"/>
      <c r="X61" s="1309">
        <f t="shared" si="19"/>
        <v>0</v>
      </c>
      <c r="Y61" s="1309">
        <f t="shared" si="20"/>
        <v>0</v>
      </c>
      <c r="Z61" s="1306"/>
    </row>
    <row r="62" spans="1:26">
      <c r="A62" s="74"/>
      <c r="B62" s="24"/>
      <c r="C62" s="14">
        <f t="shared" si="9"/>
        <v>1</v>
      </c>
      <c r="D62" s="706"/>
      <c r="E62" s="14">
        <f t="shared" si="10"/>
        <v>1</v>
      </c>
      <c r="F62" s="706"/>
      <c r="G62" s="14">
        <f t="shared" si="11"/>
        <v>1</v>
      </c>
      <c r="H62" s="706"/>
      <c r="I62" s="14">
        <f t="shared" si="12"/>
        <v>1</v>
      </c>
      <c r="J62" s="706"/>
      <c r="K62" s="14">
        <f t="shared" si="13"/>
        <v>1</v>
      </c>
      <c r="L62" s="706"/>
      <c r="M62" s="14">
        <f t="shared" si="14"/>
        <v>1</v>
      </c>
      <c r="N62" s="706"/>
      <c r="O62" s="14">
        <f t="shared" si="15"/>
        <v>1</v>
      </c>
      <c r="P62" s="706"/>
      <c r="Q62" s="14">
        <f t="shared" si="16"/>
        <v>1</v>
      </c>
      <c r="R62" s="702">
        <f t="shared" si="21"/>
        <v>0</v>
      </c>
      <c r="S62" s="333">
        <f t="shared" si="22"/>
        <v>0</v>
      </c>
      <c r="T62" s="1177">
        <f t="shared" si="23"/>
        <v>0</v>
      </c>
      <c r="U62" s="1309">
        <f t="shared" si="17"/>
        <v>0</v>
      </c>
      <c r="V62" s="1309">
        <f t="shared" si="18"/>
        <v>0</v>
      </c>
      <c r="W62" s="1306"/>
      <c r="X62" s="1309">
        <f t="shared" si="19"/>
        <v>0</v>
      </c>
      <c r="Y62" s="1309">
        <f t="shared" si="20"/>
        <v>0</v>
      </c>
      <c r="Z62" s="1306"/>
    </row>
    <row r="63" spans="1:26">
      <c r="A63" s="74"/>
      <c r="B63" s="24"/>
      <c r="C63" s="14">
        <f t="shared" si="9"/>
        <v>1</v>
      </c>
      <c r="D63" s="706"/>
      <c r="E63" s="14">
        <f t="shared" si="10"/>
        <v>1</v>
      </c>
      <c r="F63" s="706"/>
      <c r="G63" s="14">
        <f t="shared" si="11"/>
        <v>1</v>
      </c>
      <c r="H63" s="706"/>
      <c r="I63" s="14">
        <f t="shared" si="12"/>
        <v>1</v>
      </c>
      <c r="J63" s="706"/>
      <c r="K63" s="14">
        <f t="shared" si="13"/>
        <v>1</v>
      </c>
      <c r="L63" s="706"/>
      <c r="M63" s="14">
        <f t="shared" si="14"/>
        <v>1</v>
      </c>
      <c r="N63" s="706"/>
      <c r="O63" s="14">
        <f t="shared" si="15"/>
        <v>1</v>
      </c>
      <c r="P63" s="706"/>
      <c r="Q63" s="14">
        <f t="shared" si="16"/>
        <v>1</v>
      </c>
      <c r="R63" s="702">
        <f t="shared" si="21"/>
        <v>0</v>
      </c>
      <c r="S63" s="333">
        <f t="shared" si="22"/>
        <v>0</v>
      </c>
      <c r="T63" s="1177">
        <f t="shared" si="23"/>
        <v>0</v>
      </c>
      <c r="U63" s="1309">
        <f t="shared" si="17"/>
        <v>0</v>
      </c>
      <c r="V63" s="1309">
        <f t="shared" si="18"/>
        <v>0</v>
      </c>
      <c r="W63" s="1306"/>
      <c r="X63" s="1309">
        <f t="shared" si="19"/>
        <v>0</v>
      </c>
      <c r="Y63" s="1309">
        <f t="shared" si="20"/>
        <v>0</v>
      </c>
      <c r="Z63" s="1306"/>
    </row>
    <row r="64" spans="1:26">
      <c r="A64" s="74"/>
      <c r="B64" s="24"/>
      <c r="C64" s="14">
        <f t="shared" si="9"/>
        <v>1</v>
      </c>
      <c r="D64" s="706"/>
      <c r="E64" s="14">
        <f t="shared" si="10"/>
        <v>1</v>
      </c>
      <c r="F64" s="706"/>
      <c r="G64" s="14">
        <f t="shared" si="11"/>
        <v>1</v>
      </c>
      <c r="H64" s="706"/>
      <c r="I64" s="14">
        <f t="shared" si="12"/>
        <v>1</v>
      </c>
      <c r="J64" s="706"/>
      <c r="K64" s="14">
        <f t="shared" si="13"/>
        <v>1</v>
      </c>
      <c r="L64" s="706"/>
      <c r="M64" s="14">
        <f t="shared" si="14"/>
        <v>1</v>
      </c>
      <c r="N64" s="706"/>
      <c r="O64" s="14">
        <f t="shared" si="15"/>
        <v>1</v>
      </c>
      <c r="P64" s="706"/>
      <c r="Q64" s="14">
        <f t="shared" si="16"/>
        <v>1</v>
      </c>
      <c r="R64" s="702">
        <f t="shared" si="21"/>
        <v>0</v>
      </c>
      <c r="S64" s="333">
        <f t="shared" si="22"/>
        <v>0</v>
      </c>
      <c r="T64" s="1177">
        <f t="shared" si="23"/>
        <v>0</v>
      </c>
      <c r="U64" s="1309">
        <f t="shared" si="17"/>
        <v>0</v>
      </c>
      <c r="V64" s="1309">
        <f t="shared" si="18"/>
        <v>0</v>
      </c>
      <c r="W64" s="1306"/>
      <c r="X64" s="1309">
        <f t="shared" si="19"/>
        <v>0</v>
      </c>
      <c r="Y64" s="1309">
        <f t="shared" si="20"/>
        <v>0</v>
      </c>
      <c r="Z64" s="1306"/>
    </row>
    <row r="65" spans="1:26">
      <c r="A65" s="74"/>
      <c r="B65" s="24"/>
      <c r="C65" s="14">
        <f t="shared" si="9"/>
        <v>1</v>
      </c>
      <c r="D65" s="706"/>
      <c r="E65" s="14">
        <f t="shared" si="10"/>
        <v>1</v>
      </c>
      <c r="F65" s="706"/>
      <c r="G65" s="14">
        <f t="shared" si="11"/>
        <v>1</v>
      </c>
      <c r="H65" s="706"/>
      <c r="I65" s="14">
        <f t="shared" si="12"/>
        <v>1</v>
      </c>
      <c r="J65" s="706"/>
      <c r="K65" s="14">
        <f t="shared" si="13"/>
        <v>1</v>
      </c>
      <c r="L65" s="706"/>
      <c r="M65" s="14">
        <f t="shared" si="14"/>
        <v>1</v>
      </c>
      <c r="N65" s="706"/>
      <c r="O65" s="14">
        <f t="shared" si="15"/>
        <v>1</v>
      </c>
      <c r="P65" s="706"/>
      <c r="Q65" s="14">
        <f t="shared" si="16"/>
        <v>1</v>
      </c>
      <c r="R65" s="702">
        <f t="shared" si="21"/>
        <v>0</v>
      </c>
      <c r="S65" s="333">
        <f t="shared" si="22"/>
        <v>0</v>
      </c>
      <c r="T65" s="1177">
        <f t="shared" si="23"/>
        <v>0</v>
      </c>
      <c r="U65" s="1309">
        <f t="shared" si="17"/>
        <v>0</v>
      </c>
      <c r="V65" s="1309">
        <f t="shared" si="18"/>
        <v>0</v>
      </c>
      <c r="W65" s="1306"/>
      <c r="X65" s="1309">
        <f t="shared" si="19"/>
        <v>0</v>
      </c>
      <c r="Y65" s="1309">
        <f t="shared" si="20"/>
        <v>0</v>
      </c>
      <c r="Z65" s="1306"/>
    </row>
    <row r="66" spans="1:26">
      <c r="A66" s="74"/>
      <c r="B66" s="24"/>
      <c r="C66" s="14">
        <f t="shared" si="9"/>
        <v>1</v>
      </c>
      <c r="D66" s="706"/>
      <c r="E66" s="14">
        <f t="shared" si="10"/>
        <v>1</v>
      </c>
      <c r="F66" s="706"/>
      <c r="G66" s="14">
        <f t="shared" si="11"/>
        <v>1</v>
      </c>
      <c r="H66" s="706"/>
      <c r="I66" s="14">
        <f t="shared" si="12"/>
        <v>1</v>
      </c>
      <c r="J66" s="706"/>
      <c r="K66" s="14">
        <f t="shared" si="13"/>
        <v>1</v>
      </c>
      <c r="L66" s="706"/>
      <c r="M66" s="14">
        <f t="shared" si="14"/>
        <v>1</v>
      </c>
      <c r="N66" s="706"/>
      <c r="O66" s="14">
        <f t="shared" si="15"/>
        <v>1</v>
      </c>
      <c r="P66" s="706"/>
      <c r="Q66" s="14">
        <f t="shared" si="16"/>
        <v>1</v>
      </c>
      <c r="R66" s="702">
        <f t="shared" si="21"/>
        <v>0</v>
      </c>
      <c r="S66" s="333">
        <f t="shared" si="22"/>
        <v>0</v>
      </c>
      <c r="T66" s="1177">
        <f t="shared" si="23"/>
        <v>0</v>
      </c>
      <c r="U66" s="1309">
        <f t="shared" si="17"/>
        <v>0</v>
      </c>
      <c r="V66" s="1309">
        <f t="shared" si="18"/>
        <v>0</v>
      </c>
      <c r="W66" s="1306"/>
      <c r="X66" s="1309">
        <f t="shared" si="19"/>
        <v>0</v>
      </c>
      <c r="Y66" s="1309">
        <f t="shared" si="20"/>
        <v>0</v>
      </c>
      <c r="Z66" s="1306"/>
    </row>
    <row r="67" spans="1:26">
      <c r="A67" s="74"/>
      <c r="B67" s="24"/>
      <c r="C67" s="14">
        <f t="shared" si="9"/>
        <v>1</v>
      </c>
      <c r="D67" s="706"/>
      <c r="E67" s="14">
        <f t="shared" si="10"/>
        <v>1</v>
      </c>
      <c r="F67" s="706"/>
      <c r="G67" s="14">
        <f t="shared" si="11"/>
        <v>1</v>
      </c>
      <c r="H67" s="706"/>
      <c r="I67" s="14">
        <f t="shared" si="12"/>
        <v>1</v>
      </c>
      <c r="J67" s="706"/>
      <c r="K67" s="14">
        <f t="shared" si="13"/>
        <v>1</v>
      </c>
      <c r="L67" s="706"/>
      <c r="M67" s="14">
        <f t="shared" si="14"/>
        <v>1</v>
      </c>
      <c r="N67" s="706"/>
      <c r="O67" s="14">
        <f t="shared" si="15"/>
        <v>1</v>
      </c>
      <c r="P67" s="706"/>
      <c r="Q67" s="14">
        <f t="shared" si="16"/>
        <v>1</v>
      </c>
      <c r="R67" s="702">
        <f t="shared" si="21"/>
        <v>0</v>
      </c>
      <c r="S67" s="333">
        <f t="shared" si="22"/>
        <v>0</v>
      </c>
      <c r="T67" s="1177">
        <f t="shared" si="23"/>
        <v>0</v>
      </c>
      <c r="U67" s="1309">
        <f t="shared" si="17"/>
        <v>0</v>
      </c>
      <c r="V67" s="1309">
        <f t="shared" si="18"/>
        <v>0</v>
      </c>
      <c r="W67" s="1306"/>
      <c r="X67" s="1309">
        <f t="shared" si="19"/>
        <v>0</v>
      </c>
      <c r="Y67" s="1309">
        <f t="shared" si="20"/>
        <v>0</v>
      </c>
      <c r="Z67" s="1306"/>
    </row>
    <row r="68" spans="1:26">
      <c r="A68" s="74"/>
      <c r="B68" s="24"/>
      <c r="C68" s="14">
        <f t="shared" si="9"/>
        <v>1</v>
      </c>
      <c r="D68" s="706"/>
      <c r="E68" s="14">
        <f t="shared" si="10"/>
        <v>1</v>
      </c>
      <c r="F68" s="706"/>
      <c r="G68" s="14">
        <f t="shared" si="11"/>
        <v>1</v>
      </c>
      <c r="H68" s="706"/>
      <c r="I68" s="14">
        <f t="shared" si="12"/>
        <v>1</v>
      </c>
      <c r="J68" s="706"/>
      <c r="K68" s="14">
        <f t="shared" si="13"/>
        <v>1</v>
      </c>
      <c r="L68" s="706"/>
      <c r="M68" s="14">
        <f t="shared" si="14"/>
        <v>1</v>
      </c>
      <c r="N68" s="706"/>
      <c r="O68" s="14">
        <f t="shared" si="15"/>
        <v>1</v>
      </c>
      <c r="P68" s="706"/>
      <c r="Q68" s="14">
        <f t="shared" si="16"/>
        <v>1</v>
      </c>
      <c r="R68" s="702">
        <f t="shared" si="21"/>
        <v>0</v>
      </c>
      <c r="S68" s="333">
        <f t="shared" si="22"/>
        <v>0</v>
      </c>
      <c r="T68" s="1177">
        <f t="shared" si="23"/>
        <v>0</v>
      </c>
      <c r="U68" s="1309">
        <f t="shared" si="17"/>
        <v>0</v>
      </c>
      <c r="V68" s="1309">
        <f t="shared" si="18"/>
        <v>0</v>
      </c>
      <c r="W68" s="1306"/>
      <c r="X68" s="1309">
        <f t="shared" si="19"/>
        <v>0</v>
      </c>
      <c r="Y68" s="1309">
        <f t="shared" si="20"/>
        <v>0</v>
      </c>
      <c r="Z68" s="1306"/>
    </row>
    <row r="69" spans="1:26">
      <c r="A69" s="74"/>
      <c r="B69" s="24"/>
      <c r="C69" s="14">
        <f t="shared" si="9"/>
        <v>1</v>
      </c>
      <c r="D69" s="706"/>
      <c r="E69" s="14">
        <f t="shared" si="10"/>
        <v>1</v>
      </c>
      <c r="F69" s="706"/>
      <c r="G69" s="14">
        <f t="shared" si="11"/>
        <v>1</v>
      </c>
      <c r="H69" s="706"/>
      <c r="I69" s="14">
        <f t="shared" si="12"/>
        <v>1</v>
      </c>
      <c r="J69" s="706"/>
      <c r="K69" s="14">
        <f t="shared" si="13"/>
        <v>1</v>
      </c>
      <c r="L69" s="706"/>
      <c r="M69" s="14">
        <f t="shared" si="14"/>
        <v>1</v>
      </c>
      <c r="N69" s="706"/>
      <c r="O69" s="14">
        <f t="shared" si="15"/>
        <v>1</v>
      </c>
      <c r="P69" s="706"/>
      <c r="Q69" s="14">
        <f t="shared" si="16"/>
        <v>1</v>
      </c>
      <c r="R69" s="702">
        <f t="shared" si="21"/>
        <v>0</v>
      </c>
      <c r="S69" s="333">
        <f t="shared" si="22"/>
        <v>0</v>
      </c>
      <c r="T69" s="1177">
        <f t="shared" si="23"/>
        <v>0</v>
      </c>
      <c r="U69" s="1309">
        <f t="shared" si="17"/>
        <v>0</v>
      </c>
      <c r="V69" s="1309">
        <f t="shared" si="18"/>
        <v>0</v>
      </c>
      <c r="W69" s="1306"/>
      <c r="X69" s="1309">
        <f t="shared" si="19"/>
        <v>0</v>
      </c>
      <c r="Y69" s="1309">
        <f t="shared" si="20"/>
        <v>0</v>
      </c>
      <c r="Z69" s="1306"/>
    </row>
    <row r="70" spans="1:26">
      <c r="A70" s="74"/>
      <c r="B70" s="24"/>
      <c r="C70" s="14">
        <f t="shared" si="9"/>
        <v>1</v>
      </c>
      <c r="D70" s="706"/>
      <c r="E70" s="14">
        <f t="shared" si="10"/>
        <v>1</v>
      </c>
      <c r="F70" s="706"/>
      <c r="G70" s="14">
        <f t="shared" si="11"/>
        <v>1</v>
      </c>
      <c r="H70" s="706"/>
      <c r="I70" s="14">
        <f t="shared" si="12"/>
        <v>1</v>
      </c>
      <c r="J70" s="706"/>
      <c r="K70" s="14">
        <f t="shared" si="13"/>
        <v>1</v>
      </c>
      <c r="L70" s="706"/>
      <c r="M70" s="14">
        <f t="shared" si="14"/>
        <v>1</v>
      </c>
      <c r="N70" s="706"/>
      <c r="O70" s="14">
        <f t="shared" si="15"/>
        <v>1</v>
      </c>
      <c r="P70" s="706"/>
      <c r="Q70" s="14">
        <f t="shared" si="16"/>
        <v>1</v>
      </c>
      <c r="R70" s="702">
        <f t="shared" si="21"/>
        <v>0</v>
      </c>
      <c r="S70" s="333">
        <f t="shared" si="22"/>
        <v>0</v>
      </c>
      <c r="T70" s="1177">
        <f t="shared" si="23"/>
        <v>0</v>
      </c>
      <c r="U70" s="1309">
        <f t="shared" si="17"/>
        <v>0</v>
      </c>
      <c r="V70" s="1309">
        <f t="shared" si="18"/>
        <v>0</v>
      </c>
      <c r="W70" s="1306"/>
      <c r="X70" s="1309">
        <f t="shared" si="19"/>
        <v>0</v>
      </c>
      <c r="Y70" s="1309">
        <f t="shared" si="20"/>
        <v>0</v>
      </c>
      <c r="Z70" s="1306"/>
    </row>
    <row r="71" spans="1:26">
      <c r="A71" s="74"/>
      <c r="B71" s="24"/>
      <c r="C71" s="14">
        <f t="shared" si="9"/>
        <v>1</v>
      </c>
      <c r="D71" s="706"/>
      <c r="E71" s="14">
        <f t="shared" si="10"/>
        <v>1</v>
      </c>
      <c r="F71" s="706"/>
      <c r="G71" s="14">
        <f t="shared" si="11"/>
        <v>1</v>
      </c>
      <c r="H71" s="706"/>
      <c r="I71" s="14">
        <f t="shared" si="12"/>
        <v>1</v>
      </c>
      <c r="J71" s="706"/>
      <c r="K71" s="14">
        <f t="shared" si="13"/>
        <v>1</v>
      </c>
      <c r="L71" s="706"/>
      <c r="M71" s="14">
        <f t="shared" si="14"/>
        <v>1</v>
      </c>
      <c r="N71" s="706"/>
      <c r="O71" s="14">
        <f t="shared" si="15"/>
        <v>1</v>
      </c>
      <c r="P71" s="706"/>
      <c r="Q71" s="14">
        <f t="shared" si="16"/>
        <v>1</v>
      </c>
      <c r="R71" s="702">
        <f t="shared" si="21"/>
        <v>0</v>
      </c>
      <c r="S71" s="333">
        <f t="shared" si="22"/>
        <v>0</v>
      </c>
      <c r="T71" s="1177">
        <f t="shared" si="23"/>
        <v>0</v>
      </c>
      <c r="U71" s="1309">
        <f t="shared" si="17"/>
        <v>0</v>
      </c>
      <c r="V71" s="1309">
        <f t="shared" si="18"/>
        <v>0</v>
      </c>
      <c r="W71" s="1306"/>
      <c r="X71" s="1309">
        <f t="shared" si="19"/>
        <v>0</v>
      </c>
      <c r="Y71" s="1309">
        <f t="shared" si="20"/>
        <v>0</v>
      </c>
      <c r="Z71" s="1306"/>
    </row>
    <row r="72" spans="1:26">
      <c r="A72" s="74"/>
      <c r="B72" s="24"/>
      <c r="C72" s="14">
        <f t="shared" si="9"/>
        <v>1</v>
      </c>
      <c r="D72" s="706"/>
      <c r="E72" s="14">
        <f t="shared" si="10"/>
        <v>1</v>
      </c>
      <c r="F72" s="706"/>
      <c r="G72" s="14">
        <f t="shared" si="11"/>
        <v>1</v>
      </c>
      <c r="H72" s="706"/>
      <c r="I72" s="14">
        <f t="shared" si="12"/>
        <v>1</v>
      </c>
      <c r="J72" s="706"/>
      <c r="K72" s="14">
        <f t="shared" si="13"/>
        <v>1</v>
      </c>
      <c r="L72" s="706"/>
      <c r="M72" s="14">
        <f t="shared" si="14"/>
        <v>1</v>
      </c>
      <c r="N72" s="706"/>
      <c r="O72" s="14">
        <f t="shared" si="15"/>
        <v>1</v>
      </c>
      <c r="P72" s="706"/>
      <c r="Q72" s="14">
        <f t="shared" si="16"/>
        <v>1</v>
      </c>
      <c r="R72" s="702">
        <f t="shared" si="21"/>
        <v>0</v>
      </c>
      <c r="S72" s="333">
        <f t="shared" si="22"/>
        <v>0</v>
      </c>
      <c r="T72" s="1177">
        <f t="shared" si="23"/>
        <v>0</v>
      </c>
      <c r="U72" s="1309">
        <f t="shared" si="17"/>
        <v>0</v>
      </c>
      <c r="V72" s="1309">
        <f t="shared" si="18"/>
        <v>0</v>
      </c>
      <c r="W72" s="1306"/>
      <c r="X72" s="1309">
        <f t="shared" si="19"/>
        <v>0</v>
      </c>
      <c r="Y72" s="1309">
        <f t="shared" si="20"/>
        <v>0</v>
      </c>
      <c r="Z72" s="1306"/>
    </row>
    <row r="73" spans="1:26">
      <c r="A73" s="74"/>
      <c r="B73" s="24"/>
      <c r="C73" s="14">
        <f t="shared" si="9"/>
        <v>1</v>
      </c>
      <c r="D73" s="706"/>
      <c r="E73" s="14">
        <f t="shared" si="10"/>
        <v>1</v>
      </c>
      <c r="F73" s="706"/>
      <c r="G73" s="14">
        <f t="shared" si="11"/>
        <v>1</v>
      </c>
      <c r="H73" s="706"/>
      <c r="I73" s="14">
        <f t="shared" si="12"/>
        <v>1</v>
      </c>
      <c r="J73" s="706"/>
      <c r="K73" s="14">
        <f t="shared" si="13"/>
        <v>1</v>
      </c>
      <c r="L73" s="706"/>
      <c r="M73" s="14">
        <f t="shared" si="14"/>
        <v>1</v>
      </c>
      <c r="N73" s="706"/>
      <c r="O73" s="14">
        <f t="shared" si="15"/>
        <v>1</v>
      </c>
      <c r="P73" s="706"/>
      <c r="Q73" s="14">
        <f t="shared" si="16"/>
        <v>1</v>
      </c>
      <c r="R73" s="702">
        <f t="shared" si="21"/>
        <v>0</v>
      </c>
      <c r="S73" s="333">
        <f t="shared" si="22"/>
        <v>0</v>
      </c>
      <c r="T73" s="1177">
        <f t="shared" si="23"/>
        <v>0</v>
      </c>
      <c r="U73" s="1309">
        <f t="shared" si="17"/>
        <v>0</v>
      </c>
      <c r="V73" s="1309">
        <f t="shared" si="18"/>
        <v>0</v>
      </c>
      <c r="W73" s="1306"/>
      <c r="X73" s="1309">
        <f t="shared" si="19"/>
        <v>0</v>
      </c>
      <c r="Y73" s="1309">
        <f t="shared" si="20"/>
        <v>0</v>
      </c>
      <c r="Z73" s="1306"/>
    </row>
    <row r="74" spans="1:26">
      <c r="A74" s="74"/>
      <c r="B74" s="24"/>
      <c r="C74" s="14">
        <f t="shared" si="9"/>
        <v>1</v>
      </c>
      <c r="D74" s="706"/>
      <c r="E74" s="14">
        <f t="shared" si="10"/>
        <v>1</v>
      </c>
      <c r="F74" s="706"/>
      <c r="G74" s="14">
        <f t="shared" si="11"/>
        <v>1</v>
      </c>
      <c r="H74" s="706"/>
      <c r="I74" s="14">
        <f t="shared" si="12"/>
        <v>1</v>
      </c>
      <c r="J74" s="706"/>
      <c r="K74" s="14">
        <f t="shared" si="13"/>
        <v>1</v>
      </c>
      <c r="L74" s="706"/>
      <c r="M74" s="14">
        <f t="shared" si="14"/>
        <v>1</v>
      </c>
      <c r="N74" s="706"/>
      <c r="O74" s="14">
        <f t="shared" si="15"/>
        <v>1</v>
      </c>
      <c r="P74" s="706"/>
      <c r="Q74" s="14">
        <f t="shared" si="16"/>
        <v>1</v>
      </c>
      <c r="R74" s="702">
        <f t="shared" si="21"/>
        <v>0</v>
      </c>
      <c r="S74" s="333">
        <f t="shared" si="22"/>
        <v>0</v>
      </c>
      <c r="T74" s="1177">
        <f t="shared" si="23"/>
        <v>0</v>
      </c>
      <c r="U74" s="1309">
        <f t="shared" si="17"/>
        <v>0</v>
      </c>
      <c r="V74" s="1309">
        <f t="shared" si="18"/>
        <v>0</v>
      </c>
      <c r="W74" s="1306"/>
      <c r="X74" s="1309">
        <f t="shared" si="19"/>
        <v>0</v>
      </c>
      <c r="Y74" s="1309">
        <f t="shared" si="20"/>
        <v>0</v>
      </c>
      <c r="Z74" s="1306"/>
    </row>
    <row r="75" spans="1:26">
      <c r="A75" s="74"/>
      <c r="B75" s="24"/>
      <c r="C75" s="14">
        <f t="shared" si="9"/>
        <v>1</v>
      </c>
      <c r="D75" s="706"/>
      <c r="E75" s="14">
        <f t="shared" si="10"/>
        <v>1</v>
      </c>
      <c r="F75" s="706"/>
      <c r="G75" s="14">
        <f t="shared" si="11"/>
        <v>1</v>
      </c>
      <c r="H75" s="706"/>
      <c r="I75" s="14">
        <f t="shared" si="12"/>
        <v>1</v>
      </c>
      <c r="J75" s="706"/>
      <c r="K75" s="14">
        <f t="shared" si="13"/>
        <v>1</v>
      </c>
      <c r="L75" s="706"/>
      <c r="M75" s="14">
        <f t="shared" si="14"/>
        <v>1</v>
      </c>
      <c r="N75" s="706"/>
      <c r="O75" s="14">
        <f t="shared" si="15"/>
        <v>1</v>
      </c>
      <c r="P75" s="706"/>
      <c r="Q75" s="14">
        <f t="shared" si="16"/>
        <v>1</v>
      </c>
      <c r="R75" s="702">
        <f t="shared" si="21"/>
        <v>0</v>
      </c>
      <c r="S75" s="333">
        <f t="shared" si="22"/>
        <v>0</v>
      </c>
      <c r="T75" s="1177">
        <f t="shared" si="23"/>
        <v>0</v>
      </c>
      <c r="U75" s="1309">
        <f t="shared" si="17"/>
        <v>0</v>
      </c>
      <c r="V75" s="1309">
        <f t="shared" si="18"/>
        <v>0</v>
      </c>
      <c r="W75" s="1306"/>
      <c r="X75" s="1309">
        <f t="shared" si="19"/>
        <v>0</v>
      </c>
      <c r="Y75" s="1309">
        <f t="shared" si="20"/>
        <v>0</v>
      </c>
      <c r="Z75" s="1306"/>
    </row>
    <row r="76" spans="1:26">
      <c r="A76" s="74"/>
      <c r="B76" s="24"/>
      <c r="C76" s="14">
        <f t="shared" si="9"/>
        <v>1</v>
      </c>
      <c r="D76" s="706"/>
      <c r="E76" s="14">
        <f t="shared" si="10"/>
        <v>1</v>
      </c>
      <c r="F76" s="706"/>
      <c r="G76" s="14">
        <f t="shared" si="11"/>
        <v>1</v>
      </c>
      <c r="H76" s="706"/>
      <c r="I76" s="14">
        <f t="shared" si="12"/>
        <v>1</v>
      </c>
      <c r="J76" s="706"/>
      <c r="K76" s="14">
        <f t="shared" si="13"/>
        <v>1</v>
      </c>
      <c r="L76" s="706"/>
      <c r="M76" s="14">
        <f t="shared" si="14"/>
        <v>1</v>
      </c>
      <c r="N76" s="706"/>
      <c r="O76" s="14">
        <f t="shared" si="15"/>
        <v>1</v>
      </c>
      <c r="P76" s="706"/>
      <c r="Q76" s="14">
        <f t="shared" si="16"/>
        <v>1</v>
      </c>
      <c r="R76" s="702">
        <f t="shared" si="21"/>
        <v>0</v>
      </c>
      <c r="S76" s="333">
        <f t="shared" si="22"/>
        <v>0</v>
      </c>
      <c r="T76" s="1177">
        <f t="shared" si="23"/>
        <v>0</v>
      </c>
      <c r="U76" s="1309">
        <f t="shared" si="17"/>
        <v>0</v>
      </c>
      <c r="V76" s="1309">
        <f t="shared" si="18"/>
        <v>0</v>
      </c>
      <c r="W76" s="1306"/>
      <c r="X76" s="1309">
        <f t="shared" si="19"/>
        <v>0</v>
      </c>
      <c r="Y76" s="1309">
        <f t="shared" si="20"/>
        <v>0</v>
      </c>
      <c r="Z76" s="1306"/>
    </row>
    <row r="77" spans="1:26">
      <c r="A77" s="74"/>
      <c r="B77" s="24"/>
      <c r="C77" s="14">
        <f t="shared" si="9"/>
        <v>1</v>
      </c>
      <c r="D77" s="706"/>
      <c r="E77" s="14">
        <f t="shared" si="10"/>
        <v>1</v>
      </c>
      <c r="F77" s="706"/>
      <c r="G77" s="14">
        <f t="shared" si="11"/>
        <v>1</v>
      </c>
      <c r="H77" s="706"/>
      <c r="I77" s="14">
        <f t="shared" si="12"/>
        <v>1</v>
      </c>
      <c r="J77" s="706"/>
      <c r="K77" s="14">
        <f t="shared" si="13"/>
        <v>1</v>
      </c>
      <c r="L77" s="706"/>
      <c r="M77" s="14">
        <f t="shared" si="14"/>
        <v>1</v>
      </c>
      <c r="N77" s="706"/>
      <c r="O77" s="14">
        <f t="shared" si="15"/>
        <v>1</v>
      </c>
      <c r="P77" s="706"/>
      <c r="Q77" s="14">
        <f t="shared" si="16"/>
        <v>1</v>
      </c>
      <c r="R77" s="702">
        <f t="shared" si="21"/>
        <v>0</v>
      </c>
      <c r="S77" s="333">
        <f t="shared" si="22"/>
        <v>0</v>
      </c>
      <c r="T77" s="1177">
        <f t="shared" si="23"/>
        <v>0</v>
      </c>
      <c r="U77" s="1309">
        <f t="shared" si="17"/>
        <v>0</v>
      </c>
      <c r="V77" s="1309">
        <f t="shared" si="18"/>
        <v>0</v>
      </c>
      <c r="W77" s="1306"/>
      <c r="X77" s="1309">
        <f t="shared" si="19"/>
        <v>0</v>
      </c>
      <c r="Y77" s="1309">
        <f t="shared" si="20"/>
        <v>0</v>
      </c>
      <c r="Z77" s="1306"/>
    </row>
    <row r="78" spans="1:26">
      <c r="A78" s="74"/>
      <c r="B78" s="24"/>
      <c r="C78" s="14">
        <f t="shared" si="9"/>
        <v>1</v>
      </c>
      <c r="D78" s="706"/>
      <c r="E78" s="14">
        <f t="shared" si="10"/>
        <v>1</v>
      </c>
      <c r="F78" s="706"/>
      <c r="G78" s="14">
        <f t="shared" si="11"/>
        <v>1</v>
      </c>
      <c r="H78" s="706"/>
      <c r="I78" s="14">
        <f t="shared" si="12"/>
        <v>1</v>
      </c>
      <c r="J78" s="706"/>
      <c r="K78" s="14">
        <f t="shared" si="13"/>
        <v>1</v>
      </c>
      <c r="L78" s="706"/>
      <c r="M78" s="14">
        <f t="shared" si="14"/>
        <v>1</v>
      </c>
      <c r="N78" s="706"/>
      <c r="O78" s="14">
        <f t="shared" si="15"/>
        <v>1</v>
      </c>
      <c r="P78" s="706"/>
      <c r="Q78" s="14">
        <f t="shared" si="16"/>
        <v>1</v>
      </c>
      <c r="R78" s="702">
        <f t="shared" si="21"/>
        <v>0</v>
      </c>
      <c r="S78" s="333">
        <f t="shared" si="22"/>
        <v>0</v>
      </c>
      <c r="T78" s="1177">
        <f t="shared" si="23"/>
        <v>0</v>
      </c>
      <c r="U78" s="1309">
        <f t="shared" si="17"/>
        <v>0</v>
      </c>
      <c r="V78" s="1309">
        <f t="shared" si="18"/>
        <v>0</v>
      </c>
      <c r="W78" s="1306"/>
      <c r="X78" s="1309">
        <f t="shared" si="19"/>
        <v>0</v>
      </c>
      <c r="Y78" s="1309">
        <f t="shared" si="20"/>
        <v>0</v>
      </c>
      <c r="Z78" s="1306"/>
    </row>
    <row r="79" spans="1:26">
      <c r="A79" s="74"/>
      <c r="B79" s="24"/>
      <c r="C79" s="14">
        <f t="shared" si="9"/>
        <v>1</v>
      </c>
      <c r="D79" s="706"/>
      <c r="E79" s="14">
        <f t="shared" si="10"/>
        <v>1</v>
      </c>
      <c r="F79" s="706"/>
      <c r="G79" s="14">
        <f t="shared" si="11"/>
        <v>1</v>
      </c>
      <c r="H79" s="706"/>
      <c r="I79" s="14">
        <f t="shared" si="12"/>
        <v>1</v>
      </c>
      <c r="J79" s="706"/>
      <c r="K79" s="14">
        <f t="shared" si="13"/>
        <v>1</v>
      </c>
      <c r="L79" s="706"/>
      <c r="M79" s="14">
        <f t="shared" si="14"/>
        <v>1</v>
      </c>
      <c r="N79" s="706"/>
      <c r="O79" s="14">
        <f t="shared" si="15"/>
        <v>1</v>
      </c>
      <c r="P79" s="706"/>
      <c r="Q79" s="14">
        <f t="shared" si="16"/>
        <v>1</v>
      </c>
      <c r="R79" s="702">
        <f t="shared" si="21"/>
        <v>0</v>
      </c>
      <c r="S79" s="333">
        <f t="shared" si="22"/>
        <v>0</v>
      </c>
      <c r="T79" s="1177">
        <f t="shared" si="23"/>
        <v>0</v>
      </c>
      <c r="U79" s="1309">
        <f t="shared" si="17"/>
        <v>0</v>
      </c>
      <c r="V79" s="1309">
        <f t="shared" si="18"/>
        <v>0</v>
      </c>
      <c r="W79" s="1306"/>
      <c r="X79" s="1309">
        <f t="shared" si="19"/>
        <v>0</v>
      </c>
      <c r="Y79" s="1309">
        <f t="shared" si="20"/>
        <v>0</v>
      </c>
      <c r="Z79" s="1306"/>
    </row>
    <row r="80" spans="1:26">
      <c r="A80" s="74"/>
      <c r="B80" s="24"/>
      <c r="C80" s="14">
        <f t="shared" si="9"/>
        <v>1</v>
      </c>
      <c r="D80" s="706"/>
      <c r="E80" s="14">
        <f t="shared" si="10"/>
        <v>1</v>
      </c>
      <c r="F80" s="706"/>
      <c r="G80" s="14">
        <f t="shared" si="11"/>
        <v>1</v>
      </c>
      <c r="H80" s="706"/>
      <c r="I80" s="14">
        <f t="shared" si="12"/>
        <v>1</v>
      </c>
      <c r="J80" s="706"/>
      <c r="K80" s="14">
        <f t="shared" si="13"/>
        <v>1</v>
      </c>
      <c r="L80" s="706"/>
      <c r="M80" s="14">
        <f t="shared" si="14"/>
        <v>1</v>
      </c>
      <c r="N80" s="706"/>
      <c r="O80" s="14">
        <f t="shared" si="15"/>
        <v>1</v>
      </c>
      <c r="P80" s="706"/>
      <c r="Q80" s="14">
        <f t="shared" si="16"/>
        <v>1</v>
      </c>
      <c r="R80" s="702">
        <f t="shared" si="21"/>
        <v>0</v>
      </c>
      <c r="S80" s="333">
        <f t="shared" si="22"/>
        <v>0</v>
      </c>
      <c r="T80" s="1177">
        <f t="shared" si="23"/>
        <v>0</v>
      </c>
      <c r="U80" s="1309">
        <f t="shared" si="17"/>
        <v>0</v>
      </c>
      <c r="V80" s="1309">
        <f t="shared" si="18"/>
        <v>0</v>
      </c>
      <c r="W80" s="1306"/>
      <c r="X80" s="1309">
        <f t="shared" si="19"/>
        <v>0</v>
      </c>
      <c r="Y80" s="1309">
        <f t="shared" si="20"/>
        <v>0</v>
      </c>
      <c r="Z80" s="1306"/>
    </row>
    <row r="81" spans="1:26">
      <c r="A81" s="74"/>
      <c r="B81" s="24"/>
      <c r="C81" s="14">
        <f t="shared" si="9"/>
        <v>1</v>
      </c>
      <c r="D81" s="706"/>
      <c r="E81" s="14">
        <f t="shared" si="10"/>
        <v>1</v>
      </c>
      <c r="F81" s="706"/>
      <c r="G81" s="14">
        <f t="shared" si="11"/>
        <v>1</v>
      </c>
      <c r="H81" s="706"/>
      <c r="I81" s="14">
        <f t="shared" si="12"/>
        <v>1</v>
      </c>
      <c r="J81" s="706"/>
      <c r="K81" s="14">
        <f t="shared" si="13"/>
        <v>1</v>
      </c>
      <c r="L81" s="706"/>
      <c r="M81" s="14">
        <f t="shared" si="14"/>
        <v>1</v>
      </c>
      <c r="N81" s="706"/>
      <c r="O81" s="14">
        <f t="shared" si="15"/>
        <v>1</v>
      </c>
      <c r="P81" s="706"/>
      <c r="Q81" s="14">
        <f t="shared" si="16"/>
        <v>1</v>
      </c>
      <c r="R81" s="702">
        <f t="shared" si="21"/>
        <v>0</v>
      </c>
      <c r="S81" s="333">
        <f t="shared" si="22"/>
        <v>0</v>
      </c>
      <c r="T81" s="1177">
        <f t="shared" si="23"/>
        <v>0</v>
      </c>
      <c r="U81" s="1309">
        <f t="shared" si="17"/>
        <v>0</v>
      </c>
      <c r="V81" s="1309">
        <f t="shared" si="18"/>
        <v>0</v>
      </c>
      <c r="W81" s="1306"/>
      <c r="X81" s="1309">
        <f t="shared" si="19"/>
        <v>0</v>
      </c>
      <c r="Y81" s="1309">
        <f t="shared" si="20"/>
        <v>0</v>
      </c>
      <c r="Z81" s="1306"/>
    </row>
    <row r="82" spans="1:26">
      <c r="A82" s="74"/>
      <c r="B82" s="24"/>
      <c r="C82" s="14">
        <f t="shared" si="9"/>
        <v>1</v>
      </c>
      <c r="D82" s="706"/>
      <c r="E82" s="14">
        <f t="shared" si="10"/>
        <v>1</v>
      </c>
      <c r="F82" s="706"/>
      <c r="G82" s="14">
        <f t="shared" si="11"/>
        <v>1</v>
      </c>
      <c r="H82" s="706"/>
      <c r="I82" s="14">
        <f t="shared" si="12"/>
        <v>1</v>
      </c>
      <c r="J82" s="706"/>
      <c r="K82" s="14">
        <f t="shared" si="13"/>
        <v>1</v>
      </c>
      <c r="L82" s="706"/>
      <c r="M82" s="14">
        <f t="shared" si="14"/>
        <v>1</v>
      </c>
      <c r="N82" s="706"/>
      <c r="O82" s="14">
        <f t="shared" si="15"/>
        <v>1</v>
      </c>
      <c r="P82" s="706"/>
      <c r="Q82" s="14">
        <f t="shared" si="16"/>
        <v>1</v>
      </c>
      <c r="R82" s="702">
        <f t="shared" si="21"/>
        <v>0</v>
      </c>
      <c r="S82" s="333">
        <f t="shared" si="22"/>
        <v>0</v>
      </c>
      <c r="T82" s="1177">
        <f t="shared" si="23"/>
        <v>0</v>
      </c>
      <c r="U82" s="1309">
        <f t="shared" si="17"/>
        <v>0</v>
      </c>
      <c r="V82" s="1309">
        <f t="shared" si="18"/>
        <v>0</v>
      </c>
      <c r="W82" s="1306"/>
      <c r="X82" s="1309">
        <f t="shared" si="19"/>
        <v>0</v>
      </c>
      <c r="Y82" s="1309">
        <f t="shared" si="20"/>
        <v>0</v>
      </c>
      <c r="Z82" s="1306"/>
    </row>
    <row r="83" spans="1:26">
      <c r="A83" s="74"/>
      <c r="B83" s="24"/>
      <c r="C83" s="14">
        <f t="shared" si="9"/>
        <v>1</v>
      </c>
      <c r="D83" s="706"/>
      <c r="E83" s="14">
        <f t="shared" si="10"/>
        <v>1</v>
      </c>
      <c r="F83" s="706"/>
      <c r="G83" s="14">
        <f t="shared" si="11"/>
        <v>1</v>
      </c>
      <c r="H83" s="706"/>
      <c r="I83" s="14">
        <f t="shared" si="12"/>
        <v>1</v>
      </c>
      <c r="J83" s="706"/>
      <c r="K83" s="14">
        <f t="shared" si="13"/>
        <v>1</v>
      </c>
      <c r="L83" s="706"/>
      <c r="M83" s="14">
        <f t="shared" si="14"/>
        <v>1</v>
      </c>
      <c r="N83" s="706"/>
      <c r="O83" s="14">
        <f t="shared" si="15"/>
        <v>1</v>
      </c>
      <c r="P83" s="706"/>
      <c r="Q83" s="14">
        <f t="shared" si="16"/>
        <v>1</v>
      </c>
      <c r="R83" s="702">
        <f t="shared" si="21"/>
        <v>0</v>
      </c>
      <c r="S83" s="333">
        <f t="shared" si="22"/>
        <v>0</v>
      </c>
      <c r="T83" s="1177">
        <f t="shared" si="23"/>
        <v>0</v>
      </c>
      <c r="U83" s="1309">
        <f t="shared" si="17"/>
        <v>0</v>
      </c>
      <c r="V83" s="1309">
        <f t="shared" si="18"/>
        <v>0</v>
      </c>
      <c r="W83" s="1306"/>
      <c r="X83" s="1309">
        <f t="shared" si="19"/>
        <v>0</v>
      </c>
      <c r="Y83" s="1309">
        <f t="shared" si="20"/>
        <v>0</v>
      </c>
      <c r="Z83" s="1306"/>
    </row>
    <row r="84" spans="1:26">
      <c r="A84" s="74"/>
      <c r="B84" s="24"/>
      <c r="C84" s="14">
        <f t="shared" si="9"/>
        <v>1</v>
      </c>
      <c r="D84" s="706"/>
      <c r="E84" s="14">
        <f t="shared" si="10"/>
        <v>1</v>
      </c>
      <c r="F84" s="706"/>
      <c r="G84" s="14">
        <f t="shared" si="11"/>
        <v>1</v>
      </c>
      <c r="H84" s="706"/>
      <c r="I84" s="14">
        <f t="shared" si="12"/>
        <v>1</v>
      </c>
      <c r="J84" s="706"/>
      <c r="K84" s="14">
        <f t="shared" si="13"/>
        <v>1</v>
      </c>
      <c r="L84" s="706"/>
      <c r="M84" s="14">
        <f t="shared" si="14"/>
        <v>1</v>
      </c>
      <c r="N84" s="706"/>
      <c r="O84" s="14">
        <f t="shared" si="15"/>
        <v>1</v>
      </c>
      <c r="P84" s="706"/>
      <c r="Q84" s="14">
        <f t="shared" si="16"/>
        <v>1</v>
      </c>
      <c r="R84" s="702">
        <f t="shared" si="21"/>
        <v>0</v>
      </c>
      <c r="S84" s="333">
        <f t="shared" si="22"/>
        <v>0</v>
      </c>
      <c r="T84" s="1177">
        <f t="shared" si="23"/>
        <v>0</v>
      </c>
      <c r="U84" s="1309">
        <f t="shared" si="17"/>
        <v>0</v>
      </c>
      <c r="V84" s="1309">
        <f t="shared" si="18"/>
        <v>0</v>
      </c>
      <c r="W84" s="1306"/>
      <c r="X84" s="1309">
        <f t="shared" si="19"/>
        <v>0</v>
      </c>
      <c r="Y84" s="1309">
        <f t="shared" si="20"/>
        <v>0</v>
      </c>
      <c r="Z84" s="1306"/>
    </row>
    <row r="85" spans="1:26">
      <c r="A85" s="74"/>
      <c r="B85" s="24"/>
      <c r="C85" s="14">
        <f t="shared" si="9"/>
        <v>1</v>
      </c>
      <c r="D85" s="706"/>
      <c r="E85" s="14">
        <f t="shared" si="10"/>
        <v>1</v>
      </c>
      <c r="F85" s="706"/>
      <c r="G85" s="14">
        <f t="shared" si="11"/>
        <v>1</v>
      </c>
      <c r="H85" s="706"/>
      <c r="I85" s="14">
        <f t="shared" si="12"/>
        <v>1</v>
      </c>
      <c r="J85" s="706"/>
      <c r="K85" s="14">
        <f t="shared" si="13"/>
        <v>1</v>
      </c>
      <c r="L85" s="706"/>
      <c r="M85" s="14">
        <f t="shared" si="14"/>
        <v>1</v>
      </c>
      <c r="N85" s="706"/>
      <c r="O85" s="14">
        <f t="shared" si="15"/>
        <v>1</v>
      </c>
      <c r="P85" s="706"/>
      <c r="Q85" s="14">
        <f t="shared" si="16"/>
        <v>1</v>
      </c>
      <c r="R85" s="702">
        <f t="shared" si="21"/>
        <v>0</v>
      </c>
      <c r="S85" s="333">
        <f t="shared" si="22"/>
        <v>0</v>
      </c>
      <c r="T85" s="1177">
        <f t="shared" si="23"/>
        <v>0</v>
      </c>
      <c r="U85" s="1309">
        <f t="shared" si="17"/>
        <v>0</v>
      </c>
      <c r="V85" s="1309">
        <f t="shared" si="18"/>
        <v>0</v>
      </c>
      <c r="W85" s="1306"/>
      <c r="X85" s="1309">
        <f t="shared" si="19"/>
        <v>0</v>
      </c>
      <c r="Y85" s="1309">
        <f t="shared" si="20"/>
        <v>0</v>
      </c>
      <c r="Z85" s="1306"/>
    </row>
    <row r="86" spans="1:26">
      <c r="A86" s="74"/>
      <c r="B86" s="24"/>
      <c r="C86" s="14">
        <f t="shared" si="9"/>
        <v>1</v>
      </c>
      <c r="D86" s="706"/>
      <c r="E86" s="14">
        <f t="shared" si="10"/>
        <v>1</v>
      </c>
      <c r="F86" s="706"/>
      <c r="G86" s="14">
        <f t="shared" si="11"/>
        <v>1</v>
      </c>
      <c r="H86" s="706"/>
      <c r="I86" s="14">
        <f t="shared" si="12"/>
        <v>1</v>
      </c>
      <c r="J86" s="706"/>
      <c r="K86" s="14">
        <f t="shared" si="13"/>
        <v>1</v>
      </c>
      <c r="L86" s="706"/>
      <c r="M86" s="14">
        <f t="shared" si="14"/>
        <v>1</v>
      </c>
      <c r="N86" s="706"/>
      <c r="O86" s="14">
        <f t="shared" si="15"/>
        <v>1</v>
      </c>
      <c r="P86" s="706"/>
      <c r="Q86" s="14">
        <f t="shared" si="16"/>
        <v>1</v>
      </c>
      <c r="R86" s="702">
        <f t="shared" si="21"/>
        <v>0</v>
      </c>
      <c r="S86" s="333">
        <f t="shared" si="22"/>
        <v>0</v>
      </c>
      <c r="T86" s="1177">
        <f t="shared" si="23"/>
        <v>0</v>
      </c>
      <c r="U86" s="1309">
        <f t="shared" si="17"/>
        <v>0</v>
      </c>
      <c r="V86" s="1309">
        <f t="shared" si="18"/>
        <v>0</v>
      </c>
      <c r="W86" s="1306"/>
      <c r="X86" s="1309">
        <f t="shared" si="19"/>
        <v>0</v>
      </c>
      <c r="Y86" s="1309">
        <f t="shared" si="20"/>
        <v>0</v>
      </c>
      <c r="Z86" s="1306"/>
    </row>
    <row r="87" spans="1:26">
      <c r="A87" s="74"/>
      <c r="B87" s="24"/>
      <c r="C87" s="14">
        <f t="shared" si="9"/>
        <v>1</v>
      </c>
      <c r="D87" s="706"/>
      <c r="E87" s="14">
        <f t="shared" si="10"/>
        <v>1</v>
      </c>
      <c r="F87" s="706"/>
      <c r="G87" s="14">
        <f t="shared" si="11"/>
        <v>1</v>
      </c>
      <c r="H87" s="706"/>
      <c r="I87" s="14">
        <f t="shared" si="12"/>
        <v>1</v>
      </c>
      <c r="J87" s="706"/>
      <c r="K87" s="14">
        <f t="shared" si="13"/>
        <v>1</v>
      </c>
      <c r="L87" s="706"/>
      <c r="M87" s="14">
        <f t="shared" si="14"/>
        <v>1</v>
      </c>
      <c r="N87" s="706"/>
      <c r="O87" s="14">
        <f t="shared" si="15"/>
        <v>1</v>
      </c>
      <c r="P87" s="706"/>
      <c r="Q87" s="14">
        <f t="shared" si="16"/>
        <v>1</v>
      </c>
      <c r="R87" s="702">
        <f t="shared" si="21"/>
        <v>0</v>
      </c>
      <c r="S87" s="333">
        <f t="shared" si="22"/>
        <v>0</v>
      </c>
      <c r="T87" s="1177">
        <f t="shared" si="23"/>
        <v>0</v>
      </c>
      <c r="U87" s="1309">
        <f t="shared" si="17"/>
        <v>0</v>
      </c>
      <c r="V87" s="1309">
        <f t="shared" si="18"/>
        <v>0</v>
      </c>
      <c r="W87" s="1306"/>
      <c r="X87" s="1309">
        <f t="shared" si="19"/>
        <v>0</v>
      </c>
      <c r="Y87" s="1309">
        <f t="shared" si="20"/>
        <v>0</v>
      </c>
      <c r="Z87" s="1306"/>
    </row>
    <row r="88" spans="1:26">
      <c r="A88" s="74"/>
      <c r="B88" s="24"/>
      <c r="C88" s="14">
        <f t="shared" si="9"/>
        <v>1</v>
      </c>
      <c r="D88" s="706"/>
      <c r="E88" s="14">
        <f t="shared" si="10"/>
        <v>1</v>
      </c>
      <c r="F88" s="706"/>
      <c r="G88" s="14">
        <f t="shared" si="11"/>
        <v>1</v>
      </c>
      <c r="H88" s="706"/>
      <c r="I88" s="14">
        <f t="shared" si="12"/>
        <v>1</v>
      </c>
      <c r="J88" s="706"/>
      <c r="K88" s="14">
        <f t="shared" si="13"/>
        <v>1</v>
      </c>
      <c r="L88" s="706"/>
      <c r="M88" s="14">
        <f t="shared" si="14"/>
        <v>1</v>
      </c>
      <c r="N88" s="706"/>
      <c r="O88" s="14">
        <f t="shared" si="15"/>
        <v>1</v>
      </c>
      <c r="P88" s="706"/>
      <c r="Q88" s="14">
        <f t="shared" si="16"/>
        <v>1</v>
      </c>
      <c r="R88" s="702">
        <f t="shared" si="21"/>
        <v>0</v>
      </c>
      <c r="S88" s="333">
        <f t="shared" si="22"/>
        <v>0</v>
      </c>
      <c r="T88" s="1177">
        <f t="shared" si="23"/>
        <v>0</v>
      </c>
      <c r="U88" s="1309">
        <f t="shared" si="17"/>
        <v>0</v>
      </c>
      <c r="V88" s="1309">
        <f t="shared" si="18"/>
        <v>0</v>
      </c>
      <c r="W88" s="1306"/>
      <c r="X88" s="1309">
        <f t="shared" si="19"/>
        <v>0</v>
      </c>
      <c r="Y88" s="1309">
        <f t="shared" si="20"/>
        <v>0</v>
      </c>
      <c r="Z88" s="1306"/>
    </row>
    <row r="89" spans="1:26">
      <c r="A89" s="74"/>
      <c r="B89" s="24"/>
      <c r="C89" s="14">
        <f t="shared" si="9"/>
        <v>1</v>
      </c>
      <c r="D89" s="706"/>
      <c r="E89" s="14">
        <f t="shared" si="10"/>
        <v>1</v>
      </c>
      <c r="F89" s="706"/>
      <c r="G89" s="14">
        <f t="shared" si="11"/>
        <v>1</v>
      </c>
      <c r="H89" s="706"/>
      <c r="I89" s="14">
        <f t="shared" si="12"/>
        <v>1</v>
      </c>
      <c r="J89" s="706"/>
      <c r="K89" s="14">
        <f t="shared" si="13"/>
        <v>1</v>
      </c>
      <c r="L89" s="706"/>
      <c r="M89" s="14">
        <f t="shared" si="14"/>
        <v>1</v>
      </c>
      <c r="N89" s="706"/>
      <c r="O89" s="14">
        <f t="shared" si="15"/>
        <v>1</v>
      </c>
      <c r="P89" s="706"/>
      <c r="Q89" s="14">
        <f t="shared" si="16"/>
        <v>1</v>
      </c>
      <c r="R89" s="702">
        <f t="shared" si="21"/>
        <v>0</v>
      </c>
      <c r="S89" s="333">
        <f t="shared" si="22"/>
        <v>0</v>
      </c>
      <c r="T89" s="1177">
        <f t="shared" si="23"/>
        <v>0</v>
      </c>
      <c r="U89" s="1309">
        <f t="shared" si="17"/>
        <v>0</v>
      </c>
      <c r="V89" s="1309">
        <f t="shared" si="18"/>
        <v>0</v>
      </c>
      <c r="W89" s="1306"/>
      <c r="X89" s="1309">
        <f t="shared" si="19"/>
        <v>0</v>
      </c>
      <c r="Y89" s="1309">
        <f t="shared" si="20"/>
        <v>0</v>
      </c>
      <c r="Z89" s="1306"/>
    </row>
    <row r="90" spans="1:26">
      <c r="A90" s="74"/>
      <c r="B90" s="24"/>
      <c r="C90" s="14">
        <f t="shared" si="9"/>
        <v>1</v>
      </c>
      <c r="D90" s="706"/>
      <c r="E90" s="14">
        <f t="shared" si="10"/>
        <v>1</v>
      </c>
      <c r="F90" s="706"/>
      <c r="G90" s="14">
        <f t="shared" si="11"/>
        <v>1</v>
      </c>
      <c r="H90" s="706"/>
      <c r="I90" s="14">
        <f t="shared" si="12"/>
        <v>1</v>
      </c>
      <c r="J90" s="706"/>
      <c r="K90" s="14">
        <f t="shared" si="13"/>
        <v>1</v>
      </c>
      <c r="L90" s="706"/>
      <c r="M90" s="14">
        <f t="shared" si="14"/>
        <v>1</v>
      </c>
      <c r="N90" s="706"/>
      <c r="O90" s="14">
        <f t="shared" si="15"/>
        <v>1</v>
      </c>
      <c r="P90" s="706"/>
      <c r="Q90" s="14">
        <f t="shared" si="16"/>
        <v>1</v>
      </c>
      <c r="R90" s="702">
        <f t="shared" si="21"/>
        <v>0</v>
      </c>
      <c r="S90" s="333">
        <f t="shared" si="22"/>
        <v>0</v>
      </c>
      <c r="T90" s="1177">
        <f t="shared" si="23"/>
        <v>0</v>
      </c>
      <c r="U90" s="1309">
        <f t="shared" si="17"/>
        <v>0</v>
      </c>
      <c r="V90" s="1309">
        <f t="shared" si="18"/>
        <v>0</v>
      </c>
      <c r="W90" s="1306"/>
      <c r="X90" s="1309">
        <f t="shared" si="19"/>
        <v>0</v>
      </c>
      <c r="Y90" s="1309">
        <f t="shared" si="20"/>
        <v>0</v>
      </c>
      <c r="Z90" s="1306"/>
    </row>
    <row r="91" spans="1:26">
      <c r="A91" s="74"/>
      <c r="B91" s="24"/>
      <c r="C91" s="14">
        <f t="shared" si="9"/>
        <v>1</v>
      </c>
      <c r="D91" s="706"/>
      <c r="E91" s="14">
        <f t="shared" si="10"/>
        <v>1</v>
      </c>
      <c r="F91" s="706"/>
      <c r="G91" s="14">
        <f t="shared" si="11"/>
        <v>1</v>
      </c>
      <c r="H91" s="706"/>
      <c r="I91" s="14">
        <f t="shared" si="12"/>
        <v>1</v>
      </c>
      <c r="J91" s="706"/>
      <c r="K91" s="14">
        <f t="shared" si="13"/>
        <v>1</v>
      </c>
      <c r="L91" s="706"/>
      <c r="M91" s="14">
        <f t="shared" si="14"/>
        <v>1</v>
      </c>
      <c r="N91" s="706"/>
      <c r="O91" s="14">
        <f t="shared" si="15"/>
        <v>1</v>
      </c>
      <c r="P91" s="706"/>
      <c r="Q91" s="14">
        <f t="shared" si="16"/>
        <v>1</v>
      </c>
      <c r="R91" s="702">
        <f t="shared" si="21"/>
        <v>0</v>
      </c>
      <c r="S91" s="333">
        <f t="shared" si="22"/>
        <v>0</v>
      </c>
      <c r="T91" s="1177">
        <f t="shared" si="23"/>
        <v>0</v>
      </c>
      <c r="U91" s="1309">
        <f t="shared" si="17"/>
        <v>0</v>
      </c>
      <c r="V91" s="1309">
        <f t="shared" si="18"/>
        <v>0</v>
      </c>
      <c r="W91" s="1306"/>
      <c r="X91" s="1309">
        <f t="shared" si="19"/>
        <v>0</v>
      </c>
      <c r="Y91" s="1309">
        <f t="shared" si="20"/>
        <v>0</v>
      </c>
      <c r="Z91" s="1306"/>
    </row>
    <row r="92" spans="1:26">
      <c r="A92" s="74"/>
      <c r="B92" s="24"/>
      <c r="C92" s="14">
        <f t="shared" ref="C92:C155" si="24">IF(B92="",1,(LOOKUP(B92,$6:$6,$7:$7)-LOOKUP($B$27,$6:$6,$7:$7)+100)/100)</f>
        <v>1</v>
      </c>
      <c r="D92" s="706"/>
      <c r="E92" s="14">
        <f t="shared" ref="E92:E155" si="25">(SUMIF($8:$8,D92,$9:$9)-SUMIF($8:$8,$D$27,$9:$9)+100)/100</f>
        <v>1</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1</v>
      </c>
      <c r="R92" s="702">
        <f t="shared" si="21"/>
        <v>0</v>
      </c>
      <c r="S92" s="333">
        <f t="shared" si="22"/>
        <v>0</v>
      </c>
      <c r="T92" s="1177">
        <f t="shared" si="23"/>
        <v>0</v>
      </c>
      <c r="U92" s="1309">
        <f t="shared" ref="U92:U155" si="32">ROUND(W92*B92,0)</f>
        <v>0</v>
      </c>
      <c r="V92" s="1309">
        <f t="shared" ref="V92:V155" si="33">ROUND(W92*B92/10000,0)</f>
        <v>0</v>
      </c>
      <c r="W92" s="1306"/>
      <c r="X92" s="1309">
        <f t="shared" ref="X92:X155" si="34">ROUND(Z92*B92,0)</f>
        <v>0</v>
      </c>
      <c r="Y92" s="1309">
        <f t="shared" ref="Y92:Y155" si="35">ROUND(Z92*B92/10000,0)</f>
        <v>0</v>
      </c>
      <c r="Z92" s="1306"/>
    </row>
    <row r="93" spans="1:26">
      <c r="A93" s="74"/>
      <c r="B93" s="24"/>
      <c r="C93" s="14">
        <f t="shared" si="24"/>
        <v>1</v>
      </c>
      <c r="D93" s="706"/>
      <c r="E93" s="14">
        <f t="shared" si="25"/>
        <v>1</v>
      </c>
      <c r="F93" s="706"/>
      <c r="G93" s="14">
        <f t="shared" si="26"/>
        <v>1</v>
      </c>
      <c r="H93" s="706"/>
      <c r="I93" s="14">
        <f t="shared" si="27"/>
        <v>1</v>
      </c>
      <c r="J93" s="706"/>
      <c r="K93" s="14">
        <f t="shared" si="28"/>
        <v>1</v>
      </c>
      <c r="L93" s="706"/>
      <c r="M93" s="14">
        <f t="shared" si="29"/>
        <v>1</v>
      </c>
      <c r="N93" s="706"/>
      <c r="O93" s="14">
        <f t="shared" si="30"/>
        <v>1</v>
      </c>
      <c r="P93" s="706"/>
      <c r="Q93" s="14">
        <f t="shared" si="31"/>
        <v>1</v>
      </c>
      <c r="R93" s="702">
        <f t="shared" ref="R93:R156" si="36">IF(B93="",0,ROUND($R$27*C93*E93*G93*I93*K93*M93*O93*Q93,0))</f>
        <v>0</v>
      </c>
      <c r="S93" s="333">
        <f t="shared" ref="S93:S156" si="37">ROUND(R93*B93,0)</f>
        <v>0</v>
      </c>
      <c r="T93" s="1177">
        <f t="shared" ref="T93:T156" si="38">ROUND(R93*B93/10000,0)</f>
        <v>0</v>
      </c>
      <c r="U93" s="1309">
        <f t="shared" si="32"/>
        <v>0</v>
      </c>
      <c r="V93" s="1309">
        <f t="shared" si="33"/>
        <v>0</v>
      </c>
      <c r="W93" s="1306"/>
      <c r="X93" s="1309">
        <f t="shared" si="34"/>
        <v>0</v>
      </c>
      <c r="Y93" s="1309">
        <f t="shared" si="35"/>
        <v>0</v>
      </c>
      <c r="Z93" s="1306"/>
    </row>
    <row r="94" spans="1:26">
      <c r="A94" s="74"/>
      <c r="B94" s="24"/>
      <c r="C94" s="14">
        <f t="shared" si="24"/>
        <v>1</v>
      </c>
      <c r="D94" s="706"/>
      <c r="E94" s="14">
        <f t="shared" si="25"/>
        <v>1</v>
      </c>
      <c r="F94" s="706"/>
      <c r="G94" s="14">
        <f t="shared" si="26"/>
        <v>1</v>
      </c>
      <c r="H94" s="706"/>
      <c r="I94" s="14">
        <f t="shared" si="27"/>
        <v>1</v>
      </c>
      <c r="J94" s="706"/>
      <c r="K94" s="14">
        <f t="shared" si="28"/>
        <v>1</v>
      </c>
      <c r="L94" s="706"/>
      <c r="M94" s="14">
        <f t="shared" si="29"/>
        <v>1</v>
      </c>
      <c r="N94" s="706"/>
      <c r="O94" s="14">
        <f t="shared" si="30"/>
        <v>1</v>
      </c>
      <c r="P94" s="706"/>
      <c r="Q94" s="14">
        <f t="shared" si="31"/>
        <v>1</v>
      </c>
      <c r="R94" s="702">
        <f t="shared" si="36"/>
        <v>0</v>
      </c>
      <c r="S94" s="333">
        <f t="shared" si="37"/>
        <v>0</v>
      </c>
      <c r="T94" s="1177">
        <f t="shared" si="38"/>
        <v>0</v>
      </c>
      <c r="U94" s="1309">
        <f t="shared" si="32"/>
        <v>0</v>
      </c>
      <c r="V94" s="1309">
        <f t="shared" si="33"/>
        <v>0</v>
      </c>
      <c r="W94" s="1306"/>
      <c r="X94" s="1309">
        <f t="shared" si="34"/>
        <v>0</v>
      </c>
      <c r="Y94" s="1309">
        <f t="shared" si="35"/>
        <v>0</v>
      </c>
      <c r="Z94" s="1306"/>
    </row>
    <row r="95" spans="1:26">
      <c r="A95" s="74"/>
      <c r="B95" s="24"/>
      <c r="C95" s="14">
        <f t="shared" si="24"/>
        <v>1</v>
      </c>
      <c r="D95" s="706"/>
      <c r="E95" s="14">
        <f t="shared" si="25"/>
        <v>1</v>
      </c>
      <c r="F95" s="706"/>
      <c r="G95" s="14">
        <f t="shared" si="26"/>
        <v>1</v>
      </c>
      <c r="H95" s="706"/>
      <c r="I95" s="14">
        <f t="shared" si="27"/>
        <v>1</v>
      </c>
      <c r="J95" s="706"/>
      <c r="K95" s="14">
        <f t="shared" si="28"/>
        <v>1</v>
      </c>
      <c r="L95" s="706"/>
      <c r="M95" s="14">
        <f t="shared" si="29"/>
        <v>1</v>
      </c>
      <c r="N95" s="706"/>
      <c r="O95" s="14">
        <f t="shared" si="30"/>
        <v>1</v>
      </c>
      <c r="P95" s="706"/>
      <c r="Q95" s="14">
        <f t="shared" si="31"/>
        <v>1</v>
      </c>
      <c r="R95" s="702">
        <f t="shared" si="36"/>
        <v>0</v>
      </c>
      <c r="S95" s="333">
        <f t="shared" si="37"/>
        <v>0</v>
      </c>
      <c r="T95" s="1177">
        <f t="shared" si="38"/>
        <v>0</v>
      </c>
      <c r="U95" s="1309">
        <f t="shared" si="32"/>
        <v>0</v>
      </c>
      <c r="V95" s="1309">
        <f t="shared" si="33"/>
        <v>0</v>
      </c>
      <c r="W95" s="1306"/>
      <c r="X95" s="1309">
        <f t="shared" si="34"/>
        <v>0</v>
      </c>
      <c r="Y95" s="1309">
        <f t="shared" si="35"/>
        <v>0</v>
      </c>
      <c r="Z95" s="1306"/>
    </row>
    <row r="96" spans="1:26">
      <c r="A96" s="74"/>
      <c r="B96" s="24"/>
      <c r="C96" s="14">
        <f t="shared" si="24"/>
        <v>1</v>
      </c>
      <c r="D96" s="706"/>
      <c r="E96" s="14">
        <f t="shared" si="25"/>
        <v>1</v>
      </c>
      <c r="F96" s="706"/>
      <c r="G96" s="14">
        <f t="shared" si="26"/>
        <v>1</v>
      </c>
      <c r="H96" s="706"/>
      <c r="I96" s="14">
        <f t="shared" si="27"/>
        <v>1</v>
      </c>
      <c r="J96" s="706"/>
      <c r="K96" s="14">
        <f t="shared" si="28"/>
        <v>1</v>
      </c>
      <c r="L96" s="706"/>
      <c r="M96" s="14">
        <f t="shared" si="29"/>
        <v>1</v>
      </c>
      <c r="N96" s="706"/>
      <c r="O96" s="14">
        <f t="shared" si="30"/>
        <v>1</v>
      </c>
      <c r="P96" s="706"/>
      <c r="Q96" s="14">
        <f t="shared" si="31"/>
        <v>1</v>
      </c>
      <c r="R96" s="702">
        <f t="shared" si="36"/>
        <v>0</v>
      </c>
      <c r="S96" s="333">
        <f t="shared" si="37"/>
        <v>0</v>
      </c>
      <c r="T96" s="1177">
        <f t="shared" si="38"/>
        <v>0</v>
      </c>
      <c r="U96" s="1309">
        <f t="shared" si="32"/>
        <v>0</v>
      </c>
      <c r="V96" s="1309">
        <f t="shared" si="33"/>
        <v>0</v>
      </c>
      <c r="W96" s="1306"/>
      <c r="X96" s="1309">
        <f t="shared" si="34"/>
        <v>0</v>
      </c>
      <c r="Y96" s="1309">
        <f t="shared" si="35"/>
        <v>0</v>
      </c>
      <c r="Z96" s="1306"/>
    </row>
    <row r="97" spans="1:26">
      <c r="A97" s="74"/>
      <c r="B97" s="24"/>
      <c r="C97" s="14">
        <f t="shared" si="24"/>
        <v>1</v>
      </c>
      <c r="D97" s="706"/>
      <c r="E97" s="14">
        <f t="shared" si="25"/>
        <v>1</v>
      </c>
      <c r="F97" s="706"/>
      <c r="G97" s="14">
        <f t="shared" si="26"/>
        <v>1</v>
      </c>
      <c r="H97" s="706"/>
      <c r="I97" s="14">
        <f t="shared" si="27"/>
        <v>1</v>
      </c>
      <c r="J97" s="706"/>
      <c r="K97" s="14">
        <f t="shared" si="28"/>
        <v>1</v>
      </c>
      <c r="L97" s="706"/>
      <c r="M97" s="14">
        <f t="shared" si="29"/>
        <v>1</v>
      </c>
      <c r="N97" s="706"/>
      <c r="O97" s="14">
        <f t="shared" si="30"/>
        <v>1</v>
      </c>
      <c r="P97" s="706"/>
      <c r="Q97" s="14">
        <f t="shared" si="31"/>
        <v>1</v>
      </c>
      <c r="R97" s="702">
        <f t="shared" si="36"/>
        <v>0</v>
      </c>
      <c r="S97" s="333">
        <f t="shared" si="37"/>
        <v>0</v>
      </c>
      <c r="T97" s="1177">
        <f t="shared" si="38"/>
        <v>0</v>
      </c>
      <c r="U97" s="1309">
        <f t="shared" si="32"/>
        <v>0</v>
      </c>
      <c r="V97" s="1309">
        <f t="shared" si="33"/>
        <v>0</v>
      </c>
      <c r="W97" s="1306"/>
      <c r="X97" s="1309">
        <f t="shared" si="34"/>
        <v>0</v>
      </c>
      <c r="Y97" s="1309">
        <f t="shared" si="35"/>
        <v>0</v>
      </c>
      <c r="Z97" s="1306"/>
    </row>
    <row r="98" spans="1:26">
      <c r="A98" s="74"/>
      <c r="B98" s="24"/>
      <c r="C98" s="14">
        <f t="shared" si="24"/>
        <v>1</v>
      </c>
      <c r="D98" s="706"/>
      <c r="E98" s="14">
        <f t="shared" si="25"/>
        <v>1</v>
      </c>
      <c r="F98" s="706"/>
      <c r="G98" s="14">
        <f t="shared" si="26"/>
        <v>1</v>
      </c>
      <c r="H98" s="706"/>
      <c r="I98" s="14">
        <f t="shared" si="27"/>
        <v>1</v>
      </c>
      <c r="J98" s="706"/>
      <c r="K98" s="14">
        <f t="shared" si="28"/>
        <v>1</v>
      </c>
      <c r="L98" s="706"/>
      <c r="M98" s="14">
        <f t="shared" si="29"/>
        <v>1</v>
      </c>
      <c r="N98" s="706"/>
      <c r="O98" s="14">
        <f t="shared" si="30"/>
        <v>1</v>
      </c>
      <c r="P98" s="706"/>
      <c r="Q98" s="14">
        <f t="shared" si="31"/>
        <v>1</v>
      </c>
      <c r="R98" s="702">
        <f t="shared" si="36"/>
        <v>0</v>
      </c>
      <c r="S98" s="333">
        <f t="shared" si="37"/>
        <v>0</v>
      </c>
      <c r="T98" s="1177">
        <f t="shared" si="38"/>
        <v>0</v>
      </c>
      <c r="U98" s="1309">
        <f t="shared" si="32"/>
        <v>0</v>
      </c>
      <c r="V98" s="1309">
        <f t="shared" si="33"/>
        <v>0</v>
      </c>
      <c r="W98" s="1306"/>
      <c r="X98" s="1309">
        <f t="shared" si="34"/>
        <v>0</v>
      </c>
      <c r="Y98" s="1309">
        <f t="shared" si="35"/>
        <v>0</v>
      </c>
      <c r="Z98" s="1306"/>
    </row>
    <row r="99" spans="1:26">
      <c r="A99" s="74"/>
      <c r="B99" s="24"/>
      <c r="C99" s="14">
        <f t="shared" si="24"/>
        <v>1</v>
      </c>
      <c r="D99" s="706"/>
      <c r="E99" s="14">
        <f t="shared" si="25"/>
        <v>1</v>
      </c>
      <c r="F99" s="706"/>
      <c r="G99" s="14">
        <f t="shared" si="26"/>
        <v>1</v>
      </c>
      <c r="H99" s="706"/>
      <c r="I99" s="14">
        <f t="shared" si="27"/>
        <v>1</v>
      </c>
      <c r="J99" s="706"/>
      <c r="K99" s="14">
        <f t="shared" si="28"/>
        <v>1</v>
      </c>
      <c r="L99" s="706"/>
      <c r="M99" s="14">
        <f t="shared" si="29"/>
        <v>1</v>
      </c>
      <c r="N99" s="706"/>
      <c r="O99" s="14">
        <f t="shared" si="30"/>
        <v>1</v>
      </c>
      <c r="P99" s="706"/>
      <c r="Q99" s="14">
        <f t="shared" si="31"/>
        <v>1</v>
      </c>
      <c r="R99" s="702">
        <f t="shared" si="36"/>
        <v>0</v>
      </c>
      <c r="S99" s="333">
        <f t="shared" si="37"/>
        <v>0</v>
      </c>
      <c r="T99" s="1177">
        <f t="shared" si="38"/>
        <v>0</v>
      </c>
      <c r="U99" s="1309">
        <f t="shared" si="32"/>
        <v>0</v>
      </c>
      <c r="V99" s="1309">
        <f t="shared" si="33"/>
        <v>0</v>
      </c>
      <c r="W99" s="1306"/>
      <c r="X99" s="1309">
        <f t="shared" si="34"/>
        <v>0</v>
      </c>
      <c r="Y99" s="1309">
        <f t="shared" si="35"/>
        <v>0</v>
      </c>
      <c r="Z99" s="1306"/>
    </row>
    <row r="100" spans="1:26">
      <c r="A100" s="74"/>
      <c r="B100" s="24"/>
      <c r="C100" s="14">
        <f t="shared" si="24"/>
        <v>1</v>
      </c>
      <c r="D100" s="706"/>
      <c r="E100" s="14">
        <f t="shared" si="25"/>
        <v>1</v>
      </c>
      <c r="F100" s="706"/>
      <c r="G100" s="14">
        <f t="shared" si="26"/>
        <v>1</v>
      </c>
      <c r="H100" s="706"/>
      <c r="I100" s="14">
        <f t="shared" si="27"/>
        <v>1</v>
      </c>
      <c r="J100" s="706"/>
      <c r="K100" s="14">
        <f t="shared" si="28"/>
        <v>1</v>
      </c>
      <c r="L100" s="706"/>
      <c r="M100" s="14">
        <f t="shared" si="29"/>
        <v>1</v>
      </c>
      <c r="N100" s="706"/>
      <c r="O100" s="14">
        <f t="shared" si="30"/>
        <v>1</v>
      </c>
      <c r="P100" s="706"/>
      <c r="Q100" s="14">
        <f t="shared" si="31"/>
        <v>1</v>
      </c>
      <c r="R100" s="702">
        <f t="shared" si="36"/>
        <v>0</v>
      </c>
      <c r="S100" s="333">
        <f t="shared" si="37"/>
        <v>0</v>
      </c>
      <c r="T100" s="1177">
        <f t="shared" si="38"/>
        <v>0</v>
      </c>
      <c r="U100" s="1309">
        <f t="shared" si="32"/>
        <v>0</v>
      </c>
      <c r="V100" s="1309">
        <f t="shared" si="33"/>
        <v>0</v>
      </c>
      <c r="W100" s="1306"/>
      <c r="X100" s="1309">
        <f t="shared" si="34"/>
        <v>0</v>
      </c>
      <c r="Y100" s="1309">
        <f t="shared" si="35"/>
        <v>0</v>
      </c>
      <c r="Z100" s="1306"/>
    </row>
    <row r="101" spans="1:26">
      <c r="A101" s="74"/>
      <c r="B101" s="24"/>
      <c r="C101" s="14">
        <f t="shared" si="24"/>
        <v>1</v>
      </c>
      <c r="D101" s="706"/>
      <c r="E101" s="14">
        <f t="shared" si="25"/>
        <v>1</v>
      </c>
      <c r="F101" s="706"/>
      <c r="G101" s="14">
        <f t="shared" si="26"/>
        <v>1</v>
      </c>
      <c r="H101" s="706"/>
      <c r="I101" s="14">
        <f t="shared" si="27"/>
        <v>1</v>
      </c>
      <c r="J101" s="706"/>
      <c r="K101" s="14">
        <f t="shared" si="28"/>
        <v>1</v>
      </c>
      <c r="L101" s="706"/>
      <c r="M101" s="14">
        <f t="shared" si="29"/>
        <v>1</v>
      </c>
      <c r="N101" s="706"/>
      <c r="O101" s="14">
        <f t="shared" si="30"/>
        <v>1</v>
      </c>
      <c r="P101" s="706"/>
      <c r="Q101" s="14">
        <f t="shared" si="31"/>
        <v>1</v>
      </c>
      <c r="R101" s="702">
        <f t="shared" si="36"/>
        <v>0</v>
      </c>
      <c r="S101" s="333">
        <f t="shared" si="37"/>
        <v>0</v>
      </c>
      <c r="T101" s="1177">
        <f t="shared" si="38"/>
        <v>0</v>
      </c>
      <c r="U101" s="1309">
        <f t="shared" si="32"/>
        <v>0</v>
      </c>
      <c r="V101" s="1309">
        <f t="shared" si="33"/>
        <v>0</v>
      </c>
      <c r="W101" s="1306"/>
      <c r="X101" s="1309">
        <f t="shared" si="34"/>
        <v>0</v>
      </c>
      <c r="Y101" s="1309">
        <f t="shared" si="35"/>
        <v>0</v>
      </c>
      <c r="Z101" s="1306"/>
    </row>
    <row r="102" spans="1:26">
      <c r="A102" s="74"/>
      <c r="B102" s="24"/>
      <c r="C102" s="14">
        <f t="shared" si="24"/>
        <v>1</v>
      </c>
      <c r="D102" s="706"/>
      <c r="E102" s="14">
        <f t="shared" si="25"/>
        <v>1</v>
      </c>
      <c r="F102" s="706"/>
      <c r="G102" s="14">
        <f t="shared" si="26"/>
        <v>1</v>
      </c>
      <c r="H102" s="706"/>
      <c r="I102" s="14">
        <f t="shared" si="27"/>
        <v>1</v>
      </c>
      <c r="J102" s="706"/>
      <c r="K102" s="14">
        <f t="shared" si="28"/>
        <v>1</v>
      </c>
      <c r="L102" s="706"/>
      <c r="M102" s="14">
        <f t="shared" si="29"/>
        <v>1</v>
      </c>
      <c r="N102" s="706"/>
      <c r="O102" s="14">
        <f t="shared" si="30"/>
        <v>1</v>
      </c>
      <c r="P102" s="706"/>
      <c r="Q102" s="14">
        <f t="shared" si="31"/>
        <v>1</v>
      </c>
      <c r="R102" s="702">
        <f t="shared" si="36"/>
        <v>0</v>
      </c>
      <c r="S102" s="333">
        <f t="shared" si="37"/>
        <v>0</v>
      </c>
      <c r="T102" s="1177">
        <f t="shared" si="38"/>
        <v>0</v>
      </c>
      <c r="U102" s="1309">
        <f t="shared" si="32"/>
        <v>0</v>
      </c>
      <c r="V102" s="1309">
        <f t="shared" si="33"/>
        <v>0</v>
      </c>
      <c r="W102" s="1306"/>
      <c r="X102" s="1309">
        <f t="shared" si="34"/>
        <v>0</v>
      </c>
      <c r="Y102" s="1309">
        <f t="shared" si="35"/>
        <v>0</v>
      </c>
      <c r="Z102" s="1306"/>
    </row>
    <row r="103" spans="1:26">
      <c r="A103" s="74"/>
      <c r="B103" s="24"/>
      <c r="C103" s="14">
        <f t="shared" si="24"/>
        <v>1</v>
      </c>
      <c r="D103" s="706"/>
      <c r="E103" s="14">
        <f t="shared" si="25"/>
        <v>1</v>
      </c>
      <c r="F103" s="706"/>
      <c r="G103" s="14">
        <f t="shared" si="26"/>
        <v>1</v>
      </c>
      <c r="H103" s="706"/>
      <c r="I103" s="14">
        <f t="shared" si="27"/>
        <v>1</v>
      </c>
      <c r="J103" s="706"/>
      <c r="K103" s="14">
        <f t="shared" si="28"/>
        <v>1</v>
      </c>
      <c r="L103" s="706"/>
      <c r="M103" s="14">
        <f t="shared" si="29"/>
        <v>1</v>
      </c>
      <c r="N103" s="706"/>
      <c r="O103" s="14">
        <f t="shared" si="30"/>
        <v>1</v>
      </c>
      <c r="P103" s="706"/>
      <c r="Q103" s="14">
        <f t="shared" si="31"/>
        <v>1</v>
      </c>
      <c r="R103" s="702">
        <f t="shared" si="36"/>
        <v>0</v>
      </c>
      <c r="S103" s="333">
        <f t="shared" si="37"/>
        <v>0</v>
      </c>
      <c r="T103" s="1177">
        <f t="shared" si="38"/>
        <v>0</v>
      </c>
      <c r="U103" s="1309">
        <f t="shared" si="32"/>
        <v>0</v>
      </c>
      <c r="V103" s="1309">
        <f t="shared" si="33"/>
        <v>0</v>
      </c>
      <c r="W103" s="1306"/>
      <c r="X103" s="1309">
        <f t="shared" si="34"/>
        <v>0</v>
      </c>
      <c r="Y103" s="1309">
        <f t="shared" si="35"/>
        <v>0</v>
      </c>
      <c r="Z103" s="1306"/>
    </row>
    <row r="104" spans="1:26">
      <c r="A104" s="74"/>
      <c r="B104" s="24"/>
      <c r="C104" s="14">
        <f t="shared" si="24"/>
        <v>1</v>
      </c>
      <c r="D104" s="706"/>
      <c r="E104" s="14">
        <f t="shared" si="25"/>
        <v>1</v>
      </c>
      <c r="F104" s="706"/>
      <c r="G104" s="14">
        <f t="shared" si="26"/>
        <v>1</v>
      </c>
      <c r="H104" s="706"/>
      <c r="I104" s="14">
        <f t="shared" si="27"/>
        <v>1</v>
      </c>
      <c r="J104" s="706"/>
      <c r="K104" s="14">
        <f t="shared" si="28"/>
        <v>1</v>
      </c>
      <c r="L104" s="706"/>
      <c r="M104" s="14">
        <f t="shared" si="29"/>
        <v>1</v>
      </c>
      <c r="N104" s="706"/>
      <c r="O104" s="14">
        <f t="shared" si="30"/>
        <v>1</v>
      </c>
      <c r="P104" s="706"/>
      <c r="Q104" s="14">
        <f t="shared" si="31"/>
        <v>1</v>
      </c>
      <c r="R104" s="702">
        <f t="shared" si="36"/>
        <v>0</v>
      </c>
      <c r="S104" s="333">
        <f t="shared" si="37"/>
        <v>0</v>
      </c>
      <c r="T104" s="1177">
        <f t="shared" si="38"/>
        <v>0</v>
      </c>
      <c r="U104" s="1309">
        <f t="shared" si="32"/>
        <v>0</v>
      </c>
      <c r="V104" s="1309">
        <f t="shared" si="33"/>
        <v>0</v>
      </c>
      <c r="W104" s="1306"/>
      <c r="X104" s="1309">
        <f t="shared" si="34"/>
        <v>0</v>
      </c>
      <c r="Y104" s="1309">
        <f t="shared" si="35"/>
        <v>0</v>
      </c>
      <c r="Z104" s="1306"/>
    </row>
    <row r="105" spans="1:26">
      <c r="A105" s="74"/>
      <c r="B105" s="24"/>
      <c r="C105" s="14">
        <f t="shared" si="24"/>
        <v>1</v>
      </c>
      <c r="D105" s="706"/>
      <c r="E105" s="14">
        <f t="shared" si="25"/>
        <v>1</v>
      </c>
      <c r="F105" s="706"/>
      <c r="G105" s="14">
        <f t="shared" si="26"/>
        <v>1</v>
      </c>
      <c r="H105" s="706"/>
      <c r="I105" s="14">
        <f t="shared" si="27"/>
        <v>1</v>
      </c>
      <c r="J105" s="706"/>
      <c r="K105" s="14">
        <f t="shared" si="28"/>
        <v>1</v>
      </c>
      <c r="L105" s="706"/>
      <c r="M105" s="14">
        <f t="shared" si="29"/>
        <v>1</v>
      </c>
      <c r="N105" s="706"/>
      <c r="O105" s="14">
        <f t="shared" si="30"/>
        <v>1</v>
      </c>
      <c r="P105" s="706"/>
      <c r="Q105" s="14">
        <f t="shared" si="31"/>
        <v>1</v>
      </c>
      <c r="R105" s="702">
        <f t="shared" si="36"/>
        <v>0</v>
      </c>
      <c r="S105" s="333">
        <f t="shared" si="37"/>
        <v>0</v>
      </c>
      <c r="T105" s="1177">
        <f t="shared" si="38"/>
        <v>0</v>
      </c>
      <c r="U105" s="1309">
        <f t="shared" si="32"/>
        <v>0</v>
      </c>
      <c r="V105" s="1309">
        <f t="shared" si="33"/>
        <v>0</v>
      </c>
      <c r="W105" s="1306"/>
      <c r="X105" s="1309">
        <f t="shared" si="34"/>
        <v>0</v>
      </c>
      <c r="Y105" s="1309">
        <f t="shared" si="35"/>
        <v>0</v>
      </c>
      <c r="Z105" s="1306"/>
    </row>
    <row r="106" spans="1:26">
      <c r="A106" s="74"/>
      <c r="B106" s="24"/>
      <c r="C106" s="14">
        <f t="shared" si="24"/>
        <v>1</v>
      </c>
      <c r="D106" s="706"/>
      <c r="E106" s="14">
        <f t="shared" si="25"/>
        <v>1</v>
      </c>
      <c r="F106" s="706"/>
      <c r="G106" s="14">
        <f t="shared" si="26"/>
        <v>1</v>
      </c>
      <c r="H106" s="706"/>
      <c r="I106" s="14">
        <f t="shared" si="27"/>
        <v>1</v>
      </c>
      <c r="J106" s="706"/>
      <c r="K106" s="14">
        <f t="shared" si="28"/>
        <v>1</v>
      </c>
      <c r="L106" s="706"/>
      <c r="M106" s="14">
        <f t="shared" si="29"/>
        <v>1</v>
      </c>
      <c r="N106" s="706"/>
      <c r="O106" s="14">
        <f t="shared" si="30"/>
        <v>1</v>
      </c>
      <c r="P106" s="706"/>
      <c r="Q106" s="14">
        <f t="shared" si="31"/>
        <v>1</v>
      </c>
      <c r="R106" s="702">
        <f t="shared" si="36"/>
        <v>0</v>
      </c>
      <c r="S106" s="333">
        <f t="shared" si="37"/>
        <v>0</v>
      </c>
      <c r="T106" s="1177">
        <f t="shared" si="38"/>
        <v>0</v>
      </c>
      <c r="U106" s="1309">
        <f t="shared" si="32"/>
        <v>0</v>
      </c>
      <c r="V106" s="1309">
        <f t="shared" si="33"/>
        <v>0</v>
      </c>
      <c r="W106" s="1306"/>
      <c r="X106" s="1309">
        <f t="shared" si="34"/>
        <v>0</v>
      </c>
      <c r="Y106" s="1309">
        <f t="shared" si="35"/>
        <v>0</v>
      </c>
      <c r="Z106" s="1306"/>
    </row>
    <row r="107" spans="1:26">
      <c r="A107" s="74"/>
      <c r="B107" s="24"/>
      <c r="C107" s="14">
        <f t="shared" si="24"/>
        <v>1</v>
      </c>
      <c r="D107" s="706"/>
      <c r="E107" s="14">
        <f t="shared" si="25"/>
        <v>1</v>
      </c>
      <c r="F107" s="706"/>
      <c r="G107" s="14">
        <f t="shared" si="26"/>
        <v>1</v>
      </c>
      <c r="H107" s="706"/>
      <c r="I107" s="14">
        <f t="shared" si="27"/>
        <v>1</v>
      </c>
      <c r="J107" s="706"/>
      <c r="K107" s="14">
        <f t="shared" si="28"/>
        <v>1</v>
      </c>
      <c r="L107" s="706"/>
      <c r="M107" s="14">
        <f t="shared" si="29"/>
        <v>1</v>
      </c>
      <c r="N107" s="706"/>
      <c r="O107" s="14">
        <f t="shared" si="30"/>
        <v>1</v>
      </c>
      <c r="P107" s="706"/>
      <c r="Q107" s="14">
        <f t="shared" si="31"/>
        <v>1</v>
      </c>
      <c r="R107" s="702">
        <f t="shared" si="36"/>
        <v>0</v>
      </c>
      <c r="S107" s="333">
        <f t="shared" si="37"/>
        <v>0</v>
      </c>
      <c r="T107" s="1177">
        <f t="shared" si="38"/>
        <v>0</v>
      </c>
      <c r="U107" s="1309">
        <f t="shared" si="32"/>
        <v>0</v>
      </c>
      <c r="V107" s="1309">
        <f t="shared" si="33"/>
        <v>0</v>
      </c>
      <c r="W107" s="1306"/>
      <c r="X107" s="1309">
        <f t="shared" si="34"/>
        <v>0</v>
      </c>
      <c r="Y107" s="1309">
        <f t="shared" si="35"/>
        <v>0</v>
      </c>
      <c r="Z107" s="1306"/>
    </row>
    <row r="108" spans="1:26">
      <c r="A108" s="74"/>
      <c r="B108" s="24"/>
      <c r="C108" s="14">
        <f t="shared" si="24"/>
        <v>1</v>
      </c>
      <c r="D108" s="706"/>
      <c r="E108" s="14">
        <f t="shared" si="25"/>
        <v>1</v>
      </c>
      <c r="F108" s="706"/>
      <c r="G108" s="14">
        <f t="shared" si="26"/>
        <v>1</v>
      </c>
      <c r="H108" s="706"/>
      <c r="I108" s="14">
        <f t="shared" si="27"/>
        <v>1</v>
      </c>
      <c r="J108" s="706"/>
      <c r="K108" s="14">
        <f t="shared" si="28"/>
        <v>1</v>
      </c>
      <c r="L108" s="706"/>
      <c r="M108" s="14">
        <f t="shared" si="29"/>
        <v>1</v>
      </c>
      <c r="N108" s="706"/>
      <c r="O108" s="14">
        <f t="shared" si="30"/>
        <v>1</v>
      </c>
      <c r="P108" s="706"/>
      <c r="Q108" s="14">
        <f t="shared" si="31"/>
        <v>1</v>
      </c>
      <c r="R108" s="702">
        <f t="shared" si="36"/>
        <v>0</v>
      </c>
      <c r="S108" s="333">
        <f t="shared" si="37"/>
        <v>0</v>
      </c>
      <c r="T108" s="1177">
        <f t="shared" si="38"/>
        <v>0</v>
      </c>
      <c r="U108" s="1309">
        <f t="shared" si="32"/>
        <v>0</v>
      </c>
      <c r="V108" s="1309">
        <f t="shared" si="33"/>
        <v>0</v>
      </c>
      <c r="W108" s="1306"/>
      <c r="X108" s="1309">
        <f t="shared" si="34"/>
        <v>0</v>
      </c>
      <c r="Y108" s="1309">
        <f t="shared" si="35"/>
        <v>0</v>
      </c>
      <c r="Z108" s="1306"/>
    </row>
    <row r="109" spans="1:26">
      <c r="A109" s="74"/>
      <c r="B109" s="24"/>
      <c r="C109" s="14">
        <f t="shared" si="24"/>
        <v>1</v>
      </c>
      <c r="D109" s="706"/>
      <c r="E109" s="14">
        <f t="shared" si="25"/>
        <v>1</v>
      </c>
      <c r="F109" s="706"/>
      <c r="G109" s="14">
        <f t="shared" si="26"/>
        <v>1</v>
      </c>
      <c r="H109" s="706"/>
      <c r="I109" s="14">
        <f t="shared" si="27"/>
        <v>1</v>
      </c>
      <c r="J109" s="706"/>
      <c r="K109" s="14">
        <f t="shared" si="28"/>
        <v>1</v>
      </c>
      <c r="L109" s="706"/>
      <c r="M109" s="14">
        <f t="shared" si="29"/>
        <v>1</v>
      </c>
      <c r="N109" s="706"/>
      <c r="O109" s="14">
        <f t="shared" si="30"/>
        <v>1</v>
      </c>
      <c r="P109" s="706"/>
      <c r="Q109" s="14">
        <f t="shared" si="31"/>
        <v>1</v>
      </c>
      <c r="R109" s="702">
        <f t="shared" si="36"/>
        <v>0</v>
      </c>
      <c r="S109" s="333">
        <f t="shared" si="37"/>
        <v>0</v>
      </c>
      <c r="T109" s="1177">
        <f t="shared" si="38"/>
        <v>0</v>
      </c>
      <c r="U109" s="1309">
        <f t="shared" si="32"/>
        <v>0</v>
      </c>
      <c r="V109" s="1309">
        <f t="shared" si="33"/>
        <v>0</v>
      </c>
      <c r="W109" s="1306"/>
      <c r="X109" s="1309">
        <f t="shared" si="34"/>
        <v>0</v>
      </c>
      <c r="Y109" s="1309">
        <f t="shared" si="35"/>
        <v>0</v>
      </c>
      <c r="Z109" s="1306"/>
    </row>
    <row r="110" spans="1:26">
      <c r="A110" s="74"/>
      <c r="B110" s="24"/>
      <c r="C110" s="14">
        <f t="shared" si="24"/>
        <v>1</v>
      </c>
      <c r="D110" s="706"/>
      <c r="E110" s="14">
        <f t="shared" si="25"/>
        <v>1</v>
      </c>
      <c r="F110" s="706"/>
      <c r="G110" s="14">
        <f t="shared" si="26"/>
        <v>1</v>
      </c>
      <c r="H110" s="706"/>
      <c r="I110" s="14">
        <f t="shared" si="27"/>
        <v>1</v>
      </c>
      <c r="J110" s="706"/>
      <c r="K110" s="14">
        <f t="shared" si="28"/>
        <v>1</v>
      </c>
      <c r="L110" s="706"/>
      <c r="M110" s="14">
        <f t="shared" si="29"/>
        <v>1</v>
      </c>
      <c r="N110" s="706"/>
      <c r="O110" s="14">
        <f t="shared" si="30"/>
        <v>1</v>
      </c>
      <c r="P110" s="706"/>
      <c r="Q110" s="14">
        <f t="shared" si="31"/>
        <v>1</v>
      </c>
      <c r="R110" s="702">
        <f t="shared" si="36"/>
        <v>0</v>
      </c>
      <c r="S110" s="333">
        <f t="shared" si="37"/>
        <v>0</v>
      </c>
      <c r="T110" s="1177">
        <f t="shared" si="38"/>
        <v>0</v>
      </c>
      <c r="U110" s="1309">
        <f t="shared" si="32"/>
        <v>0</v>
      </c>
      <c r="V110" s="1309">
        <f t="shared" si="33"/>
        <v>0</v>
      </c>
      <c r="W110" s="1306"/>
      <c r="X110" s="1309">
        <f t="shared" si="34"/>
        <v>0</v>
      </c>
      <c r="Y110" s="1309">
        <f t="shared" si="35"/>
        <v>0</v>
      </c>
      <c r="Z110" s="1306"/>
    </row>
    <row r="111" spans="1:26">
      <c r="A111" s="74"/>
      <c r="B111" s="24"/>
      <c r="C111" s="14">
        <f t="shared" si="24"/>
        <v>1</v>
      </c>
      <c r="D111" s="706"/>
      <c r="E111" s="14">
        <f t="shared" si="25"/>
        <v>1</v>
      </c>
      <c r="F111" s="706"/>
      <c r="G111" s="14">
        <f t="shared" si="26"/>
        <v>1</v>
      </c>
      <c r="H111" s="706"/>
      <c r="I111" s="14">
        <f t="shared" si="27"/>
        <v>1</v>
      </c>
      <c r="J111" s="706"/>
      <c r="K111" s="14">
        <f t="shared" si="28"/>
        <v>1</v>
      </c>
      <c r="L111" s="706"/>
      <c r="M111" s="14">
        <f t="shared" si="29"/>
        <v>1</v>
      </c>
      <c r="N111" s="706"/>
      <c r="O111" s="14">
        <f t="shared" si="30"/>
        <v>1</v>
      </c>
      <c r="P111" s="706"/>
      <c r="Q111" s="14">
        <f t="shared" si="31"/>
        <v>1</v>
      </c>
      <c r="R111" s="702">
        <f t="shared" si="36"/>
        <v>0</v>
      </c>
      <c r="S111" s="333">
        <f t="shared" si="37"/>
        <v>0</v>
      </c>
      <c r="T111" s="1177">
        <f t="shared" si="38"/>
        <v>0</v>
      </c>
      <c r="U111" s="1309">
        <f t="shared" si="32"/>
        <v>0</v>
      </c>
      <c r="V111" s="1309">
        <f t="shared" si="33"/>
        <v>0</v>
      </c>
      <c r="W111" s="1306"/>
      <c r="X111" s="1309">
        <f t="shared" si="34"/>
        <v>0</v>
      </c>
      <c r="Y111" s="1309">
        <f t="shared" si="35"/>
        <v>0</v>
      </c>
      <c r="Z111" s="1306"/>
    </row>
    <row r="112" spans="1:26">
      <c r="A112" s="74"/>
      <c r="B112" s="24"/>
      <c r="C112" s="14">
        <f t="shared" si="24"/>
        <v>1</v>
      </c>
      <c r="D112" s="706"/>
      <c r="E112" s="14">
        <f t="shared" si="25"/>
        <v>1</v>
      </c>
      <c r="F112" s="706"/>
      <c r="G112" s="14">
        <f t="shared" si="26"/>
        <v>1</v>
      </c>
      <c r="H112" s="706"/>
      <c r="I112" s="14">
        <f t="shared" si="27"/>
        <v>1</v>
      </c>
      <c r="J112" s="706"/>
      <c r="K112" s="14">
        <f t="shared" si="28"/>
        <v>1</v>
      </c>
      <c r="L112" s="706"/>
      <c r="M112" s="14">
        <f t="shared" si="29"/>
        <v>1</v>
      </c>
      <c r="N112" s="706"/>
      <c r="O112" s="14">
        <f t="shared" si="30"/>
        <v>1</v>
      </c>
      <c r="P112" s="706"/>
      <c r="Q112" s="14">
        <f t="shared" si="31"/>
        <v>1</v>
      </c>
      <c r="R112" s="702">
        <f t="shared" si="36"/>
        <v>0</v>
      </c>
      <c r="S112" s="333">
        <f t="shared" si="37"/>
        <v>0</v>
      </c>
      <c r="T112" s="1177">
        <f t="shared" si="38"/>
        <v>0</v>
      </c>
      <c r="U112" s="1309">
        <f t="shared" si="32"/>
        <v>0</v>
      </c>
      <c r="V112" s="1309">
        <f t="shared" si="33"/>
        <v>0</v>
      </c>
      <c r="W112" s="1306"/>
      <c r="X112" s="1309">
        <f t="shared" si="34"/>
        <v>0</v>
      </c>
      <c r="Y112" s="1309">
        <f t="shared" si="35"/>
        <v>0</v>
      </c>
      <c r="Z112" s="1306"/>
    </row>
    <row r="113" spans="1:26">
      <c r="A113" s="74"/>
      <c r="B113" s="24"/>
      <c r="C113" s="14">
        <f t="shared" si="24"/>
        <v>1</v>
      </c>
      <c r="D113" s="706"/>
      <c r="E113" s="14">
        <f t="shared" si="25"/>
        <v>1</v>
      </c>
      <c r="F113" s="706"/>
      <c r="G113" s="14">
        <f t="shared" si="26"/>
        <v>1</v>
      </c>
      <c r="H113" s="706"/>
      <c r="I113" s="14">
        <f t="shared" si="27"/>
        <v>1</v>
      </c>
      <c r="J113" s="706"/>
      <c r="K113" s="14">
        <f t="shared" si="28"/>
        <v>1</v>
      </c>
      <c r="L113" s="706"/>
      <c r="M113" s="14">
        <f t="shared" si="29"/>
        <v>1</v>
      </c>
      <c r="N113" s="706"/>
      <c r="O113" s="14">
        <f t="shared" si="30"/>
        <v>1</v>
      </c>
      <c r="P113" s="706"/>
      <c r="Q113" s="14">
        <f t="shared" si="31"/>
        <v>1</v>
      </c>
      <c r="R113" s="702">
        <f t="shared" si="36"/>
        <v>0</v>
      </c>
      <c r="S113" s="333">
        <f t="shared" si="37"/>
        <v>0</v>
      </c>
      <c r="T113" s="1177">
        <f t="shared" si="38"/>
        <v>0</v>
      </c>
      <c r="U113" s="1309">
        <f t="shared" si="32"/>
        <v>0</v>
      </c>
      <c r="V113" s="1309">
        <f t="shared" si="33"/>
        <v>0</v>
      </c>
      <c r="W113" s="1306"/>
      <c r="X113" s="1309">
        <f t="shared" si="34"/>
        <v>0</v>
      </c>
      <c r="Y113" s="1309">
        <f t="shared" si="35"/>
        <v>0</v>
      </c>
      <c r="Z113" s="1306"/>
    </row>
    <row r="114" spans="1:26">
      <c r="A114" s="74"/>
      <c r="B114" s="24"/>
      <c r="C114" s="14">
        <f t="shared" si="24"/>
        <v>1</v>
      </c>
      <c r="D114" s="706"/>
      <c r="E114" s="14">
        <f t="shared" si="25"/>
        <v>1</v>
      </c>
      <c r="F114" s="706"/>
      <c r="G114" s="14">
        <f t="shared" si="26"/>
        <v>1</v>
      </c>
      <c r="H114" s="706"/>
      <c r="I114" s="14">
        <f t="shared" si="27"/>
        <v>1</v>
      </c>
      <c r="J114" s="706"/>
      <c r="K114" s="14">
        <f t="shared" si="28"/>
        <v>1</v>
      </c>
      <c r="L114" s="706"/>
      <c r="M114" s="14">
        <f t="shared" si="29"/>
        <v>1</v>
      </c>
      <c r="N114" s="706"/>
      <c r="O114" s="14">
        <f t="shared" si="30"/>
        <v>1</v>
      </c>
      <c r="P114" s="706"/>
      <c r="Q114" s="14">
        <f t="shared" si="31"/>
        <v>1</v>
      </c>
      <c r="R114" s="702">
        <f t="shared" si="36"/>
        <v>0</v>
      </c>
      <c r="S114" s="333">
        <f t="shared" si="37"/>
        <v>0</v>
      </c>
      <c r="T114" s="1177">
        <f t="shared" si="38"/>
        <v>0</v>
      </c>
      <c r="U114" s="1309">
        <f t="shared" si="32"/>
        <v>0</v>
      </c>
      <c r="V114" s="1309">
        <f t="shared" si="33"/>
        <v>0</v>
      </c>
      <c r="W114" s="1306"/>
      <c r="X114" s="1309">
        <f t="shared" si="34"/>
        <v>0</v>
      </c>
      <c r="Y114" s="1309">
        <f t="shared" si="35"/>
        <v>0</v>
      </c>
      <c r="Z114" s="1306"/>
    </row>
    <row r="115" spans="1:26">
      <c r="A115" s="74"/>
      <c r="B115" s="24"/>
      <c r="C115" s="14">
        <f t="shared" si="24"/>
        <v>1</v>
      </c>
      <c r="D115" s="706"/>
      <c r="E115" s="14">
        <f t="shared" si="25"/>
        <v>1</v>
      </c>
      <c r="F115" s="706"/>
      <c r="G115" s="14">
        <f t="shared" si="26"/>
        <v>1</v>
      </c>
      <c r="H115" s="706"/>
      <c r="I115" s="14">
        <f t="shared" si="27"/>
        <v>1</v>
      </c>
      <c r="J115" s="706"/>
      <c r="K115" s="14">
        <f t="shared" si="28"/>
        <v>1</v>
      </c>
      <c r="L115" s="706"/>
      <c r="M115" s="14">
        <f t="shared" si="29"/>
        <v>1</v>
      </c>
      <c r="N115" s="706"/>
      <c r="O115" s="14">
        <f t="shared" si="30"/>
        <v>1</v>
      </c>
      <c r="P115" s="706"/>
      <c r="Q115" s="14">
        <f t="shared" si="31"/>
        <v>1</v>
      </c>
      <c r="R115" s="702">
        <f t="shared" si="36"/>
        <v>0</v>
      </c>
      <c r="S115" s="333">
        <f t="shared" si="37"/>
        <v>0</v>
      </c>
      <c r="T115" s="1177">
        <f t="shared" si="38"/>
        <v>0</v>
      </c>
      <c r="U115" s="1309">
        <f t="shared" si="32"/>
        <v>0</v>
      </c>
      <c r="V115" s="1309">
        <f t="shared" si="33"/>
        <v>0</v>
      </c>
      <c r="W115" s="1306"/>
      <c r="X115" s="1309">
        <f t="shared" si="34"/>
        <v>0</v>
      </c>
      <c r="Y115" s="1309">
        <f t="shared" si="35"/>
        <v>0</v>
      </c>
      <c r="Z115" s="1306"/>
    </row>
    <row r="116" spans="1:26">
      <c r="A116" s="74"/>
      <c r="B116" s="24"/>
      <c r="C116" s="14">
        <f t="shared" si="24"/>
        <v>1</v>
      </c>
      <c r="D116" s="706"/>
      <c r="E116" s="14">
        <f t="shared" si="25"/>
        <v>1</v>
      </c>
      <c r="F116" s="706"/>
      <c r="G116" s="14">
        <f t="shared" si="26"/>
        <v>1</v>
      </c>
      <c r="H116" s="706"/>
      <c r="I116" s="14">
        <f t="shared" si="27"/>
        <v>1</v>
      </c>
      <c r="J116" s="706"/>
      <c r="K116" s="14">
        <f t="shared" si="28"/>
        <v>1</v>
      </c>
      <c r="L116" s="706"/>
      <c r="M116" s="14">
        <f t="shared" si="29"/>
        <v>1</v>
      </c>
      <c r="N116" s="706"/>
      <c r="O116" s="14">
        <f t="shared" si="30"/>
        <v>1</v>
      </c>
      <c r="P116" s="706"/>
      <c r="Q116" s="14">
        <f t="shared" si="31"/>
        <v>1</v>
      </c>
      <c r="R116" s="702">
        <f t="shared" si="36"/>
        <v>0</v>
      </c>
      <c r="S116" s="333">
        <f t="shared" si="37"/>
        <v>0</v>
      </c>
      <c r="T116" s="1177">
        <f t="shared" si="38"/>
        <v>0</v>
      </c>
      <c r="U116" s="1309">
        <f t="shared" si="32"/>
        <v>0</v>
      </c>
      <c r="V116" s="1309">
        <f t="shared" si="33"/>
        <v>0</v>
      </c>
      <c r="W116" s="1306"/>
      <c r="X116" s="1309">
        <f t="shared" si="34"/>
        <v>0</v>
      </c>
      <c r="Y116" s="1309">
        <f t="shared" si="35"/>
        <v>0</v>
      </c>
      <c r="Z116" s="1306"/>
    </row>
    <row r="117" spans="1:26">
      <c r="A117" s="74"/>
      <c r="B117" s="24"/>
      <c r="C117" s="14">
        <f t="shared" si="24"/>
        <v>1</v>
      </c>
      <c r="D117" s="706"/>
      <c r="E117" s="14">
        <f t="shared" si="25"/>
        <v>1</v>
      </c>
      <c r="F117" s="706"/>
      <c r="G117" s="14">
        <f t="shared" si="26"/>
        <v>1</v>
      </c>
      <c r="H117" s="706"/>
      <c r="I117" s="14">
        <f t="shared" si="27"/>
        <v>1</v>
      </c>
      <c r="J117" s="706"/>
      <c r="K117" s="14">
        <f t="shared" si="28"/>
        <v>1</v>
      </c>
      <c r="L117" s="706"/>
      <c r="M117" s="14">
        <f t="shared" si="29"/>
        <v>1</v>
      </c>
      <c r="N117" s="706"/>
      <c r="O117" s="14">
        <f t="shared" si="30"/>
        <v>1</v>
      </c>
      <c r="P117" s="706"/>
      <c r="Q117" s="14">
        <f t="shared" si="31"/>
        <v>1</v>
      </c>
      <c r="R117" s="702">
        <f t="shared" si="36"/>
        <v>0</v>
      </c>
      <c r="S117" s="333">
        <f t="shared" si="37"/>
        <v>0</v>
      </c>
      <c r="T117" s="1177">
        <f t="shared" si="38"/>
        <v>0</v>
      </c>
      <c r="U117" s="1309">
        <f t="shared" si="32"/>
        <v>0</v>
      </c>
      <c r="V117" s="1309">
        <f t="shared" si="33"/>
        <v>0</v>
      </c>
      <c r="W117" s="1306"/>
      <c r="X117" s="1309">
        <f t="shared" si="34"/>
        <v>0</v>
      </c>
      <c r="Y117" s="1309">
        <f t="shared" si="35"/>
        <v>0</v>
      </c>
      <c r="Z117" s="1306"/>
    </row>
    <row r="118" spans="1:26">
      <c r="A118" s="74"/>
      <c r="B118" s="24"/>
      <c r="C118" s="14">
        <f t="shared" si="24"/>
        <v>1</v>
      </c>
      <c r="D118" s="706"/>
      <c r="E118" s="14">
        <f t="shared" si="25"/>
        <v>1</v>
      </c>
      <c r="F118" s="706"/>
      <c r="G118" s="14">
        <f t="shared" si="26"/>
        <v>1</v>
      </c>
      <c r="H118" s="706"/>
      <c r="I118" s="14">
        <f t="shared" si="27"/>
        <v>1</v>
      </c>
      <c r="J118" s="706"/>
      <c r="K118" s="14">
        <f t="shared" si="28"/>
        <v>1</v>
      </c>
      <c r="L118" s="706"/>
      <c r="M118" s="14">
        <f t="shared" si="29"/>
        <v>1</v>
      </c>
      <c r="N118" s="706"/>
      <c r="O118" s="14">
        <f t="shared" si="30"/>
        <v>1</v>
      </c>
      <c r="P118" s="706"/>
      <c r="Q118" s="14">
        <f t="shared" si="31"/>
        <v>1</v>
      </c>
      <c r="R118" s="702">
        <f t="shared" si="36"/>
        <v>0</v>
      </c>
      <c r="S118" s="333">
        <f t="shared" si="37"/>
        <v>0</v>
      </c>
      <c r="T118" s="1177">
        <f t="shared" si="38"/>
        <v>0</v>
      </c>
      <c r="U118" s="1309">
        <f t="shared" si="32"/>
        <v>0</v>
      </c>
      <c r="V118" s="1309">
        <f t="shared" si="33"/>
        <v>0</v>
      </c>
      <c r="W118" s="1306"/>
      <c r="X118" s="1309">
        <f t="shared" si="34"/>
        <v>0</v>
      </c>
      <c r="Y118" s="1309">
        <f t="shared" si="35"/>
        <v>0</v>
      </c>
      <c r="Z118" s="1306"/>
    </row>
    <row r="119" spans="1:26">
      <c r="A119" s="74"/>
      <c r="B119" s="24"/>
      <c r="C119" s="14">
        <f t="shared" si="24"/>
        <v>1</v>
      </c>
      <c r="D119" s="706"/>
      <c r="E119" s="14">
        <f t="shared" si="25"/>
        <v>1</v>
      </c>
      <c r="F119" s="706"/>
      <c r="G119" s="14">
        <f t="shared" si="26"/>
        <v>1</v>
      </c>
      <c r="H119" s="706"/>
      <c r="I119" s="14">
        <f t="shared" si="27"/>
        <v>1</v>
      </c>
      <c r="J119" s="706"/>
      <c r="K119" s="14">
        <f t="shared" si="28"/>
        <v>1</v>
      </c>
      <c r="L119" s="706"/>
      <c r="M119" s="14">
        <f t="shared" si="29"/>
        <v>1</v>
      </c>
      <c r="N119" s="706"/>
      <c r="O119" s="14">
        <f t="shared" si="30"/>
        <v>1</v>
      </c>
      <c r="P119" s="706"/>
      <c r="Q119" s="14">
        <f t="shared" si="31"/>
        <v>1</v>
      </c>
      <c r="R119" s="702">
        <f t="shared" si="36"/>
        <v>0</v>
      </c>
      <c r="S119" s="333">
        <f t="shared" si="37"/>
        <v>0</v>
      </c>
      <c r="T119" s="1177">
        <f t="shared" si="38"/>
        <v>0</v>
      </c>
      <c r="U119" s="1309">
        <f t="shared" si="32"/>
        <v>0</v>
      </c>
      <c r="V119" s="1309">
        <f t="shared" si="33"/>
        <v>0</v>
      </c>
      <c r="W119" s="1306"/>
      <c r="X119" s="1309">
        <f t="shared" si="34"/>
        <v>0</v>
      </c>
      <c r="Y119" s="1309">
        <f t="shared" si="35"/>
        <v>0</v>
      </c>
      <c r="Z119" s="1306"/>
    </row>
    <row r="120" spans="1:26">
      <c r="A120" s="74"/>
      <c r="B120" s="24"/>
      <c r="C120" s="14">
        <f t="shared" si="24"/>
        <v>1</v>
      </c>
      <c r="D120" s="706"/>
      <c r="E120" s="14">
        <f t="shared" si="25"/>
        <v>1</v>
      </c>
      <c r="F120" s="706"/>
      <c r="G120" s="14">
        <f t="shared" si="26"/>
        <v>1</v>
      </c>
      <c r="H120" s="706"/>
      <c r="I120" s="14">
        <f t="shared" si="27"/>
        <v>1</v>
      </c>
      <c r="J120" s="706"/>
      <c r="K120" s="14">
        <f t="shared" si="28"/>
        <v>1</v>
      </c>
      <c r="L120" s="706"/>
      <c r="M120" s="14">
        <f t="shared" si="29"/>
        <v>1</v>
      </c>
      <c r="N120" s="706"/>
      <c r="O120" s="14">
        <f t="shared" si="30"/>
        <v>1</v>
      </c>
      <c r="P120" s="706"/>
      <c r="Q120" s="14">
        <f t="shared" si="31"/>
        <v>1</v>
      </c>
      <c r="R120" s="702">
        <f t="shared" si="36"/>
        <v>0</v>
      </c>
      <c r="S120" s="333">
        <f t="shared" si="37"/>
        <v>0</v>
      </c>
      <c r="T120" s="1177">
        <f t="shared" si="38"/>
        <v>0</v>
      </c>
      <c r="U120" s="1309">
        <f t="shared" si="32"/>
        <v>0</v>
      </c>
      <c r="V120" s="1309">
        <f t="shared" si="33"/>
        <v>0</v>
      </c>
      <c r="W120" s="1306"/>
      <c r="X120" s="1309">
        <f t="shared" si="34"/>
        <v>0</v>
      </c>
      <c r="Y120" s="1309">
        <f t="shared" si="35"/>
        <v>0</v>
      </c>
      <c r="Z120" s="1306"/>
    </row>
    <row r="121" spans="1:26">
      <c r="A121" s="74"/>
      <c r="B121" s="24"/>
      <c r="C121" s="14">
        <f t="shared" si="24"/>
        <v>1</v>
      </c>
      <c r="D121" s="706"/>
      <c r="E121" s="14">
        <f t="shared" si="25"/>
        <v>1</v>
      </c>
      <c r="F121" s="706"/>
      <c r="G121" s="14">
        <f t="shared" si="26"/>
        <v>1</v>
      </c>
      <c r="H121" s="706"/>
      <c r="I121" s="14">
        <f t="shared" si="27"/>
        <v>1</v>
      </c>
      <c r="J121" s="706"/>
      <c r="K121" s="14">
        <f t="shared" si="28"/>
        <v>1</v>
      </c>
      <c r="L121" s="706"/>
      <c r="M121" s="14">
        <f t="shared" si="29"/>
        <v>1</v>
      </c>
      <c r="N121" s="706"/>
      <c r="O121" s="14">
        <f t="shared" si="30"/>
        <v>1</v>
      </c>
      <c r="P121" s="706"/>
      <c r="Q121" s="14">
        <f t="shared" si="31"/>
        <v>1</v>
      </c>
      <c r="R121" s="702">
        <f t="shared" si="36"/>
        <v>0</v>
      </c>
      <c r="S121" s="333">
        <f t="shared" si="37"/>
        <v>0</v>
      </c>
      <c r="T121" s="1177">
        <f t="shared" si="38"/>
        <v>0</v>
      </c>
      <c r="U121" s="1309">
        <f t="shared" si="32"/>
        <v>0</v>
      </c>
      <c r="V121" s="1309">
        <f t="shared" si="33"/>
        <v>0</v>
      </c>
      <c r="W121" s="1306"/>
      <c r="X121" s="1309">
        <f t="shared" si="34"/>
        <v>0</v>
      </c>
      <c r="Y121" s="1309">
        <f t="shared" si="35"/>
        <v>0</v>
      </c>
      <c r="Z121" s="1306"/>
    </row>
    <row r="122" spans="1:26">
      <c r="A122" s="74"/>
      <c r="B122" s="24"/>
      <c r="C122" s="14">
        <f t="shared" si="24"/>
        <v>1</v>
      </c>
      <c r="D122" s="706"/>
      <c r="E122" s="14">
        <f t="shared" si="25"/>
        <v>1</v>
      </c>
      <c r="F122" s="706"/>
      <c r="G122" s="14">
        <f t="shared" si="26"/>
        <v>1</v>
      </c>
      <c r="H122" s="706"/>
      <c r="I122" s="14">
        <f t="shared" si="27"/>
        <v>1</v>
      </c>
      <c r="J122" s="706"/>
      <c r="K122" s="14">
        <f t="shared" si="28"/>
        <v>1</v>
      </c>
      <c r="L122" s="706"/>
      <c r="M122" s="14">
        <f t="shared" si="29"/>
        <v>1</v>
      </c>
      <c r="N122" s="706"/>
      <c r="O122" s="14">
        <f t="shared" si="30"/>
        <v>1</v>
      </c>
      <c r="P122" s="706"/>
      <c r="Q122" s="14">
        <f t="shared" si="31"/>
        <v>1</v>
      </c>
      <c r="R122" s="702">
        <f t="shared" si="36"/>
        <v>0</v>
      </c>
      <c r="S122" s="333">
        <f t="shared" si="37"/>
        <v>0</v>
      </c>
      <c r="T122" s="1177">
        <f t="shared" si="38"/>
        <v>0</v>
      </c>
      <c r="U122" s="1309">
        <f t="shared" si="32"/>
        <v>0</v>
      </c>
      <c r="V122" s="1309">
        <f t="shared" si="33"/>
        <v>0</v>
      </c>
      <c r="W122" s="1306"/>
      <c r="X122" s="1309">
        <f t="shared" si="34"/>
        <v>0</v>
      </c>
      <c r="Y122" s="1309">
        <f t="shared" si="35"/>
        <v>0</v>
      </c>
      <c r="Z122" s="1306"/>
    </row>
    <row r="123" spans="1:26">
      <c r="A123" s="74"/>
      <c r="B123" s="24"/>
      <c r="C123" s="14">
        <f t="shared" si="24"/>
        <v>1</v>
      </c>
      <c r="D123" s="706"/>
      <c r="E123" s="14">
        <f t="shared" si="25"/>
        <v>1</v>
      </c>
      <c r="F123" s="706"/>
      <c r="G123" s="14">
        <f t="shared" si="26"/>
        <v>1</v>
      </c>
      <c r="H123" s="706"/>
      <c r="I123" s="14">
        <f t="shared" si="27"/>
        <v>1</v>
      </c>
      <c r="J123" s="706"/>
      <c r="K123" s="14">
        <f t="shared" si="28"/>
        <v>1</v>
      </c>
      <c r="L123" s="706"/>
      <c r="M123" s="14">
        <f t="shared" si="29"/>
        <v>1</v>
      </c>
      <c r="N123" s="706"/>
      <c r="O123" s="14">
        <f t="shared" si="30"/>
        <v>1</v>
      </c>
      <c r="P123" s="706"/>
      <c r="Q123" s="14">
        <f t="shared" si="31"/>
        <v>1</v>
      </c>
      <c r="R123" s="702">
        <f t="shared" si="36"/>
        <v>0</v>
      </c>
      <c r="S123" s="333">
        <f t="shared" si="37"/>
        <v>0</v>
      </c>
      <c r="T123" s="1177">
        <f t="shared" si="38"/>
        <v>0</v>
      </c>
      <c r="U123" s="1309">
        <f t="shared" si="32"/>
        <v>0</v>
      </c>
      <c r="V123" s="1309">
        <f t="shared" si="33"/>
        <v>0</v>
      </c>
      <c r="W123" s="1306"/>
      <c r="X123" s="1309">
        <f t="shared" si="34"/>
        <v>0</v>
      </c>
      <c r="Y123" s="1309">
        <f t="shared" si="35"/>
        <v>0</v>
      </c>
      <c r="Z123" s="1306"/>
    </row>
    <row r="124" spans="1:26">
      <c r="A124" s="74"/>
      <c r="B124" s="24"/>
      <c r="C124" s="14">
        <f t="shared" si="24"/>
        <v>1</v>
      </c>
      <c r="D124" s="706"/>
      <c r="E124" s="14">
        <f t="shared" si="25"/>
        <v>1</v>
      </c>
      <c r="F124" s="706"/>
      <c r="G124" s="14">
        <f t="shared" si="26"/>
        <v>1</v>
      </c>
      <c r="H124" s="706"/>
      <c r="I124" s="14">
        <f t="shared" si="27"/>
        <v>1</v>
      </c>
      <c r="J124" s="706"/>
      <c r="K124" s="14">
        <f t="shared" si="28"/>
        <v>1</v>
      </c>
      <c r="L124" s="706"/>
      <c r="M124" s="14">
        <f t="shared" si="29"/>
        <v>1</v>
      </c>
      <c r="N124" s="706"/>
      <c r="O124" s="14">
        <f t="shared" si="30"/>
        <v>1</v>
      </c>
      <c r="P124" s="706"/>
      <c r="Q124" s="14">
        <f t="shared" si="31"/>
        <v>1</v>
      </c>
      <c r="R124" s="702">
        <f t="shared" si="36"/>
        <v>0</v>
      </c>
      <c r="S124" s="333">
        <f t="shared" si="37"/>
        <v>0</v>
      </c>
      <c r="T124" s="1177">
        <f t="shared" si="38"/>
        <v>0</v>
      </c>
      <c r="U124" s="1309">
        <f t="shared" si="32"/>
        <v>0</v>
      </c>
      <c r="V124" s="1309">
        <f t="shared" si="33"/>
        <v>0</v>
      </c>
      <c r="W124" s="1306"/>
      <c r="X124" s="1309">
        <f t="shared" si="34"/>
        <v>0</v>
      </c>
      <c r="Y124" s="1309">
        <f t="shared" si="35"/>
        <v>0</v>
      </c>
      <c r="Z124" s="1306"/>
    </row>
    <row r="125" spans="1:26">
      <c r="A125" s="74"/>
      <c r="B125" s="24"/>
      <c r="C125" s="14">
        <f t="shared" si="24"/>
        <v>1</v>
      </c>
      <c r="D125" s="706"/>
      <c r="E125" s="14">
        <f t="shared" si="25"/>
        <v>1</v>
      </c>
      <c r="F125" s="706"/>
      <c r="G125" s="14">
        <f t="shared" si="26"/>
        <v>1</v>
      </c>
      <c r="H125" s="706"/>
      <c r="I125" s="14">
        <f t="shared" si="27"/>
        <v>1</v>
      </c>
      <c r="J125" s="706"/>
      <c r="K125" s="14">
        <f t="shared" si="28"/>
        <v>1</v>
      </c>
      <c r="L125" s="706"/>
      <c r="M125" s="14">
        <f t="shared" si="29"/>
        <v>1</v>
      </c>
      <c r="N125" s="706"/>
      <c r="O125" s="14">
        <f t="shared" si="30"/>
        <v>1</v>
      </c>
      <c r="P125" s="706"/>
      <c r="Q125" s="14">
        <f t="shared" si="31"/>
        <v>1</v>
      </c>
      <c r="R125" s="702">
        <f t="shared" si="36"/>
        <v>0</v>
      </c>
      <c r="S125" s="333">
        <f t="shared" si="37"/>
        <v>0</v>
      </c>
      <c r="T125" s="1177">
        <f t="shared" si="38"/>
        <v>0</v>
      </c>
      <c r="U125" s="1309">
        <f t="shared" si="32"/>
        <v>0</v>
      </c>
      <c r="V125" s="1309">
        <f t="shared" si="33"/>
        <v>0</v>
      </c>
      <c r="W125" s="1306"/>
      <c r="X125" s="1309">
        <f t="shared" si="34"/>
        <v>0</v>
      </c>
      <c r="Y125" s="1309">
        <f t="shared" si="35"/>
        <v>0</v>
      </c>
      <c r="Z125" s="1306"/>
    </row>
    <row r="126" spans="1:26">
      <c r="A126" s="74"/>
      <c r="B126" s="24"/>
      <c r="C126" s="14">
        <f t="shared" si="24"/>
        <v>1</v>
      </c>
      <c r="D126" s="706"/>
      <c r="E126" s="14">
        <f t="shared" si="25"/>
        <v>1</v>
      </c>
      <c r="F126" s="706"/>
      <c r="G126" s="14">
        <f t="shared" si="26"/>
        <v>1</v>
      </c>
      <c r="H126" s="706"/>
      <c r="I126" s="14">
        <f t="shared" si="27"/>
        <v>1</v>
      </c>
      <c r="J126" s="706"/>
      <c r="K126" s="14">
        <f t="shared" si="28"/>
        <v>1</v>
      </c>
      <c r="L126" s="706"/>
      <c r="M126" s="14">
        <f t="shared" si="29"/>
        <v>1</v>
      </c>
      <c r="N126" s="706"/>
      <c r="O126" s="14">
        <f t="shared" si="30"/>
        <v>1</v>
      </c>
      <c r="P126" s="706"/>
      <c r="Q126" s="14">
        <f t="shared" si="31"/>
        <v>1</v>
      </c>
      <c r="R126" s="702">
        <f t="shared" si="36"/>
        <v>0</v>
      </c>
      <c r="S126" s="333">
        <f t="shared" si="37"/>
        <v>0</v>
      </c>
      <c r="T126" s="1177">
        <f t="shared" si="38"/>
        <v>0</v>
      </c>
      <c r="U126" s="1309">
        <f t="shared" si="32"/>
        <v>0</v>
      </c>
      <c r="V126" s="1309">
        <f t="shared" si="33"/>
        <v>0</v>
      </c>
      <c r="W126" s="1306"/>
      <c r="X126" s="1309">
        <f t="shared" si="34"/>
        <v>0</v>
      </c>
      <c r="Y126" s="1309">
        <f t="shared" si="35"/>
        <v>0</v>
      </c>
      <c r="Z126" s="1306"/>
    </row>
    <row r="127" spans="1:26">
      <c r="A127" s="74"/>
      <c r="B127" s="24"/>
      <c r="C127" s="14">
        <f t="shared" si="24"/>
        <v>1</v>
      </c>
      <c r="D127" s="706"/>
      <c r="E127" s="14">
        <f t="shared" si="25"/>
        <v>1</v>
      </c>
      <c r="F127" s="706"/>
      <c r="G127" s="14">
        <f t="shared" si="26"/>
        <v>1</v>
      </c>
      <c r="H127" s="706"/>
      <c r="I127" s="14">
        <f t="shared" si="27"/>
        <v>1</v>
      </c>
      <c r="J127" s="706"/>
      <c r="K127" s="14">
        <f t="shared" si="28"/>
        <v>1</v>
      </c>
      <c r="L127" s="706"/>
      <c r="M127" s="14">
        <f t="shared" si="29"/>
        <v>1</v>
      </c>
      <c r="N127" s="706"/>
      <c r="O127" s="14">
        <f t="shared" si="30"/>
        <v>1</v>
      </c>
      <c r="P127" s="706"/>
      <c r="Q127" s="14">
        <f t="shared" si="31"/>
        <v>1</v>
      </c>
      <c r="R127" s="702">
        <f t="shared" si="36"/>
        <v>0</v>
      </c>
      <c r="S127" s="333">
        <f t="shared" si="37"/>
        <v>0</v>
      </c>
      <c r="T127" s="1177">
        <f t="shared" si="38"/>
        <v>0</v>
      </c>
      <c r="U127" s="1309">
        <f t="shared" si="32"/>
        <v>0</v>
      </c>
      <c r="V127" s="1309">
        <f t="shared" si="33"/>
        <v>0</v>
      </c>
      <c r="W127" s="1306"/>
      <c r="X127" s="1309">
        <f t="shared" si="34"/>
        <v>0</v>
      </c>
      <c r="Y127" s="1309">
        <f t="shared" si="35"/>
        <v>0</v>
      </c>
      <c r="Z127" s="1306"/>
    </row>
    <row r="128" spans="1:26">
      <c r="A128" s="74"/>
      <c r="B128" s="24"/>
      <c r="C128" s="14">
        <f t="shared" si="24"/>
        <v>1</v>
      </c>
      <c r="D128" s="706"/>
      <c r="E128" s="14">
        <f t="shared" si="25"/>
        <v>1</v>
      </c>
      <c r="F128" s="706"/>
      <c r="G128" s="14">
        <f t="shared" si="26"/>
        <v>1</v>
      </c>
      <c r="H128" s="706"/>
      <c r="I128" s="14">
        <f t="shared" si="27"/>
        <v>1</v>
      </c>
      <c r="J128" s="706"/>
      <c r="K128" s="14">
        <f t="shared" si="28"/>
        <v>1</v>
      </c>
      <c r="L128" s="706"/>
      <c r="M128" s="14">
        <f t="shared" si="29"/>
        <v>1</v>
      </c>
      <c r="N128" s="706"/>
      <c r="O128" s="14">
        <f t="shared" si="30"/>
        <v>1</v>
      </c>
      <c r="P128" s="706"/>
      <c r="Q128" s="14">
        <f t="shared" si="31"/>
        <v>1</v>
      </c>
      <c r="R128" s="702">
        <f t="shared" si="36"/>
        <v>0</v>
      </c>
      <c r="S128" s="333">
        <f t="shared" si="37"/>
        <v>0</v>
      </c>
      <c r="T128" s="1177">
        <f t="shared" si="38"/>
        <v>0</v>
      </c>
      <c r="U128" s="1309">
        <f t="shared" si="32"/>
        <v>0</v>
      </c>
      <c r="V128" s="1309">
        <f t="shared" si="33"/>
        <v>0</v>
      </c>
      <c r="W128" s="1306"/>
      <c r="X128" s="1309">
        <f t="shared" si="34"/>
        <v>0</v>
      </c>
      <c r="Y128" s="1309">
        <f t="shared" si="35"/>
        <v>0</v>
      </c>
      <c r="Z128" s="1306"/>
    </row>
    <row r="129" spans="1:26">
      <c r="A129" s="74"/>
      <c r="B129" s="24"/>
      <c r="C129" s="14">
        <f t="shared" si="24"/>
        <v>1</v>
      </c>
      <c r="D129" s="706"/>
      <c r="E129" s="14">
        <f t="shared" si="25"/>
        <v>1</v>
      </c>
      <c r="F129" s="706"/>
      <c r="G129" s="14">
        <f t="shared" si="26"/>
        <v>1</v>
      </c>
      <c r="H129" s="706"/>
      <c r="I129" s="14">
        <f t="shared" si="27"/>
        <v>1</v>
      </c>
      <c r="J129" s="706"/>
      <c r="K129" s="14">
        <f t="shared" si="28"/>
        <v>1</v>
      </c>
      <c r="L129" s="706"/>
      <c r="M129" s="14">
        <f t="shared" si="29"/>
        <v>1</v>
      </c>
      <c r="N129" s="706"/>
      <c r="O129" s="14">
        <f t="shared" si="30"/>
        <v>1</v>
      </c>
      <c r="P129" s="706"/>
      <c r="Q129" s="14">
        <f t="shared" si="31"/>
        <v>1</v>
      </c>
      <c r="R129" s="702">
        <f t="shared" si="36"/>
        <v>0</v>
      </c>
      <c r="S129" s="333">
        <f t="shared" si="37"/>
        <v>0</v>
      </c>
      <c r="T129" s="1177">
        <f t="shared" si="38"/>
        <v>0</v>
      </c>
      <c r="U129" s="1309">
        <f t="shared" si="32"/>
        <v>0</v>
      </c>
      <c r="V129" s="1309">
        <f t="shared" si="33"/>
        <v>0</v>
      </c>
      <c r="W129" s="1306"/>
      <c r="X129" s="1309">
        <f t="shared" si="34"/>
        <v>0</v>
      </c>
      <c r="Y129" s="1309">
        <f t="shared" si="35"/>
        <v>0</v>
      </c>
      <c r="Z129" s="1306"/>
    </row>
    <row r="130" spans="1:26">
      <c r="A130" s="74"/>
      <c r="B130" s="24"/>
      <c r="C130" s="14">
        <f t="shared" si="24"/>
        <v>1</v>
      </c>
      <c r="D130" s="706"/>
      <c r="E130" s="14">
        <f t="shared" si="25"/>
        <v>1</v>
      </c>
      <c r="F130" s="706"/>
      <c r="G130" s="14">
        <f t="shared" si="26"/>
        <v>1</v>
      </c>
      <c r="H130" s="706"/>
      <c r="I130" s="14">
        <f t="shared" si="27"/>
        <v>1</v>
      </c>
      <c r="J130" s="706"/>
      <c r="K130" s="14">
        <f t="shared" si="28"/>
        <v>1</v>
      </c>
      <c r="L130" s="706"/>
      <c r="M130" s="14">
        <f t="shared" si="29"/>
        <v>1</v>
      </c>
      <c r="N130" s="706"/>
      <c r="O130" s="14">
        <f t="shared" si="30"/>
        <v>1</v>
      </c>
      <c r="P130" s="706"/>
      <c r="Q130" s="14">
        <f t="shared" si="31"/>
        <v>1</v>
      </c>
      <c r="R130" s="702">
        <f t="shared" si="36"/>
        <v>0</v>
      </c>
      <c r="S130" s="333">
        <f t="shared" si="37"/>
        <v>0</v>
      </c>
      <c r="T130" s="1177">
        <f t="shared" si="38"/>
        <v>0</v>
      </c>
      <c r="U130" s="1309">
        <f t="shared" si="32"/>
        <v>0</v>
      </c>
      <c r="V130" s="1309">
        <f t="shared" si="33"/>
        <v>0</v>
      </c>
      <c r="W130" s="1306"/>
      <c r="X130" s="1309">
        <f t="shared" si="34"/>
        <v>0</v>
      </c>
      <c r="Y130" s="1309">
        <f t="shared" si="35"/>
        <v>0</v>
      </c>
      <c r="Z130" s="1306"/>
    </row>
    <row r="131" spans="1:26">
      <c r="A131" s="74"/>
      <c r="B131" s="24"/>
      <c r="C131" s="14">
        <f t="shared" si="24"/>
        <v>1</v>
      </c>
      <c r="D131" s="706"/>
      <c r="E131" s="14">
        <f t="shared" si="25"/>
        <v>1</v>
      </c>
      <c r="F131" s="706"/>
      <c r="G131" s="14">
        <f t="shared" si="26"/>
        <v>1</v>
      </c>
      <c r="H131" s="706"/>
      <c r="I131" s="14">
        <f t="shared" si="27"/>
        <v>1</v>
      </c>
      <c r="J131" s="706"/>
      <c r="K131" s="14">
        <f t="shared" si="28"/>
        <v>1</v>
      </c>
      <c r="L131" s="706"/>
      <c r="M131" s="14">
        <f t="shared" si="29"/>
        <v>1</v>
      </c>
      <c r="N131" s="706"/>
      <c r="O131" s="14">
        <f t="shared" si="30"/>
        <v>1</v>
      </c>
      <c r="P131" s="706"/>
      <c r="Q131" s="14">
        <f t="shared" si="31"/>
        <v>1</v>
      </c>
      <c r="R131" s="702">
        <f t="shared" si="36"/>
        <v>0</v>
      </c>
      <c r="S131" s="333">
        <f t="shared" si="37"/>
        <v>0</v>
      </c>
      <c r="T131" s="1177">
        <f t="shared" si="38"/>
        <v>0</v>
      </c>
      <c r="U131" s="1309">
        <f t="shared" si="32"/>
        <v>0</v>
      </c>
      <c r="V131" s="1309">
        <f t="shared" si="33"/>
        <v>0</v>
      </c>
      <c r="W131" s="1306"/>
      <c r="X131" s="1309">
        <f t="shared" si="34"/>
        <v>0</v>
      </c>
      <c r="Y131" s="1309">
        <f t="shared" si="35"/>
        <v>0</v>
      </c>
      <c r="Z131" s="1306"/>
    </row>
    <row r="132" spans="1:26">
      <c r="A132" s="74"/>
      <c r="B132" s="24"/>
      <c r="C132" s="14">
        <f t="shared" si="24"/>
        <v>1</v>
      </c>
      <c r="D132" s="706"/>
      <c r="E132" s="14">
        <f t="shared" si="25"/>
        <v>1</v>
      </c>
      <c r="F132" s="706"/>
      <c r="G132" s="14">
        <f t="shared" si="26"/>
        <v>1</v>
      </c>
      <c r="H132" s="706"/>
      <c r="I132" s="14">
        <f t="shared" si="27"/>
        <v>1</v>
      </c>
      <c r="J132" s="706"/>
      <c r="K132" s="14">
        <f t="shared" si="28"/>
        <v>1</v>
      </c>
      <c r="L132" s="706"/>
      <c r="M132" s="14">
        <f t="shared" si="29"/>
        <v>1</v>
      </c>
      <c r="N132" s="706"/>
      <c r="O132" s="14">
        <f t="shared" si="30"/>
        <v>1</v>
      </c>
      <c r="P132" s="706"/>
      <c r="Q132" s="14">
        <f t="shared" si="31"/>
        <v>1</v>
      </c>
      <c r="R132" s="702">
        <f t="shared" si="36"/>
        <v>0</v>
      </c>
      <c r="S132" s="333">
        <f t="shared" si="37"/>
        <v>0</v>
      </c>
      <c r="T132" s="1177">
        <f t="shared" si="38"/>
        <v>0</v>
      </c>
      <c r="U132" s="1309">
        <f t="shared" si="32"/>
        <v>0</v>
      </c>
      <c r="V132" s="1309">
        <f t="shared" si="33"/>
        <v>0</v>
      </c>
      <c r="W132" s="1306"/>
      <c r="X132" s="1309">
        <f t="shared" si="34"/>
        <v>0</v>
      </c>
      <c r="Y132" s="1309">
        <f t="shared" si="35"/>
        <v>0</v>
      </c>
      <c r="Z132" s="1306"/>
    </row>
    <row r="133" spans="1:26">
      <c r="A133" s="74"/>
      <c r="B133" s="24"/>
      <c r="C133" s="14">
        <f t="shared" si="24"/>
        <v>1</v>
      </c>
      <c r="D133" s="706"/>
      <c r="E133" s="14">
        <f t="shared" si="25"/>
        <v>1</v>
      </c>
      <c r="F133" s="706"/>
      <c r="G133" s="14">
        <f t="shared" si="26"/>
        <v>1</v>
      </c>
      <c r="H133" s="706"/>
      <c r="I133" s="14">
        <f t="shared" si="27"/>
        <v>1</v>
      </c>
      <c r="J133" s="706"/>
      <c r="K133" s="14">
        <f t="shared" si="28"/>
        <v>1</v>
      </c>
      <c r="L133" s="706"/>
      <c r="M133" s="14">
        <f t="shared" si="29"/>
        <v>1</v>
      </c>
      <c r="N133" s="706"/>
      <c r="O133" s="14">
        <f t="shared" si="30"/>
        <v>1</v>
      </c>
      <c r="P133" s="706"/>
      <c r="Q133" s="14">
        <f t="shared" si="31"/>
        <v>1</v>
      </c>
      <c r="R133" s="702">
        <f t="shared" si="36"/>
        <v>0</v>
      </c>
      <c r="S133" s="333">
        <f t="shared" si="37"/>
        <v>0</v>
      </c>
      <c r="T133" s="1177">
        <f t="shared" si="38"/>
        <v>0</v>
      </c>
      <c r="U133" s="1309">
        <f t="shared" si="32"/>
        <v>0</v>
      </c>
      <c r="V133" s="1309">
        <f t="shared" si="33"/>
        <v>0</v>
      </c>
      <c r="W133" s="1306"/>
      <c r="X133" s="1309">
        <f t="shared" si="34"/>
        <v>0</v>
      </c>
      <c r="Y133" s="1309">
        <f t="shared" si="35"/>
        <v>0</v>
      </c>
      <c r="Z133" s="1306"/>
    </row>
    <row r="134" spans="1:26">
      <c r="A134" s="74"/>
      <c r="B134" s="24"/>
      <c r="C134" s="14">
        <f t="shared" si="24"/>
        <v>1</v>
      </c>
      <c r="D134" s="706"/>
      <c r="E134" s="14">
        <f t="shared" si="25"/>
        <v>1</v>
      </c>
      <c r="F134" s="706"/>
      <c r="G134" s="14">
        <f t="shared" si="26"/>
        <v>1</v>
      </c>
      <c r="H134" s="706"/>
      <c r="I134" s="14">
        <f t="shared" si="27"/>
        <v>1</v>
      </c>
      <c r="J134" s="706"/>
      <c r="K134" s="14">
        <f t="shared" si="28"/>
        <v>1</v>
      </c>
      <c r="L134" s="706"/>
      <c r="M134" s="14">
        <f t="shared" si="29"/>
        <v>1</v>
      </c>
      <c r="N134" s="706"/>
      <c r="O134" s="14">
        <f t="shared" si="30"/>
        <v>1</v>
      </c>
      <c r="P134" s="706"/>
      <c r="Q134" s="14">
        <f t="shared" si="31"/>
        <v>1</v>
      </c>
      <c r="R134" s="702">
        <f t="shared" si="36"/>
        <v>0</v>
      </c>
      <c r="S134" s="333">
        <f t="shared" si="37"/>
        <v>0</v>
      </c>
      <c r="T134" s="1177">
        <f t="shared" si="38"/>
        <v>0</v>
      </c>
      <c r="U134" s="1309">
        <f t="shared" si="32"/>
        <v>0</v>
      </c>
      <c r="V134" s="1309">
        <f t="shared" si="33"/>
        <v>0</v>
      </c>
      <c r="W134" s="1306"/>
      <c r="X134" s="1309">
        <f t="shared" si="34"/>
        <v>0</v>
      </c>
      <c r="Y134" s="1309">
        <f t="shared" si="35"/>
        <v>0</v>
      </c>
      <c r="Z134" s="1306"/>
    </row>
    <row r="135" spans="1:26">
      <c r="A135" s="74"/>
      <c r="B135" s="24"/>
      <c r="C135" s="14">
        <f t="shared" si="24"/>
        <v>1</v>
      </c>
      <c r="D135" s="706"/>
      <c r="E135" s="14">
        <f t="shared" si="25"/>
        <v>1</v>
      </c>
      <c r="F135" s="706"/>
      <c r="G135" s="14">
        <f t="shared" si="26"/>
        <v>1</v>
      </c>
      <c r="H135" s="706"/>
      <c r="I135" s="14">
        <f t="shared" si="27"/>
        <v>1</v>
      </c>
      <c r="J135" s="706"/>
      <c r="K135" s="14">
        <f t="shared" si="28"/>
        <v>1</v>
      </c>
      <c r="L135" s="706"/>
      <c r="M135" s="14">
        <f t="shared" si="29"/>
        <v>1</v>
      </c>
      <c r="N135" s="706"/>
      <c r="O135" s="14">
        <f t="shared" si="30"/>
        <v>1</v>
      </c>
      <c r="P135" s="706"/>
      <c r="Q135" s="14">
        <f t="shared" si="31"/>
        <v>1</v>
      </c>
      <c r="R135" s="702">
        <f t="shared" si="36"/>
        <v>0</v>
      </c>
      <c r="S135" s="333">
        <f t="shared" si="37"/>
        <v>0</v>
      </c>
      <c r="T135" s="1177">
        <f t="shared" si="38"/>
        <v>0</v>
      </c>
      <c r="U135" s="1309">
        <f t="shared" si="32"/>
        <v>0</v>
      </c>
      <c r="V135" s="1309">
        <f t="shared" si="33"/>
        <v>0</v>
      </c>
      <c r="W135" s="1306"/>
      <c r="X135" s="1309">
        <f t="shared" si="34"/>
        <v>0</v>
      </c>
      <c r="Y135" s="1309">
        <f t="shared" si="35"/>
        <v>0</v>
      </c>
      <c r="Z135" s="1306"/>
    </row>
    <row r="136" spans="1:26">
      <c r="A136" s="74"/>
      <c r="B136" s="24"/>
      <c r="C136" s="14">
        <f t="shared" si="24"/>
        <v>1</v>
      </c>
      <c r="D136" s="706"/>
      <c r="E136" s="14">
        <f t="shared" si="25"/>
        <v>1</v>
      </c>
      <c r="F136" s="706"/>
      <c r="G136" s="14">
        <f t="shared" si="26"/>
        <v>1</v>
      </c>
      <c r="H136" s="706"/>
      <c r="I136" s="14">
        <f t="shared" si="27"/>
        <v>1</v>
      </c>
      <c r="J136" s="706"/>
      <c r="K136" s="14">
        <f t="shared" si="28"/>
        <v>1</v>
      </c>
      <c r="L136" s="706"/>
      <c r="M136" s="14">
        <f t="shared" si="29"/>
        <v>1</v>
      </c>
      <c r="N136" s="706"/>
      <c r="O136" s="14">
        <f t="shared" si="30"/>
        <v>1</v>
      </c>
      <c r="P136" s="706"/>
      <c r="Q136" s="14">
        <f t="shared" si="31"/>
        <v>1</v>
      </c>
      <c r="R136" s="702">
        <f t="shared" si="36"/>
        <v>0</v>
      </c>
      <c r="S136" s="333">
        <f t="shared" si="37"/>
        <v>0</v>
      </c>
      <c r="T136" s="1177">
        <f t="shared" si="38"/>
        <v>0</v>
      </c>
      <c r="U136" s="1309">
        <f t="shared" si="32"/>
        <v>0</v>
      </c>
      <c r="V136" s="1309">
        <f t="shared" si="33"/>
        <v>0</v>
      </c>
      <c r="W136" s="1306"/>
      <c r="X136" s="1309">
        <f t="shared" si="34"/>
        <v>0</v>
      </c>
      <c r="Y136" s="1309">
        <f t="shared" si="35"/>
        <v>0</v>
      </c>
      <c r="Z136" s="1306"/>
    </row>
    <row r="137" spans="1:26">
      <c r="A137" s="74"/>
      <c r="B137" s="24"/>
      <c r="C137" s="14">
        <f t="shared" si="24"/>
        <v>1</v>
      </c>
      <c r="D137" s="706"/>
      <c r="E137" s="14">
        <f t="shared" si="25"/>
        <v>1</v>
      </c>
      <c r="F137" s="706"/>
      <c r="G137" s="14">
        <f t="shared" si="26"/>
        <v>1</v>
      </c>
      <c r="H137" s="706"/>
      <c r="I137" s="14">
        <f t="shared" si="27"/>
        <v>1</v>
      </c>
      <c r="J137" s="706"/>
      <c r="K137" s="14">
        <f t="shared" si="28"/>
        <v>1</v>
      </c>
      <c r="L137" s="706"/>
      <c r="M137" s="14">
        <f t="shared" si="29"/>
        <v>1</v>
      </c>
      <c r="N137" s="706"/>
      <c r="O137" s="14">
        <f t="shared" si="30"/>
        <v>1</v>
      </c>
      <c r="P137" s="706"/>
      <c r="Q137" s="14">
        <f t="shared" si="31"/>
        <v>1</v>
      </c>
      <c r="R137" s="702">
        <f t="shared" si="36"/>
        <v>0</v>
      </c>
      <c r="S137" s="333">
        <f t="shared" si="37"/>
        <v>0</v>
      </c>
      <c r="T137" s="1177">
        <f t="shared" si="38"/>
        <v>0</v>
      </c>
      <c r="U137" s="1309">
        <f t="shared" si="32"/>
        <v>0</v>
      </c>
      <c r="V137" s="1309">
        <f t="shared" si="33"/>
        <v>0</v>
      </c>
      <c r="W137" s="1306"/>
      <c r="X137" s="1309">
        <f t="shared" si="34"/>
        <v>0</v>
      </c>
      <c r="Y137" s="1309">
        <f t="shared" si="35"/>
        <v>0</v>
      </c>
      <c r="Z137" s="1306"/>
    </row>
    <row r="138" spans="1:26">
      <c r="A138" s="74"/>
      <c r="B138" s="24"/>
      <c r="C138" s="14">
        <f t="shared" si="24"/>
        <v>1</v>
      </c>
      <c r="D138" s="706"/>
      <c r="E138" s="14">
        <f t="shared" si="25"/>
        <v>1</v>
      </c>
      <c r="F138" s="706"/>
      <c r="G138" s="14">
        <f t="shared" si="26"/>
        <v>1</v>
      </c>
      <c r="H138" s="706"/>
      <c r="I138" s="14">
        <f t="shared" si="27"/>
        <v>1</v>
      </c>
      <c r="J138" s="706"/>
      <c r="K138" s="14">
        <f t="shared" si="28"/>
        <v>1</v>
      </c>
      <c r="L138" s="706"/>
      <c r="M138" s="14">
        <f t="shared" si="29"/>
        <v>1</v>
      </c>
      <c r="N138" s="706"/>
      <c r="O138" s="14">
        <f t="shared" si="30"/>
        <v>1</v>
      </c>
      <c r="P138" s="706"/>
      <c r="Q138" s="14">
        <f t="shared" si="31"/>
        <v>1</v>
      </c>
      <c r="R138" s="702">
        <f t="shared" si="36"/>
        <v>0</v>
      </c>
      <c r="S138" s="333">
        <f t="shared" si="37"/>
        <v>0</v>
      </c>
      <c r="T138" s="1177">
        <f t="shared" si="38"/>
        <v>0</v>
      </c>
      <c r="U138" s="1309">
        <f t="shared" si="32"/>
        <v>0</v>
      </c>
      <c r="V138" s="1309">
        <f t="shared" si="33"/>
        <v>0</v>
      </c>
      <c r="W138" s="1306"/>
      <c r="X138" s="1309">
        <f t="shared" si="34"/>
        <v>0</v>
      </c>
      <c r="Y138" s="1309">
        <f t="shared" si="35"/>
        <v>0</v>
      </c>
      <c r="Z138" s="1306"/>
    </row>
    <row r="139" spans="1:26">
      <c r="A139" s="74"/>
      <c r="B139" s="24"/>
      <c r="C139" s="14">
        <f t="shared" si="24"/>
        <v>1</v>
      </c>
      <c r="D139" s="706"/>
      <c r="E139" s="14">
        <f t="shared" si="25"/>
        <v>1</v>
      </c>
      <c r="F139" s="706"/>
      <c r="G139" s="14">
        <f t="shared" si="26"/>
        <v>1</v>
      </c>
      <c r="H139" s="706"/>
      <c r="I139" s="14">
        <f t="shared" si="27"/>
        <v>1</v>
      </c>
      <c r="J139" s="706"/>
      <c r="K139" s="14">
        <f t="shared" si="28"/>
        <v>1</v>
      </c>
      <c r="L139" s="706"/>
      <c r="M139" s="14">
        <f t="shared" si="29"/>
        <v>1</v>
      </c>
      <c r="N139" s="706"/>
      <c r="O139" s="14">
        <f t="shared" si="30"/>
        <v>1</v>
      </c>
      <c r="P139" s="706"/>
      <c r="Q139" s="14">
        <f t="shared" si="31"/>
        <v>1</v>
      </c>
      <c r="R139" s="702">
        <f t="shared" si="36"/>
        <v>0</v>
      </c>
      <c r="S139" s="333">
        <f t="shared" si="37"/>
        <v>0</v>
      </c>
      <c r="T139" s="1177">
        <f t="shared" si="38"/>
        <v>0</v>
      </c>
      <c r="U139" s="1309">
        <f t="shared" si="32"/>
        <v>0</v>
      </c>
      <c r="V139" s="1309">
        <f t="shared" si="33"/>
        <v>0</v>
      </c>
      <c r="W139" s="1306"/>
      <c r="X139" s="1309">
        <f t="shared" si="34"/>
        <v>0</v>
      </c>
      <c r="Y139" s="1309">
        <f t="shared" si="35"/>
        <v>0</v>
      </c>
      <c r="Z139" s="1306"/>
    </row>
    <row r="140" spans="1:26">
      <c r="A140" s="74"/>
      <c r="B140" s="24"/>
      <c r="C140" s="14">
        <f t="shared" si="24"/>
        <v>1</v>
      </c>
      <c r="D140" s="706"/>
      <c r="E140" s="14">
        <f t="shared" si="25"/>
        <v>1</v>
      </c>
      <c r="F140" s="706"/>
      <c r="G140" s="14">
        <f t="shared" si="26"/>
        <v>1</v>
      </c>
      <c r="H140" s="706"/>
      <c r="I140" s="14">
        <f t="shared" si="27"/>
        <v>1</v>
      </c>
      <c r="J140" s="706"/>
      <c r="K140" s="14">
        <f t="shared" si="28"/>
        <v>1</v>
      </c>
      <c r="L140" s="706"/>
      <c r="M140" s="14">
        <f t="shared" si="29"/>
        <v>1</v>
      </c>
      <c r="N140" s="706"/>
      <c r="O140" s="14">
        <f t="shared" si="30"/>
        <v>1</v>
      </c>
      <c r="P140" s="706"/>
      <c r="Q140" s="14">
        <f t="shared" si="31"/>
        <v>1</v>
      </c>
      <c r="R140" s="702">
        <f t="shared" si="36"/>
        <v>0</v>
      </c>
      <c r="S140" s="333">
        <f t="shared" si="37"/>
        <v>0</v>
      </c>
      <c r="T140" s="1177">
        <f t="shared" si="38"/>
        <v>0</v>
      </c>
      <c r="U140" s="1309">
        <f t="shared" si="32"/>
        <v>0</v>
      </c>
      <c r="V140" s="1309">
        <f t="shared" si="33"/>
        <v>0</v>
      </c>
      <c r="W140" s="1306"/>
      <c r="X140" s="1309">
        <f t="shared" si="34"/>
        <v>0</v>
      </c>
      <c r="Y140" s="1309">
        <f t="shared" si="35"/>
        <v>0</v>
      </c>
      <c r="Z140" s="1306"/>
    </row>
    <row r="141" spans="1:26">
      <c r="A141" s="74"/>
      <c r="B141" s="24"/>
      <c r="C141" s="14">
        <f t="shared" si="24"/>
        <v>1</v>
      </c>
      <c r="D141" s="706"/>
      <c r="E141" s="14">
        <f t="shared" si="25"/>
        <v>1</v>
      </c>
      <c r="F141" s="706"/>
      <c r="G141" s="14">
        <f t="shared" si="26"/>
        <v>1</v>
      </c>
      <c r="H141" s="706"/>
      <c r="I141" s="14">
        <f t="shared" si="27"/>
        <v>1</v>
      </c>
      <c r="J141" s="706"/>
      <c r="K141" s="14">
        <f t="shared" si="28"/>
        <v>1</v>
      </c>
      <c r="L141" s="706"/>
      <c r="M141" s="14">
        <f t="shared" si="29"/>
        <v>1</v>
      </c>
      <c r="N141" s="706"/>
      <c r="O141" s="14">
        <f t="shared" si="30"/>
        <v>1</v>
      </c>
      <c r="P141" s="706"/>
      <c r="Q141" s="14">
        <f t="shared" si="31"/>
        <v>1</v>
      </c>
      <c r="R141" s="702">
        <f t="shared" si="36"/>
        <v>0</v>
      </c>
      <c r="S141" s="333">
        <f t="shared" si="37"/>
        <v>0</v>
      </c>
      <c r="T141" s="1177">
        <f t="shared" si="38"/>
        <v>0</v>
      </c>
      <c r="U141" s="1309">
        <f t="shared" si="32"/>
        <v>0</v>
      </c>
      <c r="V141" s="1309">
        <f t="shared" si="33"/>
        <v>0</v>
      </c>
      <c r="W141" s="1306"/>
      <c r="X141" s="1309">
        <f t="shared" si="34"/>
        <v>0</v>
      </c>
      <c r="Y141" s="1309">
        <f t="shared" si="35"/>
        <v>0</v>
      </c>
      <c r="Z141" s="1306"/>
    </row>
    <row r="142" spans="1:26">
      <c r="A142" s="74"/>
      <c r="B142" s="24"/>
      <c r="C142" s="14">
        <f t="shared" si="24"/>
        <v>1</v>
      </c>
      <c r="D142" s="706"/>
      <c r="E142" s="14">
        <f t="shared" si="25"/>
        <v>1</v>
      </c>
      <c r="F142" s="706"/>
      <c r="G142" s="14">
        <f t="shared" si="26"/>
        <v>1</v>
      </c>
      <c r="H142" s="706"/>
      <c r="I142" s="14">
        <f t="shared" si="27"/>
        <v>1</v>
      </c>
      <c r="J142" s="706"/>
      <c r="K142" s="14">
        <f t="shared" si="28"/>
        <v>1</v>
      </c>
      <c r="L142" s="706"/>
      <c r="M142" s="14">
        <f t="shared" si="29"/>
        <v>1</v>
      </c>
      <c r="N142" s="706"/>
      <c r="O142" s="14">
        <f t="shared" si="30"/>
        <v>1</v>
      </c>
      <c r="P142" s="706"/>
      <c r="Q142" s="14">
        <f t="shared" si="31"/>
        <v>1</v>
      </c>
      <c r="R142" s="702">
        <f t="shared" si="36"/>
        <v>0</v>
      </c>
      <c r="S142" s="333">
        <f t="shared" si="37"/>
        <v>0</v>
      </c>
      <c r="T142" s="1177">
        <f t="shared" si="38"/>
        <v>0</v>
      </c>
      <c r="U142" s="1309">
        <f t="shared" si="32"/>
        <v>0</v>
      </c>
      <c r="V142" s="1309">
        <f t="shared" si="33"/>
        <v>0</v>
      </c>
      <c r="W142" s="1306"/>
      <c r="X142" s="1309">
        <f t="shared" si="34"/>
        <v>0</v>
      </c>
      <c r="Y142" s="1309">
        <f t="shared" si="35"/>
        <v>0</v>
      </c>
      <c r="Z142" s="1306"/>
    </row>
    <row r="143" spans="1:26">
      <c r="A143" s="74"/>
      <c r="B143" s="24"/>
      <c r="C143" s="14">
        <f t="shared" si="24"/>
        <v>1</v>
      </c>
      <c r="D143" s="706"/>
      <c r="E143" s="14">
        <f t="shared" si="25"/>
        <v>1</v>
      </c>
      <c r="F143" s="706"/>
      <c r="G143" s="14">
        <f t="shared" si="26"/>
        <v>1</v>
      </c>
      <c r="H143" s="706"/>
      <c r="I143" s="14">
        <f t="shared" si="27"/>
        <v>1</v>
      </c>
      <c r="J143" s="706"/>
      <c r="K143" s="14">
        <f t="shared" si="28"/>
        <v>1</v>
      </c>
      <c r="L143" s="706"/>
      <c r="M143" s="14">
        <f t="shared" si="29"/>
        <v>1</v>
      </c>
      <c r="N143" s="706"/>
      <c r="O143" s="14">
        <f t="shared" si="30"/>
        <v>1</v>
      </c>
      <c r="P143" s="706"/>
      <c r="Q143" s="14">
        <f t="shared" si="31"/>
        <v>1</v>
      </c>
      <c r="R143" s="702">
        <f t="shared" si="36"/>
        <v>0</v>
      </c>
      <c r="S143" s="333">
        <f t="shared" si="37"/>
        <v>0</v>
      </c>
      <c r="T143" s="1177">
        <f t="shared" si="38"/>
        <v>0</v>
      </c>
      <c r="U143" s="1309">
        <f t="shared" si="32"/>
        <v>0</v>
      </c>
      <c r="V143" s="1309">
        <f t="shared" si="33"/>
        <v>0</v>
      </c>
      <c r="W143" s="1306"/>
      <c r="X143" s="1309">
        <f t="shared" si="34"/>
        <v>0</v>
      </c>
      <c r="Y143" s="1309">
        <f t="shared" si="35"/>
        <v>0</v>
      </c>
      <c r="Z143" s="1306"/>
    </row>
    <row r="144" spans="1:26">
      <c r="A144" s="74"/>
      <c r="B144" s="24"/>
      <c r="C144" s="14">
        <f t="shared" si="24"/>
        <v>1</v>
      </c>
      <c r="D144" s="706"/>
      <c r="E144" s="14">
        <f t="shared" si="25"/>
        <v>1</v>
      </c>
      <c r="F144" s="706"/>
      <c r="G144" s="14">
        <f t="shared" si="26"/>
        <v>1</v>
      </c>
      <c r="H144" s="706"/>
      <c r="I144" s="14">
        <f t="shared" si="27"/>
        <v>1</v>
      </c>
      <c r="J144" s="706"/>
      <c r="K144" s="14">
        <f t="shared" si="28"/>
        <v>1</v>
      </c>
      <c r="L144" s="706"/>
      <c r="M144" s="14">
        <f t="shared" si="29"/>
        <v>1</v>
      </c>
      <c r="N144" s="706"/>
      <c r="O144" s="14">
        <f t="shared" si="30"/>
        <v>1</v>
      </c>
      <c r="P144" s="706"/>
      <c r="Q144" s="14">
        <f t="shared" si="31"/>
        <v>1</v>
      </c>
      <c r="R144" s="702">
        <f t="shared" si="36"/>
        <v>0</v>
      </c>
      <c r="S144" s="333">
        <f t="shared" si="37"/>
        <v>0</v>
      </c>
      <c r="T144" s="1177">
        <f t="shared" si="38"/>
        <v>0</v>
      </c>
      <c r="U144" s="1309">
        <f t="shared" si="32"/>
        <v>0</v>
      </c>
      <c r="V144" s="1309">
        <f t="shared" si="33"/>
        <v>0</v>
      </c>
      <c r="W144" s="1306"/>
      <c r="X144" s="1309">
        <f t="shared" si="34"/>
        <v>0</v>
      </c>
      <c r="Y144" s="1309">
        <f t="shared" si="35"/>
        <v>0</v>
      </c>
      <c r="Z144" s="1306"/>
    </row>
    <row r="145" spans="1:26">
      <c r="A145" s="74"/>
      <c r="B145" s="24"/>
      <c r="C145" s="14">
        <f t="shared" si="24"/>
        <v>1</v>
      </c>
      <c r="D145" s="706"/>
      <c r="E145" s="14">
        <f t="shared" si="25"/>
        <v>1</v>
      </c>
      <c r="F145" s="706"/>
      <c r="G145" s="14">
        <f t="shared" si="26"/>
        <v>1</v>
      </c>
      <c r="H145" s="706"/>
      <c r="I145" s="14">
        <f t="shared" si="27"/>
        <v>1</v>
      </c>
      <c r="J145" s="706"/>
      <c r="K145" s="14">
        <f t="shared" si="28"/>
        <v>1</v>
      </c>
      <c r="L145" s="706"/>
      <c r="M145" s="14">
        <f t="shared" si="29"/>
        <v>1</v>
      </c>
      <c r="N145" s="706"/>
      <c r="O145" s="14">
        <f t="shared" si="30"/>
        <v>1</v>
      </c>
      <c r="P145" s="706"/>
      <c r="Q145" s="14">
        <f t="shared" si="31"/>
        <v>1</v>
      </c>
      <c r="R145" s="702">
        <f t="shared" si="36"/>
        <v>0</v>
      </c>
      <c r="S145" s="333">
        <f t="shared" si="37"/>
        <v>0</v>
      </c>
      <c r="T145" s="1177">
        <f t="shared" si="38"/>
        <v>0</v>
      </c>
      <c r="U145" s="1309">
        <f t="shared" si="32"/>
        <v>0</v>
      </c>
      <c r="V145" s="1309">
        <f t="shared" si="33"/>
        <v>0</v>
      </c>
      <c r="W145" s="1306"/>
      <c r="X145" s="1309">
        <f t="shared" si="34"/>
        <v>0</v>
      </c>
      <c r="Y145" s="1309">
        <f t="shared" si="35"/>
        <v>0</v>
      </c>
      <c r="Z145" s="1306"/>
    </row>
    <row r="146" spans="1:26">
      <c r="A146" s="74"/>
      <c r="B146" s="24"/>
      <c r="C146" s="14">
        <f t="shared" si="24"/>
        <v>1</v>
      </c>
      <c r="D146" s="706"/>
      <c r="E146" s="14">
        <f t="shared" si="25"/>
        <v>1</v>
      </c>
      <c r="F146" s="706"/>
      <c r="G146" s="14">
        <f t="shared" si="26"/>
        <v>1</v>
      </c>
      <c r="H146" s="706"/>
      <c r="I146" s="14">
        <f t="shared" si="27"/>
        <v>1</v>
      </c>
      <c r="J146" s="706"/>
      <c r="K146" s="14">
        <f t="shared" si="28"/>
        <v>1</v>
      </c>
      <c r="L146" s="706"/>
      <c r="M146" s="14">
        <f t="shared" si="29"/>
        <v>1</v>
      </c>
      <c r="N146" s="706"/>
      <c r="O146" s="14">
        <f t="shared" si="30"/>
        <v>1</v>
      </c>
      <c r="P146" s="706"/>
      <c r="Q146" s="14">
        <f t="shared" si="31"/>
        <v>1</v>
      </c>
      <c r="R146" s="702">
        <f t="shared" si="36"/>
        <v>0</v>
      </c>
      <c r="S146" s="333">
        <f t="shared" si="37"/>
        <v>0</v>
      </c>
      <c r="T146" s="1177">
        <f t="shared" si="38"/>
        <v>0</v>
      </c>
      <c r="U146" s="1309">
        <f t="shared" si="32"/>
        <v>0</v>
      </c>
      <c r="V146" s="1309">
        <f t="shared" si="33"/>
        <v>0</v>
      </c>
      <c r="W146" s="1306"/>
      <c r="X146" s="1309">
        <f t="shared" si="34"/>
        <v>0</v>
      </c>
      <c r="Y146" s="1309">
        <f t="shared" si="35"/>
        <v>0</v>
      </c>
      <c r="Z146" s="1306"/>
    </row>
    <row r="147" spans="1:26">
      <c r="A147" s="74"/>
      <c r="B147" s="24"/>
      <c r="C147" s="14">
        <f t="shared" si="24"/>
        <v>1</v>
      </c>
      <c r="D147" s="706"/>
      <c r="E147" s="14">
        <f t="shared" si="25"/>
        <v>1</v>
      </c>
      <c r="F147" s="706"/>
      <c r="G147" s="14">
        <f t="shared" si="26"/>
        <v>1</v>
      </c>
      <c r="H147" s="706"/>
      <c r="I147" s="14">
        <f t="shared" si="27"/>
        <v>1</v>
      </c>
      <c r="J147" s="706"/>
      <c r="K147" s="14">
        <f t="shared" si="28"/>
        <v>1</v>
      </c>
      <c r="L147" s="706"/>
      <c r="M147" s="14">
        <f t="shared" si="29"/>
        <v>1</v>
      </c>
      <c r="N147" s="706"/>
      <c r="O147" s="14">
        <f t="shared" si="30"/>
        <v>1</v>
      </c>
      <c r="P147" s="706"/>
      <c r="Q147" s="14">
        <f t="shared" si="31"/>
        <v>1</v>
      </c>
      <c r="R147" s="702">
        <f t="shared" si="36"/>
        <v>0</v>
      </c>
      <c r="S147" s="333">
        <f t="shared" si="37"/>
        <v>0</v>
      </c>
      <c r="T147" s="1177">
        <f t="shared" si="38"/>
        <v>0</v>
      </c>
      <c r="U147" s="1309">
        <f t="shared" si="32"/>
        <v>0</v>
      </c>
      <c r="V147" s="1309">
        <f t="shared" si="33"/>
        <v>0</v>
      </c>
      <c r="W147" s="1306"/>
      <c r="X147" s="1309">
        <f t="shared" si="34"/>
        <v>0</v>
      </c>
      <c r="Y147" s="1309">
        <f t="shared" si="35"/>
        <v>0</v>
      </c>
      <c r="Z147" s="1306"/>
    </row>
    <row r="148" spans="1:26">
      <c r="A148" s="74"/>
      <c r="B148" s="24"/>
      <c r="C148" s="14">
        <f t="shared" si="24"/>
        <v>1</v>
      </c>
      <c r="D148" s="706"/>
      <c r="E148" s="14">
        <f t="shared" si="25"/>
        <v>1</v>
      </c>
      <c r="F148" s="706"/>
      <c r="G148" s="14">
        <f t="shared" si="26"/>
        <v>1</v>
      </c>
      <c r="H148" s="706"/>
      <c r="I148" s="14">
        <f t="shared" si="27"/>
        <v>1</v>
      </c>
      <c r="J148" s="706"/>
      <c r="K148" s="14">
        <f t="shared" si="28"/>
        <v>1</v>
      </c>
      <c r="L148" s="706"/>
      <c r="M148" s="14">
        <f t="shared" si="29"/>
        <v>1</v>
      </c>
      <c r="N148" s="706"/>
      <c r="O148" s="14">
        <f t="shared" si="30"/>
        <v>1</v>
      </c>
      <c r="P148" s="706"/>
      <c r="Q148" s="14">
        <f t="shared" si="31"/>
        <v>1</v>
      </c>
      <c r="R148" s="702">
        <f t="shared" si="36"/>
        <v>0</v>
      </c>
      <c r="S148" s="333">
        <f t="shared" si="37"/>
        <v>0</v>
      </c>
      <c r="T148" s="1177">
        <f t="shared" si="38"/>
        <v>0</v>
      </c>
      <c r="U148" s="1309">
        <f t="shared" si="32"/>
        <v>0</v>
      </c>
      <c r="V148" s="1309">
        <f t="shared" si="33"/>
        <v>0</v>
      </c>
      <c r="W148" s="1306"/>
      <c r="X148" s="1309">
        <f t="shared" si="34"/>
        <v>0</v>
      </c>
      <c r="Y148" s="1309">
        <f t="shared" si="35"/>
        <v>0</v>
      </c>
      <c r="Z148" s="1306"/>
    </row>
    <row r="149" spans="1:26">
      <c r="A149" s="74"/>
      <c r="B149" s="24"/>
      <c r="C149" s="14">
        <f t="shared" si="24"/>
        <v>1</v>
      </c>
      <c r="D149" s="706"/>
      <c r="E149" s="14">
        <f t="shared" si="25"/>
        <v>1</v>
      </c>
      <c r="F149" s="706"/>
      <c r="G149" s="14">
        <f t="shared" si="26"/>
        <v>1</v>
      </c>
      <c r="H149" s="706"/>
      <c r="I149" s="14">
        <f t="shared" si="27"/>
        <v>1</v>
      </c>
      <c r="J149" s="706"/>
      <c r="K149" s="14">
        <f t="shared" si="28"/>
        <v>1</v>
      </c>
      <c r="L149" s="706"/>
      <c r="M149" s="14">
        <f t="shared" si="29"/>
        <v>1</v>
      </c>
      <c r="N149" s="706"/>
      <c r="O149" s="14">
        <f t="shared" si="30"/>
        <v>1</v>
      </c>
      <c r="P149" s="706"/>
      <c r="Q149" s="14">
        <f t="shared" si="31"/>
        <v>1</v>
      </c>
      <c r="R149" s="702">
        <f t="shared" si="36"/>
        <v>0</v>
      </c>
      <c r="S149" s="333">
        <f t="shared" si="37"/>
        <v>0</v>
      </c>
      <c r="T149" s="1177">
        <f t="shared" si="38"/>
        <v>0</v>
      </c>
      <c r="U149" s="1309">
        <f t="shared" si="32"/>
        <v>0</v>
      </c>
      <c r="V149" s="1309">
        <f t="shared" si="33"/>
        <v>0</v>
      </c>
      <c r="W149" s="1306"/>
      <c r="X149" s="1309">
        <f t="shared" si="34"/>
        <v>0</v>
      </c>
      <c r="Y149" s="1309">
        <f t="shared" si="35"/>
        <v>0</v>
      </c>
      <c r="Z149" s="1306"/>
    </row>
    <row r="150" spans="1:26">
      <c r="A150" s="74"/>
      <c r="B150" s="24"/>
      <c r="C150" s="14">
        <f t="shared" si="24"/>
        <v>1</v>
      </c>
      <c r="D150" s="706"/>
      <c r="E150" s="14">
        <f t="shared" si="25"/>
        <v>1</v>
      </c>
      <c r="F150" s="706"/>
      <c r="G150" s="14">
        <f t="shared" si="26"/>
        <v>1</v>
      </c>
      <c r="H150" s="706"/>
      <c r="I150" s="14">
        <f t="shared" si="27"/>
        <v>1</v>
      </c>
      <c r="J150" s="706"/>
      <c r="K150" s="14">
        <f t="shared" si="28"/>
        <v>1</v>
      </c>
      <c r="L150" s="706"/>
      <c r="M150" s="14">
        <f t="shared" si="29"/>
        <v>1</v>
      </c>
      <c r="N150" s="706"/>
      <c r="O150" s="14">
        <f t="shared" si="30"/>
        <v>1</v>
      </c>
      <c r="P150" s="706"/>
      <c r="Q150" s="14">
        <f t="shared" si="31"/>
        <v>1</v>
      </c>
      <c r="R150" s="702">
        <f t="shared" si="36"/>
        <v>0</v>
      </c>
      <c r="S150" s="333">
        <f t="shared" si="37"/>
        <v>0</v>
      </c>
      <c r="T150" s="1177">
        <f t="shared" si="38"/>
        <v>0</v>
      </c>
      <c r="U150" s="1309">
        <f t="shared" si="32"/>
        <v>0</v>
      </c>
      <c r="V150" s="1309">
        <f t="shared" si="33"/>
        <v>0</v>
      </c>
      <c r="W150" s="1306"/>
      <c r="X150" s="1309">
        <f t="shared" si="34"/>
        <v>0</v>
      </c>
      <c r="Y150" s="1309">
        <f t="shared" si="35"/>
        <v>0</v>
      </c>
      <c r="Z150" s="1306"/>
    </row>
    <row r="151" spans="1:26">
      <c r="A151" s="74"/>
      <c r="B151" s="24"/>
      <c r="C151" s="14">
        <f t="shared" si="24"/>
        <v>1</v>
      </c>
      <c r="D151" s="706"/>
      <c r="E151" s="14">
        <f t="shared" si="25"/>
        <v>1</v>
      </c>
      <c r="F151" s="706"/>
      <c r="G151" s="14">
        <f t="shared" si="26"/>
        <v>1</v>
      </c>
      <c r="H151" s="706"/>
      <c r="I151" s="14">
        <f t="shared" si="27"/>
        <v>1</v>
      </c>
      <c r="J151" s="706"/>
      <c r="K151" s="14">
        <f t="shared" si="28"/>
        <v>1</v>
      </c>
      <c r="L151" s="706"/>
      <c r="M151" s="14">
        <f t="shared" si="29"/>
        <v>1</v>
      </c>
      <c r="N151" s="706"/>
      <c r="O151" s="14">
        <f t="shared" si="30"/>
        <v>1</v>
      </c>
      <c r="P151" s="706"/>
      <c r="Q151" s="14">
        <f t="shared" si="31"/>
        <v>1</v>
      </c>
      <c r="R151" s="702">
        <f t="shared" si="36"/>
        <v>0</v>
      </c>
      <c r="S151" s="333">
        <f t="shared" si="37"/>
        <v>0</v>
      </c>
      <c r="T151" s="1177">
        <f t="shared" si="38"/>
        <v>0</v>
      </c>
      <c r="U151" s="1309">
        <f t="shared" si="32"/>
        <v>0</v>
      </c>
      <c r="V151" s="1309">
        <f t="shared" si="33"/>
        <v>0</v>
      </c>
      <c r="W151" s="1306"/>
      <c r="X151" s="1309">
        <f t="shared" si="34"/>
        <v>0</v>
      </c>
      <c r="Y151" s="1309">
        <f t="shared" si="35"/>
        <v>0</v>
      </c>
      <c r="Z151" s="1306"/>
    </row>
    <row r="152" spans="1:26">
      <c r="A152" s="74"/>
      <c r="B152" s="24"/>
      <c r="C152" s="14">
        <f t="shared" si="24"/>
        <v>1</v>
      </c>
      <c r="D152" s="706"/>
      <c r="E152" s="14">
        <f t="shared" si="25"/>
        <v>1</v>
      </c>
      <c r="F152" s="706"/>
      <c r="G152" s="14">
        <f t="shared" si="26"/>
        <v>1</v>
      </c>
      <c r="H152" s="706"/>
      <c r="I152" s="14">
        <f t="shared" si="27"/>
        <v>1</v>
      </c>
      <c r="J152" s="706"/>
      <c r="K152" s="14">
        <f t="shared" si="28"/>
        <v>1</v>
      </c>
      <c r="L152" s="706"/>
      <c r="M152" s="14">
        <f t="shared" si="29"/>
        <v>1</v>
      </c>
      <c r="N152" s="706"/>
      <c r="O152" s="14">
        <f t="shared" si="30"/>
        <v>1</v>
      </c>
      <c r="P152" s="706"/>
      <c r="Q152" s="14">
        <f t="shared" si="31"/>
        <v>1</v>
      </c>
      <c r="R152" s="702">
        <f t="shared" si="36"/>
        <v>0</v>
      </c>
      <c r="S152" s="333">
        <f t="shared" si="37"/>
        <v>0</v>
      </c>
      <c r="T152" s="1177">
        <f t="shared" si="38"/>
        <v>0</v>
      </c>
      <c r="U152" s="1309">
        <f t="shared" si="32"/>
        <v>0</v>
      </c>
      <c r="V152" s="1309">
        <f t="shared" si="33"/>
        <v>0</v>
      </c>
      <c r="W152" s="1306"/>
      <c r="X152" s="1309">
        <f t="shared" si="34"/>
        <v>0</v>
      </c>
      <c r="Y152" s="1309">
        <f t="shared" si="35"/>
        <v>0</v>
      </c>
      <c r="Z152" s="1306"/>
    </row>
    <row r="153" spans="1:26">
      <c r="A153" s="74"/>
      <c r="B153" s="24"/>
      <c r="C153" s="14">
        <f t="shared" si="24"/>
        <v>1</v>
      </c>
      <c r="D153" s="706"/>
      <c r="E153" s="14">
        <f t="shared" si="25"/>
        <v>1</v>
      </c>
      <c r="F153" s="706"/>
      <c r="G153" s="14">
        <f t="shared" si="26"/>
        <v>1</v>
      </c>
      <c r="H153" s="706"/>
      <c r="I153" s="14">
        <f t="shared" si="27"/>
        <v>1</v>
      </c>
      <c r="J153" s="706"/>
      <c r="K153" s="14">
        <f t="shared" si="28"/>
        <v>1</v>
      </c>
      <c r="L153" s="706"/>
      <c r="M153" s="14">
        <f t="shared" si="29"/>
        <v>1</v>
      </c>
      <c r="N153" s="706"/>
      <c r="O153" s="14">
        <f t="shared" si="30"/>
        <v>1</v>
      </c>
      <c r="P153" s="706"/>
      <c r="Q153" s="14">
        <f t="shared" si="31"/>
        <v>1</v>
      </c>
      <c r="R153" s="702">
        <f t="shared" si="36"/>
        <v>0</v>
      </c>
      <c r="S153" s="333">
        <f t="shared" si="37"/>
        <v>0</v>
      </c>
      <c r="T153" s="1177">
        <f t="shared" si="38"/>
        <v>0</v>
      </c>
      <c r="U153" s="1309">
        <f t="shared" si="32"/>
        <v>0</v>
      </c>
      <c r="V153" s="1309">
        <f t="shared" si="33"/>
        <v>0</v>
      </c>
      <c r="W153" s="1306"/>
      <c r="X153" s="1309">
        <f t="shared" si="34"/>
        <v>0</v>
      </c>
      <c r="Y153" s="1309">
        <f t="shared" si="35"/>
        <v>0</v>
      </c>
      <c r="Z153" s="1306"/>
    </row>
    <row r="154" spans="1:26">
      <c r="A154" s="74"/>
      <c r="B154" s="24"/>
      <c r="C154" s="14">
        <f t="shared" si="24"/>
        <v>1</v>
      </c>
      <c r="D154" s="706"/>
      <c r="E154" s="14">
        <f t="shared" si="25"/>
        <v>1</v>
      </c>
      <c r="F154" s="706"/>
      <c r="G154" s="14">
        <f t="shared" si="26"/>
        <v>1</v>
      </c>
      <c r="H154" s="706"/>
      <c r="I154" s="14">
        <f t="shared" si="27"/>
        <v>1</v>
      </c>
      <c r="J154" s="706"/>
      <c r="K154" s="14">
        <f t="shared" si="28"/>
        <v>1</v>
      </c>
      <c r="L154" s="706"/>
      <c r="M154" s="14">
        <f t="shared" si="29"/>
        <v>1</v>
      </c>
      <c r="N154" s="706"/>
      <c r="O154" s="14">
        <f t="shared" si="30"/>
        <v>1</v>
      </c>
      <c r="P154" s="706"/>
      <c r="Q154" s="14">
        <f t="shared" si="31"/>
        <v>1</v>
      </c>
      <c r="R154" s="702">
        <f t="shared" si="36"/>
        <v>0</v>
      </c>
      <c r="S154" s="333">
        <f t="shared" si="37"/>
        <v>0</v>
      </c>
      <c r="T154" s="1177">
        <f t="shared" si="38"/>
        <v>0</v>
      </c>
      <c r="U154" s="1309">
        <f t="shared" si="32"/>
        <v>0</v>
      </c>
      <c r="V154" s="1309">
        <f t="shared" si="33"/>
        <v>0</v>
      </c>
      <c r="W154" s="1306"/>
      <c r="X154" s="1309">
        <f t="shared" si="34"/>
        <v>0</v>
      </c>
      <c r="Y154" s="1309">
        <f t="shared" si="35"/>
        <v>0</v>
      </c>
      <c r="Z154" s="1306"/>
    </row>
    <row r="155" spans="1:26">
      <c r="A155" s="74"/>
      <c r="B155" s="24"/>
      <c r="C155" s="14">
        <f t="shared" si="24"/>
        <v>1</v>
      </c>
      <c r="D155" s="706"/>
      <c r="E155" s="14">
        <f t="shared" si="25"/>
        <v>1</v>
      </c>
      <c r="F155" s="706"/>
      <c r="G155" s="14">
        <f t="shared" si="26"/>
        <v>1</v>
      </c>
      <c r="H155" s="706"/>
      <c r="I155" s="14">
        <f t="shared" si="27"/>
        <v>1</v>
      </c>
      <c r="J155" s="706"/>
      <c r="K155" s="14">
        <f t="shared" si="28"/>
        <v>1</v>
      </c>
      <c r="L155" s="706"/>
      <c r="M155" s="14">
        <f t="shared" si="29"/>
        <v>1</v>
      </c>
      <c r="N155" s="706"/>
      <c r="O155" s="14">
        <f t="shared" si="30"/>
        <v>1</v>
      </c>
      <c r="P155" s="706"/>
      <c r="Q155" s="14">
        <f t="shared" si="31"/>
        <v>1</v>
      </c>
      <c r="R155" s="702">
        <f t="shared" si="36"/>
        <v>0</v>
      </c>
      <c r="S155" s="333">
        <f t="shared" si="37"/>
        <v>0</v>
      </c>
      <c r="T155" s="1177">
        <f t="shared" si="38"/>
        <v>0</v>
      </c>
      <c r="U155" s="1309">
        <f t="shared" si="32"/>
        <v>0</v>
      </c>
      <c r="V155" s="1309">
        <f t="shared" si="33"/>
        <v>0</v>
      </c>
      <c r="W155" s="1306"/>
      <c r="X155" s="1309">
        <f t="shared" si="34"/>
        <v>0</v>
      </c>
      <c r="Y155" s="1309">
        <f t="shared" si="35"/>
        <v>0</v>
      </c>
      <c r="Z155" s="1306"/>
    </row>
    <row r="156" spans="1:26">
      <c r="A156" s="74"/>
      <c r="B156" s="24"/>
      <c r="C156" s="14">
        <f t="shared" ref="C156:C219" si="39">IF(B156="",1,(LOOKUP(B156,$6:$6,$7:$7)-LOOKUP($B$27,$6:$6,$7:$7)+100)/100)</f>
        <v>1</v>
      </c>
      <c r="D156" s="706"/>
      <c r="E156" s="14">
        <f t="shared" ref="E156:E219" si="40">(SUMIF($8:$8,D156,$9:$9)-SUMIF($8:$8,$D$27,$9:$9)+100)/100</f>
        <v>1</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1</v>
      </c>
      <c r="R156" s="702">
        <f t="shared" si="36"/>
        <v>0</v>
      </c>
      <c r="S156" s="333">
        <f t="shared" si="37"/>
        <v>0</v>
      </c>
      <c r="T156" s="1177">
        <f t="shared" si="38"/>
        <v>0</v>
      </c>
      <c r="U156" s="1309">
        <f t="shared" ref="U156:U219" si="47">ROUND(W156*B156,0)</f>
        <v>0</v>
      </c>
      <c r="V156" s="1309">
        <f t="shared" ref="V156:V219" si="48">ROUND(W156*B156/10000,0)</f>
        <v>0</v>
      </c>
      <c r="W156" s="1306"/>
      <c r="X156" s="1309">
        <f t="shared" ref="X156:X219" si="49">ROUND(Z156*B156,0)</f>
        <v>0</v>
      </c>
      <c r="Y156" s="1309">
        <f t="shared" ref="Y156:Y219" si="50">ROUND(Z156*B156/10000,0)</f>
        <v>0</v>
      </c>
      <c r="Z156" s="1306"/>
    </row>
    <row r="157" spans="1:26">
      <c r="A157" s="74"/>
      <c r="B157" s="24"/>
      <c r="C157" s="14">
        <f t="shared" si="39"/>
        <v>1</v>
      </c>
      <c r="D157" s="706"/>
      <c r="E157" s="14">
        <f t="shared" si="40"/>
        <v>1</v>
      </c>
      <c r="F157" s="706"/>
      <c r="G157" s="14">
        <f t="shared" si="41"/>
        <v>1</v>
      </c>
      <c r="H157" s="706"/>
      <c r="I157" s="14">
        <f t="shared" si="42"/>
        <v>1</v>
      </c>
      <c r="J157" s="706"/>
      <c r="K157" s="14">
        <f t="shared" si="43"/>
        <v>1</v>
      </c>
      <c r="L157" s="706"/>
      <c r="M157" s="14">
        <f t="shared" si="44"/>
        <v>1</v>
      </c>
      <c r="N157" s="706"/>
      <c r="O157" s="14">
        <f t="shared" si="45"/>
        <v>1</v>
      </c>
      <c r="P157" s="706"/>
      <c r="Q157" s="14">
        <f t="shared" si="46"/>
        <v>1</v>
      </c>
      <c r="R157" s="702">
        <f t="shared" ref="R157:R220" si="51">IF(B157="",0,ROUND($R$27*C157*E157*G157*I157*K157*M157*O157*Q157,0))</f>
        <v>0</v>
      </c>
      <c r="S157" s="333">
        <f t="shared" ref="S157:S220" si="52">ROUND(R157*B157,0)</f>
        <v>0</v>
      </c>
      <c r="T157" s="1177">
        <f t="shared" ref="T157:T220" si="53">ROUND(R157*B157/10000,0)</f>
        <v>0</v>
      </c>
      <c r="U157" s="1309">
        <f t="shared" si="47"/>
        <v>0</v>
      </c>
      <c r="V157" s="1309">
        <f t="shared" si="48"/>
        <v>0</v>
      </c>
      <c r="W157" s="1306"/>
      <c r="X157" s="1309">
        <f t="shared" si="49"/>
        <v>0</v>
      </c>
      <c r="Y157" s="1309">
        <f t="shared" si="50"/>
        <v>0</v>
      </c>
      <c r="Z157" s="1306"/>
    </row>
    <row r="158" spans="1:26">
      <c r="A158" s="74"/>
      <c r="B158" s="24"/>
      <c r="C158" s="14">
        <f t="shared" si="39"/>
        <v>1</v>
      </c>
      <c r="D158" s="706"/>
      <c r="E158" s="14">
        <f t="shared" si="40"/>
        <v>1</v>
      </c>
      <c r="F158" s="706"/>
      <c r="G158" s="14">
        <f t="shared" si="41"/>
        <v>1</v>
      </c>
      <c r="H158" s="706"/>
      <c r="I158" s="14">
        <f t="shared" si="42"/>
        <v>1</v>
      </c>
      <c r="J158" s="706"/>
      <c r="K158" s="14">
        <f t="shared" si="43"/>
        <v>1</v>
      </c>
      <c r="L158" s="706"/>
      <c r="M158" s="14">
        <f t="shared" si="44"/>
        <v>1</v>
      </c>
      <c r="N158" s="706"/>
      <c r="O158" s="14">
        <f t="shared" si="45"/>
        <v>1</v>
      </c>
      <c r="P158" s="706"/>
      <c r="Q158" s="14">
        <f t="shared" si="46"/>
        <v>1</v>
      </c>
      <c r="R158" s="702">
        <f t="shared" si="51"/>
        <v>0</v>
      </c>
      <c r="S158" s="333">
        <f t="shared" si="52"/>
        <v>0</v>
      </c>
      <c r="T158" s="1177">
        <f t="shared" si="53"/>
        <v>0</v>
      </c>
      <c r="U158" s="1309">
        <f t="shared" si="47"/>
        <v>0</v>
      </c>
      <c r="V158" s="1309">
        <f t="shared" si="48"/>
        <v>0</v>
      </c>
      <c r="W158" s="1306"/>
      <c r="X158" s="1309">
        <f t="shared" si="49"/>
        <v>0</v>
      </c>
      <c r="Y158" s="1309">
        <f t="shared" si="50"/>
        <v>0</v>
      </c>
      <c r="Z158" s="1306"/>
    </row>
    <row r="159" spans="1:26">
      <c r="A159" s="74"/>
      <c r="B159" s="24"/>
      <c r="C159" s="14">
        <f t="shared" si="39"/>
        <v>1</v>
      </c>
      <c r="D159" s="706"/>
      <c r="E159" s="14">
        <f t="shared" si="40"/>
        <v>1</v>
      </c>
      <c r="F159" s="706"/>
      <c r="G159" s="14">
        <f t="shared" si="41"/>
        <v>1</v>
      </c>
      <c r="H159" s="706"/>
      <c r="I159" s="14">
        <f t="shared" si="42"/>
        <v>1</v>
      </c>
      <c r="J159" s="706"/>
      <c r="K159" s="14">
        <f t="shared" si="43"/>
        <v>1</v>
      </c>
      <c r="L159" s="706"/>
      <c r="M159" s="14">
        <f t="shared" si="44"/>
        <v>1</v>
      </c>
      <c r="N159" s="706"/>
      <c r="O159" s="14">
        <f t="shared" si="45"/>
        <v>1</v>
      </c>
      <c r="P159" s="706"/>
      <c r="Q159" s="14">
        <f t="shared" si="46"/>
        <v>1</v>
      </c>
      <c r="R159" s="702">
        <f t="shared" si="51"/>
        <v>0</v>
      </c>
      <c r="S159" s="333">
        <f t="shared" si="52"/>
        <v>0</v>
      </c>
      <c r="T159" s="1177">
        <f t="shared" si="53"/>
        <v>0</v>
      </c>
      <c r="U159" s="1309">
        <f t="shared" si="47"/>
        <v>0</v>
      </c>
      <c r="V159" s="1309">
        <f t="shared" si="48"/>
        <v>0</v>
      </c>
      <c r="W159" s="1306"/>
      <c r="X159" s="1309">
        <f t="shared" si="49"/>
        <v>0</v>
      </c>
      <c r="Y159" s="1309">
        <f t="shared" si="50"/>
        <v>0</v>
      </c>
      <c r="Z159" s="1306"/>
    </row>
    <row r="160" spans="1:26">
      <c r="A160" s="74"/>
      <c r="B160" s="24"/>
      <c r="C160" s="14">
        <f t="shared" si="39"/>
        <v>1</v>
      </c>
      <c r="D160" s="706"/>
      <c r="E160" s="14">
        <f t="shared" si="40"/>
        <v>1</v>
      </c>
      <c r="F160" s="706"/>
      <c r="G160" s="14">
        <f t="shared" si="41"/>
        <v>1</v>
      </c>
      <c r="H160" s="706"/>
      <c r="I160" s="14">
        <f t="shared" si="42"/>
        <v>1</v>
      </c>
      <c r="J160" s="706"/>
      <c r="K160" s="14">
        <f t="shared" si="43"/>
        <v>1</v>
      </c>
      <c r="L160" s="706"/>
      <c r="M160" s="14">
        <f t="shared" si="44"/>
        <v>1</v>
      </c>
      <c r="N160" s="706"/>
      <c r="O160" s="14">
        <f t="shared" si="45"/>
        <v>1</v>
      </c>
      <c r="P160" s="706"/>
      <c r="Q160" s="14">
        <f t="shared" si="46"/>
        <v>1</v>
      </c>
      <c r="R160" s="702">
        <f t="shared" si="51"/>
        <v>0</v>
      </c>
      <c r="S160" s="333">
        <f t="shared" si="52"/>
        <v>0</v>
      </c>
      <c r="T160" s="1177">
        <f t="shared" si="53"/>
        <v>0</v>
      </c>
      <c r="U160" s="1309">
        <f t="shared" si="47"/>
        <v>0</v>
      </c>
      <c r="V160" s="1309">
        <f t="shared" si="48"/>
        <v>0</v>
      </c>
      <c r="W160" s="1306"/>
      <c r="X160" s="1309">
        <f t="shared" si="49"/>
        <v>0</v>
      </c>
      <c r="Y160" s="1309">
        <f t="shared" si="50"/>
        <v>0</v>
      </c>
      <c r="Z160" s="1306"/>
    </row>
    <row r="161" spans="1:26">
      <c r="A161" s="74"/>
      <c r="B161" s="24"/>
      <c r="C161" s="14">
        <f t="shared" si="39"/>
        <v>1</v>
      </c>
      <c r="D161" s="706"/>
      <c r="E161" s="14">
        <f t="shared" si="40"/>
        <v>1</v>
      </c>
      <c r="F161" s="706"/>
      <c r="G161" s="14">
        <f t="shared" si="41"/>
        <v>1</v>
      </c>
      <c r="H161" s="706"/>
      <c r="I161" s="14">
        <f t="shared" si="42"/>
        <v>1</v>
      </c>
      <c r="J161" s="706"/>
      <c r="K161" s="14">
        <f t="shared" si="43"/>
        <v>1</v>
      </c>
      <c r="L161" s="706"/>
      <c r="M161" s="14">
        <f t="shared" si="44"/>
        <v>1</v>
      </c>
      <c r="N161" s="706"/>
      <c r="O161" s="14">
        <f t="shared" si="45"/>
        <v>1</v>
      </c>
      <c r="P161" s="706"/>
      <c r="Q161" s="14">
        <f t="shared" si="46"/>
        <v>1</v>
      </c>
      <c r="R161" s="702">
        <f t="shared" si="51"/>
        <v>0</v>
      </c>
      <c r="S161" s="333">
        <f t="shared" si="52"/>
        <v>0</v>
      </c>
      <c r="T161" s="1177">
        <f t="shared" si="53"/>
        <v>0</v>
      </c>
      <c r="U161" s="1309">
        <f t="shared" si="47"/>
        <v>0</v>
      </c>
      <c r="V161" s="1309">
        <f t="shared" si="48"/>
        <v>0</v>
      </c>
      <c r="W161" s="1306"/>
      <c r="X161" s="1309">
        <f t="shared" si="49"/>
        <v>0</v>
      </c>
      <c r="Y161" s="1309">
        <f t="shared" si="50"/>
        <v>0</v>
      </c>
      <c r="Z161" s="1306"/>
    </row>
    <row r="162" spans="1:26">
      <c r="A162" s="74"/>
      <c r="B162" s="24"/>
      <c r="C162" s="14">
        <f t="shared" si="39"/>
        <v>1</v>
      </c>
      <c r="D162" s="706"/>
      <c r="E162" s="14">
        <f t="shared" si="40"/>
        <v>1</v>
      </c>
      <c r="F162" s="706"/>
      <c r="G162" s="14">
        <f t="shared" si="41"/>
        <v>1</v>
      </c>
      <c r="H162" s="706"/>
      <c r="I162" s="14">
        <f t="shared" si="42"/>
        <v>1</v>
      </c>
      <c r="J162" s="706"/>
      <c r="K162" s="14">
        <f t="shared" si="43"/>
        <v>1</v>
      </c>
      <c r="L162" s="706"/>
      <c r="M162" s="14">
        <f t="shared" si="44"/>
        <v>1</v>
      </c>
      <c r="N162" s="706"/>
      <c r="O162" s="14">
        <f t="shared" si="45"/>
        <v>1</v>
      </c>
      <c r="P162" s="706"/>
      <c r="Q162" s="14">
        <f t="shared" si="46"/>
        <v>1</v>
      </c>
      <c r="R162" s="702">
        <f t="shared" si="51"/>
        <v>0</v>
      </c>
      <c r="S162" s="333">
        <f t="shared" si="52"/>
        <v>0</v>
      </c>
      <c r="T162" s="1177">
        <f t="shared" si="53"/>
        <v>0</v>
      </c>
      <c r="U162" s="1309">
        <f t="shared" si="47"/>
        <v>0</v>
      </c>
      <c r="V162" s="1309">
        <f t="shared" si="48"/>
        <v>0</v>
      </c>
      <c r="W162" s="1306"/>
      <c r="X162" s="1309">
        <f t="shared" si="49"/>
        <v>0</v>
      </c>
      <c r="Y162" s="1309">
        <f t="shared" si="50"/>
        <v>0</v>
      </c>
      <c r="Z162" s="1306"/>
    </row>
    <row r="163" spans="1:26">
      <c r="A163" s="74"/>
      <c r="B163" s="24"/>
      <c r="C163" s="14">
        <f t="shared" si="39"/>
        <v>1</v>
      </c>
      <c r="D163" s="706"/>
      <c r="E163" s="14">
        <f t="shared" si="40"/>
        <v>1</v>
      </c>
      <c r="F163" s="706"/>
      <c r="G163" s="14">
        <f t="shared" si="41"/>
        <v>1</v>
      </c>
      <c r="H163" s="706"/>
      <c r="I163" s="14">
        <f t="shared" si="42"/>
        <v>1</v>
      </c>
      <c r="J163" s="706"/>
      <c r="K163" s="14">
        <f t="shared" si="43"/>
        <v>1</v>
      </c>
      <c r="L163" s="706"/>
      <c r="M163" s="14">
        <f t="shared" si="44"/>
        <v>1</v>
      </c>
      <c r="N163" s="706"/>
      <c r="O163" s="14">
        <f t="shared" si="45"/>
        <v>1</v>
      </c>
      <c r="P163" s="706"/>
      <c r="Q163" s="14">
        <f t="shared" si="46"/>
        <v>1</v>
      </c>
      <c r="R163" s="702">
        <f t="shared" si="51"/>
        <v>0</v>
      </c>
      <c r="S163" s="333">
        <f t="shared" si="52"/>
        <v>0</v>
      </c>
      <c r="T163" s="1177">
        <f t="shared" si="53"/>
        <v>0</v>
      </c>
      <c r="U163" s="1309">
        <f t="shared" si="47"/>
        <v>0</v>
      </c>
      <c r="V163" s="1309">
        <f t="shared" si="48"/>
        <v>0</v>
      </c>
      <c r="W163" s="1306"/>
      <c r="X163" s="1309">
        <f t="shared" si="49"/>
        <v>0</v>
      </c>
      <c r="Y163" s="1309">
        <f t="shared" si="50"/>
        <v>0</v>
      </c>
      <c r="Z163" s="1306"/>
    </row>
    <row r="164" spans="1:26">
      <c r="A164" s="74"/>
      <c r="B164" s="24"/>
      <c r="C164" s="14">
        <f t="shared" si="39"/>
        <v>1</v>
      </c>
      <c r="D164" s="706"/>
      <c r="E164" s="14">
        <f t="shared" si="40"/>
        <v>1</v>
      </c>
      <c r="F164" s="706"/>
      <c r="G164" s="14">
        <f t="shared" si="41"/>
        <v>1</v>
      </c>
      <c r="H164" s="706"/>
      <c r="I164" s="14">
        <f t="shared" si="42"/>
        <v>1</v>
      </c>
      <c r="J164" s="706"/>
      <c r="K164" s="14">
        <f t="shared" si="43"/>
        <v>1</v>
      </c>
      <c r="L164" s="706"/>
      <c r="M164" s="14">
        <f t="shared" si="44"/>
        <v>1</v>
      </c>
      <c r="N164" s="706"/>
      <c r="O164" s="14">
        <f t="shared" si="45"/>
        <v>1</v>
      </c>
      <c r="P164" s="706"/>
      <c r="Q164" s="14">
        <f t="shared" si="46"/>
        <v>1</v>
      </c>
      <c r="R164" s="702">
        <f t="shared" si="51"/>
        <v>0</v>
      </c>
      <c r="S164" s="333">
        <f t="shared" si="52"/>
        <v>0</v>
      </c>
      <c r="T164" s="1177">
        <f t="shared" si="53"/>
        <v>0</v>
      </c>
      <c r="U164" s="1309">
        <f t="shared" si="47"/>
        <v>0</v>
      </c>
      <c r="V164" s="1309">
        <f t="shared" si="48"/>
        <v>0</v>
      </c>
      <c r="W164" s="1306"/>
      <c r="X164" s="1309">
        <f t="shared" si="49"/>
        <v>0</v>
      </c>
      <c r="Y164" s="1309">
        <f t="shared" si="50"/>
        <v>0</v>
      </c>
      <c r="Z164" s="1306"/>
    </row>
    <row r="165" spans="1:26">
      <c r="A165" s="74"/>
      <c r="B165" s="24"/>
      <c r="C165" s="14">
        <f t="shared" si="39"/>
        <v>1</v>
      </c>
      <c r="D165" s="706"/>
      <c r="E165" s="14">
        <f t="shared" si="40"/>
        <v>1</v>
      </c>
      <c r="F165" s="706"/>
      <c r="G165" s="14">
        <f t="shared" si="41"/>
        <v>1</v>
      </c>
      <c r="H165" s="706"/>
      <c r="I165" s="14">
        <f t="shared" si="42"/>
        <v>1</v>
      </c>
      <c r="J165" s="706"/>
      <c r="K165" s="14">
        <f t="shared" si="43"/>
        <v>1</v>
      </c>
      <c r="L165" s="706"/>
      <c r="M165" s="14">
        <f t="shared" si="44"/>
        <v>1</v>
      </c>
      <c r="N165" s="706"/>
      <c r="O165" s="14">
        <f t="shared" si="45"/>
        <v>1</v>
      </c>
      <c r="P165" s="706"/>
      <c r="Q165" s="14">
        <f t="shared" si="46"/>
        <v>1</v>
      </c>
      <c r="R165" s="702">
        <f t="shared" si="51"/>
        <v>0</v>
      </c>
      <c r="S165" s="333">
        <f t="shared" si="52"/>
        <v>0</v>
      </c>
      <c r="T165" s="1177">
        <f t="shared" si="53"/>
        <v>0</v>
      </c>
      <c r="U165" s="1309">
        <f t="shared" si="47"/>
        <v>0</v>
      </c>
      <c r="V165" s="1309">
        <f t="shared" si="48"/>
        <v>0</v>
      </c>
      <c r="W165" s="1306"/>
      <c r="X165" s="1309">
        <f t="shared" si="49"/>
        <v>0</v>
      </c>
      <c r="Y165" s="1309">
        <f t="shared" si="50"/>
        <v>0</v>
      </c>
      <c r="Z165" s="1306"/>
    </row>
    <row r="166" spans="1:26">
      <c r="A166" s="74"/>
      <c r="B166" s="24"/>
      <c r="C166" s="14">
        <f t="shared" si="39"/>
        <v>1</v>
      </c>
      <c r="D166" s="706"/>
      <c r="E166" s="14">
        <f t="shared" si="40"/>
        <v>1</v>
      </c>
      <c r="F166" s="706"/>
      <c r="G166" s="14">
        <f t="shared" si="41"/>
        <v>1</v>
      </c>
      <c r="H166" s="706"/>
      <c r="I166" s="14">
        <f t="shared" si="42"/>
        <v>1</v>
      </c>
      <c r="J166" s="706"/>
      <c r="K166" s="14">
        <f t="shared" si="43"/>
        <v>1</v>
      </c>
      <c r="L166" s="706"/>
      <c r="M166" s="14">
        <f t="shared" si="44"/>
        <v>1</v>
      </c>
      <c r="N166" s="706"/>
      <c r="O166" s="14">
        <f t="shared" si="45"/>
        <v>1</v>
      </c>
      <c r="P166" s="706"/>
      <c r="Q166" s="14">
        <f t="shared" si="46"/>
        <v>1</v>
      </c>
      <c r="R166" s="702">
        <f t="shared" si="51"/>
        <v>0</v>
      </c>
      <c r="S166" s="333">
        <f t="shared" si="52"/>
        <v>0</v>
      </c>
      <c r="T166" s="1177">
        <f t="shared" si="53"/>
        <v>0</v>
      </c>
      <c r="U166" s="1309">
        <f t="shared" si="47"/>
        <v>0</v>
      </c>
      <c r="V166" s="1309">
        <f t="shared" si="48"/>
        <v>0</v>
      </c>
      <c r="W166" s="1306"/>
      <c r="X166" s="1309">
        <f t="shared" si="49"/>
        <v>0</v>
      </c>
      <c r="Y166" s="1309">
        <f t="shared" si="50"/>
        <v>0</v>
      </c>
      <c r="Z166" s="1306"/>
    </row>
    <row r="167" spans="1:26">
      <c r="A167" s="74"/>
      <c r="B167" s="24"/>
      <c r="C167" s="14">
        <f t="shared" si="39"/>
        <v>1</v>
      </c>
      <c r="D167" s="706"/>
      <c r="E167" s="14">
        <f t="shared" si="40"/>
        <v>1</v>
      </c>
      <c r="F167" s="706"/>
      <c r="G167" s="14">
        <f t="shared" si="41"/>
        <v>1</v>
      </c>
      <c r="H167" s="706"/>
      <c r="I167" s="14">
        <f t="shared" si="42"/>
        <v>1</v>
      </c>
      <c r="J167" s="706"/>
      <c r="K167" s="14">
        <f t="shared" si="43"/>
        <v>1</v>
      </c>
      <c r="L167" s="706"/>
      <c r="M167" s="14">
        <f t="shared" si="44"/>
        <v>1</v>
      </c>
      <c r="N167" s="706"/>
      <c r="O167" s="14">
        <f t="shared" si="45"/>
        <v>1</v>
      </c>
      <c r="P167" s="706"/>
      <c r="Q167" s="14">
        <f t="shared" si="46"/>
        <v>1</v>
      </c>
      <c r="R167" s="702">
        <f t="shared" si="51"/>
        <v>0</v>
      </c>
      <c r="S167" s="333">
        <f t="shared" si="52"/>
        <v>0</v>
      </c>
      <c r="T167" s="1177">
        <f t="shared" si="53"/>
        <v>0</v>
      </c>
      <c r="U167" s="1309">
        <f t="shared" si="47"/>
        <v>0</v>
      </c>
      <c r="V167" s="1309">
        <f t="shared" si="48"/>
        <v>0</v>
      </c>
      <c r="W167" s="1306"/>
      <c r="X167" s="1309">
        <f t="shared" si="49"/>
        <v>0</v>
      </c>
      <c r="Y167" s="1309">
        <f t="shared" si="50"/>
        <v>0</v>
      </c>
      <c r="Z167" s="1306"/>
    </row>
    <row r="168" spans="1:26">
      <c r="A168" s="74"/>
      <c r="B168" s="24"/>
      <c r="C168" s="14">
        <f t="shared" si="39"/>
        <v>1</v>
      </c>
      <c r="D168" s="706"/>
      <c r="E168" s="14">
        <f t="shared" si="40"/>
        <v>1</v>
      </c>
      <c r="F168" s="706"/>
      <c r="G168" s="14">
        <f t="shared" si="41"/>
        <v>1</v>
      </c>
      <c r="H168" s="706"/>
      <c r="I168" s="14">
        <f t="shared" si="42"/>
        <v>1</v>
      </c>
      <c r="J168" s="706"/>
      <c r="K168" s="14">
        <f t="shared" si="43"/>
        <v>1</v>
      </c>
      <c r="L168" s="706"/>
      <c r="M168" s="14">
        <f t="shared" si="44"/>
        <v>1</v>
      </c>
      <c r="N168" s="706"/>
      <c r="O168" s="14">
        <f t="shared" si="45"/>
        <v>1</v>
      </c>
      <c r="P168" s="706"/>
      <c r="Q168" s="14">
        <f t="shared" si="46"/>
        <v>1</v>
      </c>
      <c r="R168" s="702">
        <f t="shared" si="51"/>
        <v>0</v>
      </c>
      <c r="S168" s="333">
        <f t="shared" si="52"/>
        <v>0</v>
      </c>
      <c r="T168" s="1177">
        <f t="shared" si="53"/>
        <v>0</v>
      </c>
      <c r="U168" s="1309">
        <f t="shared" si="47"/>
        <v>0</v>
      </c>
      <c r="V168" s="1309">
        <f t="shared" si="48"/>
        <v>0</v>
      </c>
      <c r="W168" s="1306"/>
      <c r="X168" s="1309">
        <f t="shared" si="49"/>
        <v>0</v>
      </c>
      <c r="Y168" s="1309">
        <f t="shared" si="50"/>
        <v>0</v>
      </c>
      <c r="Z168" s="1306"/>
    </row>
    <row r="169" spans="1:26">
      <c r="A169" s="74"/>
      <c r="B169" s="24"/>
      <c r="C169" s="14">
        <f t="shared" si="39"/>
        <v>1</v>
      </c>
      <c r="D169" s="706"/>
      <c r="E169" s="14">
        <f t="shared" si="40"/>
        <v>1</v>
      </c>
      <c r="F169" s="706"/>
      <c r="G169" s="14">
        <f t="shared" si="41"/>
        <v>1</v>
      </c>
      <c r="H169" s="706"/>
      <c r="I169" s="14">
        <f t="shared" si="42"/>
        <v>1</v>
      </c>
      <c r="J169" s="706"/>
      <c r="K169" s="14">
        <f t="shared" si="43"/>
        <v>1</v>
      </c>
      <c r="L169" s="706"/>
      <c r="M169" s="14">
        <f t="shared" si="44"/>
        <v>1</v>
      </c>
      <c r="N169" s="706"/>
      <c r="O169" s="14">
        <f t="shared" si="45"/>
        <v>1</v>
      </c>
      <c r="P169" s="706"/>
      <c r="Q169" s="14">
        <f t="shared" si="46"/>
        <v>1</v>
      </c>
      <c r="R169" s="702">
        <f t="shared" si="51"/>
        <v>0</v>
      </c>
      <c r="S169" s="333">
        <f t="shared" si="52"/>
        <v>0</v>
      </c>
      <c r="T169" s="1177">
        <f t="shared" si="53"/>
        <v>0</v>
      </c>
      <c r="U169" s="1309">
        <f t="shared" si="47"/>
        <v>0</v>
      </c>
      <c r="V169" s="1309">
        <f t="shared" si="48"/>
        <v>0</v>
      </c>
      <c r="W169" s="1306"/>
      <c r="X169" s="1309">
        <f t="shared" si="49"/>
        <v>0</v>
      </c>
      <c r="Y169" s="1309">
        <f t="shared" si="50"/>
        <v>0</v>
      </c>
      <c r="Z169" s="1306"/>
    </row>
    <row r="170" spans="1:26">
      <c r="A170" s="74"/>
      <c r="B170" s="24"/>
      <c r="C170" s="14">
        <f t="shared" si="39"/>
        <v>1</v>
      </c>
      <c r="D170" s="706"/>
      <c r="E170" s="14">
        <f t="shared" si="40"/>
        <v>1</v>
      </c>
      <c r="F170" s="706"/>
      <c r="G170" s="14">
        <f t="shared" si="41"/>
        <v>1</v>
      </c>
      <c r="H170" s="706"/>
      <c r="I170" s="14">
        <f t="shared" si="42"/>
        <v>1</v>
      </c>
      <c r="J170" s="706"/>
      <c r="K170" s="14">
        <f t="shared" si="43"/>
        <v>1</v>
      </c>
      <c r="L170" s="706"/>
      <c r="M170" s="14">
        <f t="shared" si="44"/>
        <v>1</v>
      </c>
      <c r="N170" s="706"/>
      <c r="O170" s="14">
        <f t="shared" si="45"/>
        <v>1</v>
      </c>
      <c r="P170" s="706"/>
      <c r="Q170" s="14">
        <f t="shared" si="46"/>
        <v>1</v>
      </c>
      <c r="R170" s="702">
        <f t="shared" si="51"/>
        <v>0</v>
      </c>
      <c r="S170" s="333">
        <f t="shared" si="52"/>
        <v>0</v>
      </c>
      <c r="T170" s="1177">
        <f t="shared" si="53"/>
        <v>0</v>
      </c>
      <c r="U170" s="1309">
        <f t="shared" si="47"/>
        <v>0</v>
      </c>
      <c r="V170" s="1309">
        <f t="shared" si="48"/>
        <v>0</v>
      </c>
      <c r="W170" s="1306"/>
      <c r="X170" s="1309">
        <f t="shared" si="49"/>
        <v>0</v>
      </c>
      <c r="Y170" s="1309">
        <f t="shared" si="50"/>
        <v>0</v>
      </c>
      <c r="Z170" s="1306"/>
    </row>
    <row r="171" spans="1:26">
      <c r="A171" s="74"/>
      <c r="B171" s="24"/>
      <c r="C171" s="14">
        <f t="shared" si="39"/>
        <v>1</v>
      </c>
      <c r="D171" s="706"/>
      <c r="E171" s="14">
        <f t="shared" si="40"/>
        <v>1</v>
      </c>
      <c r="F171" s="706"/>
      <c r="G171" s="14">
        <f t="shared" si="41"/>
        <v>1</v>
      </c>
      <c r="H171" s="706"/>
      <c r="I171" s="14">
        <f t="shared" si="42"/>
        <v>1</v>
      </c>
      <c r="J171" s="706"/>
      <c r="K171" s="14">
        <f t="shared" si="43"/>
        <v>1</v>
      </c>
      <c r="L171" s="706"/>
      <c r="M171" s="14">
        <f t="shared" si="44"/>
        <v>1</v>
      </c>
      <c r="N171" s="706"/>
      <c r="O171" s="14">
        <f t="shared" si="45"/>
        <v>1</v>
      </c>
      <c r="P171" s="706"/>
      <c r="Q171" s="14">
        <f t="shared" si="46"/>
        <v>1</v>
      </c>
      <c r="R171" s="702">
        <f t="shared" si="51"/>
        <v>0</v>
      </c>
      <c r="S171" s="333">
        <f t="shared" si="52"/>
        <v>0</v>
      </c>
      <c r="T171" s="1177">
        <f t="shared" si="53"/>
        <v>0</v>
      </c>
      <c r="U171" s="1309">
        <f t="shared" si="47"/>
        <v>0</v>
      </c>
      <c r="V171" s="1309">
        <f t="shared" si="48"/>
        <v>0</v>
      </c>
      <c r="W171" s="1306"/>
      <c r="X171" s="1309">
        <f t="shared" si="49"/>
        <v>0</v>
      </c>
      <c r="Y171" s="1309">
        <f t="shared" si="50"/>
        <v>0</v>
      </c>
      <c r="Z171" s="1306"/>
    </row>
    <row r="172" spans="1:26">
      <c r="A172" s="74"/>
      <c r="B172" s="24"/>
      <c r="C172" s="14">
        <f t="shared" si="39"/>
        <v>1</v>
      </c>
      <c r="D172" s="706"/>
      <c r="E172" s="14">
        <f t="shared" si="40"/>
        <v>1</v>
      </c>
      <c r="F172" s="706"/>
      <c r="G172" s="14">
        <f t="shared" si="41"/>
        <v>1</v>
      </c>
      <c r="H172" s="706"/>
      <c r="I172" s="14">
        <f t="shared" si="42"/>
        <v>1</v>
      </c>
      <c r="J172" s="706"/>
      <c r="K172" s="14">
        <f t="shared" si="43"/>
        <v>1</v>
      </c>
      <c r="L172" s="706"/>
      <c r="M172" s="14">
        <f t="shared" si="44"/>
        <v>1</v>
      </c>
      <c r="N172" s="706"/>
      <c r="O172" s="14">
        <f t="shared" si="45"/>
        <v>1</v>
      </c>
      <c r="P172" s="706"/>
      <c r="Q172" s="14">
        <f t="shared" si="46"/>
        <v>1</v>
      </c>
      <c r="R172" s="702">
        <f t="shared" si="51"/>
        <v>0</v>
      </c>
      <c r="S172" s="333">
        <f t="shared" si="52"/>
        <v>0</v>
      </c>
      <c r="T172" s="1177">
        <f t="shared" si="53"/>
        <v>0</v>
      </c>
      <c r="U172" s="1309">
        <f t="shared" si="47"/>
        <v>0</v>
      </c>
      <c r="V172" s="1309">
        <f t="shared" si="48"/>
        <v>0</v>
      </c>
      <c r="W172" s="1306"/>
      <c r="X172" s="1309">
        <f t="shared" si="49"/>
        <v>0</v>
      </c>
      <c r="Y172" s="1309">
        <f t="shared" si="50"/>
        <v>0</v>
      </c>
      <c r="Z172" s="1306"/>
    </row>
    <row r="173" spans="1:26">
      <c r="A173" s="74"/>
      <c r="B173" s="24"/>
      <c r="C173" s="14">
        <f t="shared" si="39"/>
        <v>1</v>
      </c>
      <c r="D173" s="706"/>
      <c r="E173" s="14">
        <f t="shared" si="40"/>
        <v>1</v>
      </c>
      <c r="F173" s="706"/>
      <c r="G173" s="14">
        <f t="shared" si="41"/>
        <v>1</v>
      </c>
      <c r="H173" s="706"/>
      <c r="I173" s="14">
        <f t="shared" si="42"/>
        <v>1</v>
      </c>
      <c r="J173" s="706"/>
      <c r="K173" s="14">
        <f t="shared" si="43"/>
        <v>1</v>
      </c>
      <c r="L173" s="706"/>
      <c r="M173" s="14">
        <f t="shared" si="44"/>
        <v>1</v>
      </c>
      <c r="N173" s="706"/>
      <c r="O173" s="14">
        <f t="shared" si="45"/>
        <v>1</v>
      </c>
      <c r="P173" s="706"/>
      <c r="Q173" s="14">
        <f t="shared" si="46"/>
        <v>1</v>
      </c>
      <c r="R173" s="702">
        <f t="shared" si="51"/>
        <v>0</v>
      </c>
      <c r="S173" s="333">
        <f t="shared" si="52"/>
        <v>0</v>
      </c>
      <c r="T173" s="1177">
        <f t="shared" si="53"/>
        <v>0</v>
      </c>
      <c r="U173" s="1309">
        <f t="shared" si="47"/>
        <v>0</v>
      </c>
      <c r="V173" s="1309">
        <f t="shared" si="48"/>
        <v>0</v>
      </c>
      <c r="W173" s="1306"/>
      <c r="X173" s="1309">
        <f t="shared" si="49"/>
        <v>0</v>
      </c>
      <c r="Y173" s="1309">
        <f t="shared" si="50"/>
        <v>0</v>
      </c>
      <c r="Z173" s="1306"/>
    </row>
    <row r="174" spans="1:26">
      <c r="A174" s="74"/>
      <c r="B174" s="24"/>
      <c r="C174" s="14">
        <f t="shared" si="39"/>
        <v>1</v>
      </c>
      <c r="D174" s="706"/>
      <c r="E174" s="14">
        <f t="shared" si="40"/>
        <v>1</v>
      </c>
      <c r="F174" s="706"/>
      <c r="G174" s="14">
        <f t="shared" si="41"/>
        <v>1</v>
      </c>
      <c r="H174" s="706"/>
      <c r="I174" s="14">
        <f t="shared" si="42"/>
        <v>1</v>
      </c>
      <c r="J174" s="706"/>
      <c r="K174" s="14">
        <f t="shared" si="43"/>
        <v>1</v>
      </c>
      <c r="L174" s="706"/>
      <c r="M174" s="14">
        <f t="shared" si="44"/>
        <v>1</v>
      </c>
      <c r="N174" s="706"/>
      <c r="O174" s="14">
        <f t="shared" si="45"/>
        <v>1</v>
      </c>
      <c r="P174" s="706"/>
      <c r="Q174" s="14">
        <f t="shared" si="46"/>
        <v>1</v>
      </c>
      <c r="R174" s="702">
        <f t="shared" si="51"/>
        <v>0</v>
      </c>
      <c r="S174" s="333">
        <f t="shared" si="52"/>
        <v>0</v>
      </c>
      <c r="T174" s="1177">
        <f t="shared" si="53"/>
        <v>0</v>
      </c>
      <c r="U174" s="1309">
        <f t="shared" si="47"/>
        <v>0</v>
      </c>
      <c r="V174" s="1309">
        <f t="shared" si="48"/>
        <v>0</v>
      </c>
      <c r="W174" s="1306"/>
      <c r="X174" s="1309">
        <f t="shared" si="49"/>
        <v>0</v>
      </c>
      <c r="Y174" s="1309">
        <f t="shared" si="50"/>
        <v>0</v>
      </c>
      <c r="Z174" s="1306"/>
    </row>
    <row r="175" spans="1:26">
      <c r="A175" s="74"/>
      <c r="B175" s="24"/>
      <c r="C175" s="14">
        <f t="shared" si="39"/>
        <v>1</v>
      </c>
      <c r="D175" s="706"/>
      <c r="E175" s="14">
        <f t="shared" si="40"/>
        <v>1</v>
      </c>
      <c r="F175" s="706"/>
      <c r="G175" s="14">
        <f t="shared" si="41"/>
        <v>1</v>
      </c>
      <c r="H175" s="706"/>
      <c r="I175" s="14">
        <f t="shared" si="42"/>
        <v>1</v>
      </c>
      <c r="J175" s="706"/>
      <c r="K175" s="14">
        <f t="shared" si="43"/>
        <v>1</v>
      </c>
      <c r="L175" s="706"/>
      <c r="M175" s="14">
        <f t="shared" si="44"/>
        <v>1</v>
      </c>
      <c r="N175" s="706"/>
      <c r="O175" s="14">
        <f t="shared" si="45"/>
        <v>1</v>
      </c>
      <c r="P175" s="706"/>
      <c r="Q175" s="14">
        <f t="shared" si="46"/>
        <v>1</v>
      </c>
      <c r="R175" s="702">
        <f t="shared" si="51"/>
        <v>0</v>
      </c>
      <c r="S175" s="333">
        <f t="shared" si="52"/>
        <v>0</v>
      </c>
      <c r="T175" s="1177">
        <f t="shared" si="53"/>
        <v>0</v>
      </c>
      <c r="U175" s="1309">
        <f t="shared" si="47"/>
        <v>0</v>
      </c>
      <c r="V175" s="1309">
        <f t="shared" si="48"/>
        <v>0</v>
      </c>
      <c r="W175" s="1306"/>
      <c r="X175" s="1309">
        <f t="shared" si="49"/>
        <v>0</v>
      </c>
      <c r="Y175" s="1309">
        <f t="shared" si="50"/>
        <v>0</v>
      </c>
      <c r="Z175" s="1306"/>
    </row>
    <row r="176" spans="1:26">
      <c r="A176" s="74"/>
      <c r="B176" s="24"/>
      <c r="C176" s="14">
        <f t="shared" si="39"/>
        <v>1</v>
      </c>
      <c r="D176" s="706"/>
      <c r="E176" s="14">
        <f t="shared" si="40"/>
        <v>1</v>
      </c>
      <c r="F176" s="706"/>
      <c r="G176" s="14">
        <f t="shared" si="41"/>
        <v>1</v>
      </c>
      <c r="H176" s="706"/>
      <c r="I176" s="14">
        <f t="shared" si="42"/>
        <v>1</v>
      </c>
      <c r="J176" s="706"/>
      <c r="K176" s="14">
        <f t="shared" si="43"/>
        <v>1</v>
      </c>
      <c r="L176" s="706"/>
      <c r="M176" s="14">
        <f t="shared" si="44"/>
        <v>1</v>
      </c>
      <c r="N176" s="706"/>
      <c r="O176" s="14">
        <f t="shared" si="45"/>
        <v>1</v>
      </c>
      <c r="P176" s="706"/>
      <c r="Q176" s="14">
        <f t="shared" si="46"/>
        <v>1</v>
      </c>
      <c r="R176" s="702">
        <f t="shared" si="51"/>
        <v>0</v>
      </c>
      <c r="S176" s="333">
        <f t="shared" si="52"/>
        <v>0</v>
      </c>
      <c r="T176" s="1177">
        <f t="shared" si="53"/>
        <v>0</v>
      </c>
      <c r="U176" s="1309">
        <f t="shared" si="47"/>
        <v>0</v>
      </c>
      <c r="V176" s="1309">
        <f t="shared" si="48"/>
        <v>0</v>
      </c>
      <c r="W176" s="1306"/>
      <c r="X176" s="1309">
        <f t="shared" si="49"/>
        <v>0</v>
      </c>
      <c r="Y176" s="1309">
        <f t="shared" si="50"/>
        <v>0</v>
      </c>
      <c r="Z176" s="1306"/>
    </row>
    <row r="177" spans="1:26">
      <c r="A177" s="74"/>
      <c r="B177" s="24"/>
      <c r="C177" s="14">
        <f t="shared" si="39"/>
        <v>1</v>
      </c>
      <c r="D177" s="706"/>
      <c r="E177" s="14">
        <f t="shared" si="40"/>
        <v>1</v>
      </c>
      <c r="F177" s="706"/>
      <c r="G177" s="14">
        <f t="shared" si="41"/>
        <v>1</v>
      </c>
      <c r="H177" s="706"/>
      <c r="I177" s="14">
        <f t="shared" si="42"/>
        <v>1</v>
      </c>
      <c r="J177" s="706"/>
      <c r="K177" s="14">
        <f t="shared" si="43"/>
        <v>1</v>
      </c>
      <c r="L177" s="706"/>
      <c r="M177" s="14">
        <f t="shared" si="44"/>
        <v>1</v>
      </c>
      <c r="N177" s="706"/>
      <c r="O177" s="14">
        <f t="shared" si="45"/>
        <v>1</v>
      </c>
      <c r="P177" s="706"/>
      <c r="Q177" s="14">
        <f t="shared" si="46"/>
        <v>1</v>
      </c>
      <c r="R177" s="702">
        <f t="shared" si="51"/>
        <v>0</v>
      </c>
      <c r="S177" s="333">
        <f t="shared" si="52"/>
        <v>0</v>
      </c>
      <c r="T177" s="1177">
        <f t="shared" si="53"/>
        <v>0</v>
      </c>
      <c r="U177" s="1309">
        <f t="shared" si="47"/>
        <v>0</v>
      </c>
      <c r="V177" s="1309">
        <f t="shared" si="48"/>
        <v>0</v>
      </c>
      <c r="W177" s="1306"/>
      <c r="X177" s="1309">
        <f t="shared" si="49"/>
        <v>0</v>
      </c>
      <c r="Y177" s="1309">
        <f t="shared" si="50"/>
        <v>0</v>
      </c>
      <c r="Z177" s="1306"/>
    </row>
    <row r="178" spans="1:26">
      <c r="A178" s="74"/>
      <c r="B178" s="24"/>
      <c r="C178" s="14">
        <f t="shared" si="39"/>
        <v>1</v>
      </c>
      <c r="D178" s="706"/>
      <c r="E178" s="14">
        <f t="shared" si="40"/>
        <v>1</v>
      </c>
      <c r="F178" s="706"/>
      <c r="G178" s="14">
        <f t="shared" si="41"/>
        <v>1</v>
      </c>
      <c r="H178" s="706"/>
      <c r="I178" s="14">
        <f t="shared" si="42"/>
        <v>1</v>
      </c>
      <c r="J178" s="706"/>
      <c r="K178" s="14">
        <f t="shared" si="43"/>
        <v>1</v>
      </c>
      <c r="L178" s="706"/>
      <c r="M178" s="14">
        <f t="shared" si="44"/>
        <v>1</v>
      </c>
      <c r="N178" s="706"/>
      <c r="O178" s="14">
        <f t="shared" si="45"/>
        <v>1</v>
      </c>
      <c r="P178" s="706"/>
      <c r="Q178" s="14">
        <f t="shared" si="46"/>
        <v>1</v>
      </c>
      <c r="R178" s="702">
        <f t="shared" si="51"/>
        <v>0</v>
      </c>
      <c r="S178" s="333">
        <f t="shared" si="52"/>
        <v>0</v>
      </c>
      <c r="T178" s="1177">
        <f t="shared" si="53"/>
        <v>0</v>
      </c>
      <c r="U178" s="1309">
        <f t="shared" si="47"/>
        <v>0</v>
      </c>
      <c r="V178" s="1309">
        <f t="shared" si="48"/>
        <v>0</v>
      </c>
      <c r="W178" s="1306"/>
      <c r="X178" s="1309">
        <f t="shared" si="49"/>
        <v>0</v>
      </c>
      <c r="Y178" s="1309">
        <f t="shared" si="50"/>
        <v>0</v>
      </c>
      <c r="Z178" s="1306"/>
    </row>
    <row r="179" spans="1:26">
      <c r="A179" s="74"/>
      <c r="B179" s="24"/>
      <c r="C179" s="14">
        <f t="shared" si="39"/>
        <v>1</v>
      </c>
      <c r="D179" s="706"/>
      <c r="E179" s="14">
        <f t="shared" si="40"/>
        <v>1</v>
      </c>
      <c r="F179" s="706"/>
      <c r="G179" s="14">
        <f t="shared" si="41"/>
        <v>1</v>
      </c>
      <c r="H179" s="706"/>
      <c r="I179" s="14">
        <f t="shared" si="42"/>
        <v>1</v>
      </c>
      <c r="J179" s="706"/>
      <c r="K179" s="14">
        <f t="shared" si="43"/>
        <v>1</v>
      </c>
      <c r="L179" s="706"/>
      <c r="M179" s="14">
        <f t="shared" si="44"/>
        <v>1</v>
      </c>
      <c r="N179" s="706"/>
      <c r="O179" s="14">
        <f t="shared" si="45"/>
        <v>1</v>
      </c>
      <c r="P179" s="706"/>
      <c r="Q179" s="14">
        <f t="shared" si="46"/>
        <v>1</v>
      </c>
      <c r="R179" s="702">
        <f t="shared" si="51"/>
        <v>0</v>
      </c>
      <c r="S179" s="333">
        <f t="shared" si="52"/>
        <v>0</v>
      </c>
      <c r="T179" s="1177">
        <f t="shared" si="53"/>
        <v>0</v>
      </c>
      <c r="U179" s="1309">
        <f t="shared" si="47"/>
        <v>0</v>
      </c>
      <c r="V179" s="1309">
        <f t="shared" si="48"/>
        <v>0</v>
      </c>
      <c r="W179" s="1306"/>
      <c r="X179" s="1309">
        <f t="shared" si="49"/>
        <v>0</v>
      </c>
      <c r="Y179" s="1309">
        <f t="shared" si="50"/>
        <v>0</v>
      </c>
      <c r="Z179" s="1306"/>
    </row>
    <row r="180" spans="1:26">
      <c r="A180" s="74"/>
      <c r="B180" s="24"/>
      <c r="C180" s="14">
        <f t="shared" si="39"/>
        <v>1</v>
      </c>
      <c r="D180" s="706"/>
      <c r="E180" s="14">
        <f t="shared" si="40"/>
        <v>1</v>
      </c>
      <c r="F180" s="706"/>
      <c r="G180" s="14">
        <f t="shared" si="41"/>
        <v>1</v>
      </c>
      <c r="H180" s="706"/>
      <c r="I180" s="14">
        <f t="shared" si="42"/>
        <v>1</v>
      </c>
      <c r="J180" s="706"/>
      <c r="K180" s="14">
        <f t="shared" si="43"/>
        <v>1</v>
      </c>
      <c r="L180" s="706"/>
      <c r="M180" s="14">
        <f t="shared" si="44"/>
        <v>1</v>
      </c>
      <c r="N180" s="706"/>
      <c r="O180" s="14">
        <f t="shared" si="45"/>
        <v>1</v>
      </c>
      <c r="P180" s="706"/>
      <c r="Q180" s="14">
        <f t="shared" si="46"/>
        <v>1</v>
      </c>
      <c r="R180" s="702">
        <f t="shared" si="51"/>
        <v>0</v>
      </c>
      <c r="S180" s="333">
        <f t="shared" si="52"/>
        <v>0</v>
      </c>
      <c r="T180" s="1177">
        <f t="shared" si="53"/>
        <v>0</v>
      </c>
      <c r="U180" s="1309">
        <f t="shared" si="47"/>
        <v>0</v>
      </c>
      <c r="V180" s="1309">
        <f t="shared" si="48"/>
        <v>0</v>
      </c>
      <c r="W180" s="1306"/>
      <c r="X180" s="1309">
        <f t="shared" si="49"/>
        <v>0</v>
      </c>
      <c r="Y180" s="1309">
        <f t="shared" si="50"/>
        <v>0</v>
      </c>
      <c r="Z180" s="1306"/>
    </row>
    <row r="181" spans="1:26">
      <c r="A181" s="74"/>
      <c r="B181" s="24"/>
      <c r="C181" s="14">
        <f t="shared" si="39"/>
        <v>1</v>
      </c>
      <c r="D181" s="706"/>
      <c r="E181" s="14">
        <f t="shared" si="40"/>
        <v>1</v>
      </c>
      <c r="F181" s="706"/>
      <c r="G181" s="14">
        <f t="shared" si="41"/>
        <v>1</v>
      </c>
      <c r="H181" s="706"/>
      <c r="I181" s="14">
        <f t="shared" si="42"/>
        <v>1</v>
      </c>
      <c r="J181" s="706"/>
      <c r="K181" s="14">
        <f t="shared" si="43"/>
        <v>1</v>
      </c>
      <c r="L181" s="706"/>
      <c r="M181" s="14">
        <f t="shared" si="44"/>
        <v>1</v>
      </c>
      <c r="N181" s="706"/>
      <c r="O181" s="14">
        <f t="shared" si="45"/>
        <v>1</v>
      </c>
      <c r="P181" s="706"/>
      <c r="Q181" s="14">
        <f t="shared" si="46"/>
        <v>1</v>
      </c>
      <c r="R181" s="702">
        <f t="shared" si="51"/>
        <v>0</v>
      </c>
      <c r="S181" s="333">
        <f t="shared" si="52"/>
        <v>0</v>
      </c>
      <c r="T181" s="1177">
        <f t="shared" si="53"/>
        <v>0</v>
      </c>
      <c r="U181" s="1309">
        <f t="shared" si="47"/>
        <v>0</v>
      </c>
      <c r="V181" s="1309">
        <f t="shared" si="48"/>
        <v>0</v>
      </c>
      <c r="W181" s="1306"/>
      <c r="X181" s="1309">
        <f t="shared" si="49"/>
        <v>0</v>
      </c>
      <c r="Y181" s="1309">
        <f t="shared" si="50"/>
        <v>0</v>
      </c>
      <c r="Z181" s="1306"/>
    </row>
    <row r="182" spans="1:26">
      <c r="A182" s="74"/>
      <c r="B182" s="24"/>
      <c r="C182" s="14">
        <f t="shared" si="39"/>
        <v>1</v>
      </c>
      <c r="D182" s="706"/>
      <c r="E182" s="14">
        <f t="shared" si="40"/>
        <v>1</v>
      </c>
      <c r="F182" s="706"/>
      <c r="G182" s="14">
        <f t="shared" si="41"/>
        <v>1</v>
      </c>
      <c r="H182" s="706"/>
      <c r="I182" s="14">
        <f t="shared" si="42"/>
        <v>1</v>
      </c>
      <c r="J182" s="706"/>
      <c r="K182" s="14">
        <f t="shared" si="43"/>
        <v>1</v>
      </c>
      <c r="L182" s="706"/>
      <c r="M182" s="14">
        <f t="shared" si="44"/>
        <v>1</v>
      </c>
      <c r="N182" s="706"/>
      <c r="O182" s="14">
        <f t="shared" si="45"/>
        <v>1</v>
      </c>
      <c r="P182" s="706"/>
      <c r="Q182" s="14">
        <f t="shared" si="46"/>
        <v>1</v>
      </c>
      <c r="R182" s="702">
        <f t="shared" si="51"/>
        <v>0</v>
      </c>
      <c r="S182" s="333">
        <f t="shared" si="52"/>
        <v>0</v>
      </c>
      <c r="T182" s="1177">
        <f t="shared" si="53"/>
        <v>0</v>
      </c>
      <c r="U182" s="1309">
        <f t="shared" si="47"/>
        <v>0</v>
      </c>
      <c r="V182" s="1309">
        <f t="shared" si="48"/>
        <v>0</v>
      </c>
      <c r="W182" s="1306"/>
      <c r="X182" s="1309">
        <f t="shared" si="49"/>
        <v>0</v>
      </c>
      <c r="Y182" s="1309">
        <f t="shared" si="50"/>
        <v>0</v>
      </c>
      <c r="Z182" s="1306"/>
    </row>
    <row r="183" spans="1:26">
      <c r="A183" s="74"/>
      <c r="B183" s="24"/>
      <c r="C183" s="14">
        <f t="shared" si="39"/>
        <v>1</v>
      </c>
      <c r="D183" s="706"/>
      <c r="E183" s="14">
        <f t="shared" si="40"/>
        <v>1</v>
      </c>
      <c r="F183" s="706"/>
      <c r="G183" s="14">
        <f t="shared" si="41"/>
        <v>1</v>
      </c>
      <c r="H183" s="706"/>
      <c r="I183" s="14">
        <f t="shared" si="42"/>
        <v>1</v>
      </c>
      <c r="J183" s="706"/>
      <c r="K183" s="14">
        <f t="shared" si="43"/>
        <v>1</v>
      </c>
      <c r="L183" s="706"/>
      <c r="M183" s="14">
        <f t="shared" si="44"/>
        <v>1</v>
      </c>
      <c r="N183" s="706"/>
      <c r="O183" s="14">
        <f t="shared" si="45"/>
        <v>1</v>
      </c>
      <c r="P183" s="706"/>
      <c r="Q183" s="14">
        <f t="shared" si="46"/>
        <v>1</v>
      </c>
      <c r="R183" s="702">
        <f t="shared" si="51"/>
        <v>0</v>
      </c>
      <c r="S183" s="333">
        <f t="shared" si="52"/>
        <v>0</v>
      </c>
      <c r="T183" s="1177">
        <f t="shared" si="53"/>
        <v>0</v>
      </c>
      <c r="U183" s="1309">
        <f t="shared" si="47"/>
        <v>0</v>
      </c>
      <c r="V183" s="1309">
        <f t="shared" si="48"/>
        <v>0</v>
      </c>
      <c r="W183" s="1306"/>
      <c r="X183" s="1309">
        <f t="shared" si="49"/>
        <v>0</v>
      </c>
      <c r="Y183" s="1309">
        <f t="shared" si="50"/>
        <v>0</v>
      </c>
      <c r="Z183" s="1306"/>
    </row>
    <row r="184" spans="1:26">
      <c r="A184" s="74"/>
      <c r="B184" s="24"/>
      <c r="C184" s="14">
        <f t="shared" si="39"/>
        <v>1</v>
      </c>
      <c r="D184" s="706"/>
      <c r="E184" s="14">
        <f t="shared" si="40"/>
        <v>1</v>
      </c>
      <c r="F184" s="706"/>
      <c r="G184" s="14">
        <f t="shared" si="41"/>
        <v>1</v>
      </c>
      <c r="H184" s="706"/>
      <c r="I184" s="14">
        <f t="shared" si="42"/>
        <v>1</v>
      </c>
      <c r="J184" s="706"/>
      <c r="K184" s="14">
        <f t="shared" si="43"/>
        <v>1</v>
      </c>
      <c r="L184" s="706"/>
      <c r="M184" s="14">
        <f t="shared" si="44"/>
        <v>1</v>
      </c>
      <c r="N184" s="706"/>
      <c r="O184" s="14">
        <f t="shared" si="45"/>
        <v>1</v>
      </c>
      <c r="P184" s="706"/>
      <c r="Q184" s="14">
        <f t="shared" si="46"/>
        <v>1</v>
      </c>
      <c r="R184" s="702">
        <f t="shared" si="51"/>
        <v>0</v>
      </c>
      <c r="S184" s="333">
        <f t="shared" si="52"/>
        <v>0</v>
      </c>
      <c r="T184" s="1177">
        <f t="shared" si="53"/>
        <v>0</v>
      </c>
      <c r="U184" s="1309">
        <f t="shared" si="47"/>
        <v>0</v>
      </c>
      <c r="V184" s="1309">
        <f t="shared" si="48"/>
        <v>0</v>
      </c>
      <c r="W184" s="1306"/>
      <c r="X184" s="1309">
        <f t="shared" si="49"/>
        <v>0</v>
      </c>
      <c r="Y184" s="1309">
        <f t="shared" si="50"/>
        <v>0</v>
      </c>
      <c r="Z184" s="1306"/>
    </row>
    <row r="185" spans="1:26">
      <c r="A185" s="74"/>
      <c r="B185" s="24"/>
      <c r="C185" s="14">
        <f t="shared" si="39"/>
        <v>1</v>
      </c>
      <c r="D185" s="706"/>
      <c r="E185" s="14">
        <f t="shared" si="40"/>
        <v>1</v>
      </c>
      <c r="F185" s="706"/>
      <c r="G185" s="14">
        <f t="shared" si="41"/>
        <v>1</v>
      </c>
      <c r="H185" s="706"/>
      <c r="I185" s="14">
        <f t="shared" si="42"/>
        <v>1</v>
      </c>
      <c r="J185" s="706"/>
      <c r="K185" s="14">
        <f t="shared" si="43"/>
        <v>1</v>
      </c>
      <c r="L185" s="706"/>
      <c r="M185" s="14">
        <f t="shared" si="44"/>
        <v>1</v>
      </c>
      <c r="N185" s="706"/>
      <c r="O185" s="14">
        <f t="shared" si="45"/>
        <v>1</v>
      </c>
      <c r="P185" s="706"/>
      <c r="Q185" s="14">
        <f t="shared" si="46"/>
        <v>1</v>
      </c>
      <c r="R185" s="702">
        <f t="shared" si="51"/>
        <v>0</v>
      </c>
      <c r="S185" s="333">
        <f t="shared" si="52"/>
        <v>0</v>
      </c>
      <c r="T185" s="1177">
        <f t="shared" si="53"/>
        <v>0</v>
      </c>
      <c r="U185" s="1309">
        <f t="shared" si="47"/>
        <v>0</v>
      </c>
      <c r="V185" s="1309">
        <f t="shared" si="48"/>
        <v>0</v>
      </c>
      <c r="W185" s="1306"/>
      <c r="X185" s="1309">
        <f t="shared" si="49"/>
        <v>0</v>
      </c>
      <c r="Y185" s="1309">
        <f t="shared" si="50"/>
        <v>0</v>
      </c>
      <c r="Z185" s="1306"/>
    </row>
    <row r="186" spans="1:26">
      <c r="A186" s="74"/>
      <c r="B186" s="24"/>
      <c r="C186" s="14">
        <f t="shared" si="39"/>
        <v>1</v>
      </c>
      <c r="D186" s="706"/>
      <c r="E186" s="14">
        <f t="shared" si="40"/>
        <v>1</v>
      </c>
      <c r="F186" s="706"/>
      <c r="G186" s="14">
        <f t="shared" si="41"/>
        <v>1</v>
      </c>
      <c r="H186" s="706"/>
      <c r="I186" s="14">
        <f t="shared" si="42"/>
        <v>1</v>
      </c>
      <c r="J186" s="706"/>
      <c r="K186" s="14">
        <f t="shared" si="43"/>
        <v>1</v>
      </c>
      <c r="L186" s="706"/>
      <c r="M186" s="14">
        <f t="shared" si="44"/>
        <v>1</v>
      </c>
      <c r="N186" s="706"/>
      <c r="O186" s="14">
        <f t="shared" si="45"/>
        <v>1</v>
      </c>
      <c r="P186" s="706"/>
      <c r="Q186" s="14">
        <f t="shared" si="46"/>
        <v>1</v>
      </c>
      <c r="R186" s="702">
        <f t="shared" si="51"/>
        <v>0</v>
      </c>
      <c r="S186" s="333">
        <f t="shared" si="52"/>
        <v>0</v>
      </c>
      <c r="T186" s="1177">
        <f t="shared" si="53"/>
        <v>0</v>
      </c>
      <c r="U186" s="1309">
        <f t="shared" si="47"/>
        <v>0</v>
      </c>
      <c r="V186" s="1309">
        <f t="shared" si="48"/>
        <v>0</v>
      </c>
      <c r="W186" s="1306"/>
      <c r="X186" s="1309">
        <f t="shared" si="49"/>
        <v>0</v>
      </c>
      <c r="Y186" s="1309">
        <f t="shared" si="50"/>
        <v>0</v>
      </c>
      <c r="Z186" s="1306"/>
    </row>
    <row r="187" spans="1:26">
      <c r="A187" s="74"/>
      <c r="B187" s="24"/>
      <c r="C187" s="14">
        <f t="shared" si="39"/>
        <v>1</v>
      </c>
      <c r="D187" s="706"/>
      <c r="E187" s="14">
        <f t="shared" si="40"/>
        <v>1</v>
      </c>
      <c r="F187" s="706"/>
      <c r="G187" s="14">
        <f t="shared" si="41"/>
        <v>1</v>
      </c>
      <c r="H187" s="706"/>
      <c r="I187" s="14">
        <f t="shared" si="42"/>
        <v>1</v>
      </c>
      <c r="J187" s="706"/>
      <c r="K187" s="14">
        <f t="shared" si="43"/>
        <v>1</v>
      </c>
      <c r="L187" s="706"/>
      <c r="M187" s="14">
        <f t="shared" si="44"/>
        <v>1</v>
      </c>
      <c r="N187" s="706"/>
      <c r="O187" s="14">
        <f t="shared" si="45"/>
        <v>1</v>
      </c>
      <c r="P187" s="706"/>
      <c r="Q187" s="14">
        <f t="shared" si="46"/>
        <v>1</v>
      </c>
      <c r="R187" s="702">
        <f t="shared" si="51"/>
        <v>0</v>
      </c>
      <c r="S187" s="333">
        <f t="shared" si="52"/>
        <v>0</v>
      </c>
      <c r="T187" s="1177">
        <f t="shared" si="53"/>
        <v>0</v>
      </c>
      <c r="U187" s="1309">
        <f t="shared" si="47"/>
        <v>0</v>
      </c>
      <c r="V187" s="1309">
        <f t="shared" si="48"/>
        <v>0</v>
      </c>
      <c r="W187" s="1306"/>
      <c r="X187" s="1309">
        <f t="shared" si="49"/>
        <v>0</v>
      </c>
      <c r="Y187" s="1309">
        <f t="shared" si="50"/>
        <v>0</v>
      </c>
      <c r="Z187" s="1306"/>
    </row>
    <row r="188" spans="1:26">
      <c r="A188" s="74"/>
      <c r="B188" s="24"/>
      <c r="C188" s="14">
        <f t="shared" si="39"/>
        <v>1</v>
      </c>
      <c r="D188" s="706"/>
      <c r="E188" s="14">
        <f t="shared" si="40"/>
        <v>1</v>
      </c>
      <c r="F188" s="706"/>
      <c r="G188" s="14">
        <f t="shared" si="41"/>
        <v>1</v>
      </c>
      <c r="H188" s="706"/>
      <c r="I188" s="14">
        <f t="shared" si="42"/>
        <v>1</v>
      </c>
      <c r="J188" s="706"/>
      <c r="K188" s="14">
        <f t="shared" si="43"/>
        <v>1</v>
      </c>
      <c r="L188" s="706"/>
      <c r="M188" s="14">
        <f t="shared" si="44"/>
        <v>1</v>
      </c>
      <c r="N188" s="706"/>
      <c r="O188" s="14">
        <f t="shared" si="45"/>
        <v>1</v>
      </c>
      <c r="P188" s="706"/>
      <c r="Q188" s="14">
        <f t="shared" si="46"/>
        <v>1</v>
      </c>
      <c r="R188" s="702">
        <f t="shared" si="51"/>
        <v>0</v>
      </c>
      <c r="S188" s="333">
        <f t="shared" si="52"/>
        <v>0</v>
      </c>
      <c r="T188" s="1177">
        <f t="shared" si="53"/>
        <v>0</v>
      </c>
      <c r="U188" s="1309">
        <f t="shared" si="47"/>
        <v>0</v>
      </c>
      <c r="V188" s="1309">
        <f t="shared" si="48"/>
        <v>0</v>
      </c>
      <c r="W188" s="1306"/>
      <c r="X188" s="1309">
        <f t="shared" si="49"/>
        <v>0</v>
      </c>
      <c r="Y188" s="1309">
        <f t="shared" si="50"/>
        <v>0</v>
      </c>
      <c r="Z188" s="1306"/>
    </row>
    <row r="189" spans="1:26">
      <c r="A189" s="74"/>
      <c r="B189" s="24"/>
      <c r="C189" s="14">
        <f t="shared" si="39"/>
        <v>1</v>
      </c>
      <c r="D189" s="706"/>
      <c r="E189" s="14">
        <f t="shared" si="40"/>
        <v>1</v>
      </c>
      <c r="F189" s="706"/>
      <c r="G189" s="14">
        <f t="shared" si="41"/>
        <v>1</v>
      </c>
      <c r="H189" s="706"/>
      <c r="I189" s="14">
        <f t="shared" si="42"/>
        <v>1</v>
      </c>
      <c r="J189" s="706"/>
      <c r="K189" s="14">
        <f t="shared" si="43"/>
        <v>1</v>
      </c>
      <c r="L189" s="706"/>
      <c r="M189" s="14">
        <f t="shared" si="44"/>
        <v>1</v>
      </c>
      <c r="N189" s="706"/>
      <c r="O189" s="14">
        <f t="shared" si="45"/>
        <v>1</v>
      </c>
      <c r="P189" s="706"/>
      <c r="Q189" s="14">
        <f t="shared" si="46"/>
        <v>1</v>
      </c>
      <c r="R189" s="702">
        <f t="shared" si="51"/>
        <v>0</v>
      </c>
      <c r="S189" s="333">
        <f t="shared" si="52"/>
        <v>0</v>
      </c>
      <c r="T189" s="1177">
        <f t="shared" si="53"/>
        <v>0</v>
      </c>
      <c r="U189" s="1309">
        <f t="shared" si="47"/>
        <v>0</v>
      </c>
      <c r="V189" s="1309">
        <f t="shared" si="48"/>
        <v>0</v>
      </c>
      <c r="W189" s="1306"/>
      <c r="X189" s="1309">
        <f t="shared" si="49"/>
        <v>0</v>
      </c>
      <c r="Y189" s="1309">
        <f t="shared" si="50"/>
        <v>0</v>
      </c>
      <c r="Z189" s="1306"/>
    </row>
    <row r="190" spans="1:26">
      <c r="A190" s="74"/>
      <c r="B190" s="24"/>
      <c r="C190" s="14">
        <f t="shared" si="39"/>
        <v>1</v>
      </c>
      <c r="D190" s="706"/>
      <c r="E190" s="14">
        <f t="shared" si="40"/>
        <v>1</v>
      </c>
      <c r="F190" s="706"/>
      <c r="G190" s="14">
        <f t="shared" si="41"/>
        <v>1</v>
      </c>
      <c r="H190" s="706"/>
      <c r="I190" s="14">
        <f t="shared" si="42"/>
        <v>1</v>
      </c>
      <c r="J190" s="706"/>
      <c r="K190" s="14">
        <f t="shared" si="43"/>
        <v>1</v>
      </c>
      <c r="L190" s="706"/>
      <c r="M190" s="14">
        <f t="shared" si="44"/>
        <v>1</v>
      </c>
      <c r="N190" s="706"/>
      <c r="O190" s="14">
        <f t="shared" si="45"/>
        <v>1</v>
      </c>
      <c r="P190" s="706"/>
      <c r="Q190" s="14">
        <f t="shared" si="46"/>
        <v>1</v>
      </c>
      <c r="R190" s="702">
        <f t="shared" si="51"/>
        <v>0</v>
      </c>
      <c r="S190" s="333">
        <f t="shared" si="52"/>
        <v>0</v>
      </c>
      <c r="T190" s="1177">
        <f t="shared" si="53"/>
        <v>0</v>
      </c>
      <c r="U190" s="1309">
        <f t="shared" si="47"/>
        <v>0</v>
      </c>
      <c r="V190" s="1309">
        <f t="shared" si="48"/>
        <v>0</v>
      </c>
      <c r="W190" s="1306"/>
      <c r="X190" s="1309">
        <f t="shared" si="49"/>
        <v>0</v>
      </c>
      <c r="Y190" s="1309">
        <f t="shared" si="50"/>
        <v>0</v>
      </c>
      <c r="Z190" s="1306"/>
    </row>
    <row r="191" spans="1:26">
      <c r="A191" s="74"/>
      <c r="B191" s="24"/>
      <c r="C191" s="14">
        <f t="shared" si="39"/>
        <v>1</v>
      </c>
      <c r="D191" s="706"/>
      <c r="E191" s="14">
        <f t="shared" si="40"/>
        <v>1</v>
      </c>
      <c r="F191" s="706"/>
      <c r="G191" s="14">
        <f t="shared" si="41"/>
        <v>1</v>
      </c>
      <c r="H191" s="706"/>
      <c r="I191" s="14">
        <f t="shared" si="42"/>
        <v>1</v>
      </c>
      <c r="J191" s="706"/>
      <c r="K191" s="14">
        <f t="shared" si="43"/>
        <v>1</v>
      </c>
      <c r="L191" s="706"/>
      <c r="M191" s="14">
        <f t="shared" si="44"/>
        <v>1</v>
      </c>
      <c r="N191" s="706"/>
      <c r="O191" s="14">
        <f t="shared" si="45"/>
        <v>1</v>
      </c>
      <c r="P191" s="706"/>
      <c r="Q191" s="14">
        <f t="shared" si="46"/>
        <v>1</v>
      </c>
      <c r="R191" s="702">
        <f t="shared" si="51"/>
        <v>0</v>
      </c>
      <c r="S191" s="333">
        <f t="shared" si="52"/>
        <v>0</v>
      </c>
      <c r="T191" s="1177">
        <f t="shared" si="53"/>
        <v>0</v>
      </c>
      <c r="U191" s="1309">
        <f t="shared" si="47"/>
        <v>0</v>
      </c>
      <c r="V191" s="1309">
        <f t="shared" si="48"/>
        <v>0</v>
      </c>
      <c r="W191" s="1306"/>
      <c r="X191" s="1309">
        <f t="shared" si="49"/>
        <v>0</v>
      </c>
      <c r="Y191" s="1309">
        <f t="shared" si="50"/>
        <v>0</v>
      </c>
      <c r="Z191" s="1306"/>
    </row>
    <row r="192" spans="1:26">
      <c r="A192" s="74"/>
      <c r="B192" s="24"/>
      <c r="C192" s="14">
        <f t="shared" si="39"/>
        <v>1</v>
      </c>
      <c r="D192" s="706"/>
      <c r="E192" s="14">
        <f t="shared" si="40"/>
        <v>1</v>
      </c>
      <c r="F192" s="706"/>
      <c r="G192" s="14">
        <f t="shared" si="41"/>
        <v>1</v>
      </c>
      <c r="H192" s="706"/>
      <c r="I192" s="14">
        <f t="shared" si="42"/>
        <v>1</v>
      </c>
      <c r="J192" s="706"/>
      <c r="K192" s="14">
        <f t="shared" si="43"/>
        <v>1</v>
      </c>
      <c r="L192" s="706"/>
      <c r="M192" s="14">
        <f t="shared" si="44"/>
        <v>1</v>
      </c>
      <c r="N192" s="706"/>
      <c r="O192" s="14">
        <f t="shared" si="45"/>
        <v>1</v>
      </c>
      <c r="P192" s="706"/>
      <c r="Q192" s="14">
        <f t="shared" si="46"/>
        <v>1</v>
      </c>
      <c r="R192" s="702">
        <f t="shared" si="51"/>
        <v>0</v>
      </c>
      <c r="S192" s="333">
        <f t="shared" si="52"/>
        <v>0</v>
      </c>
      <c r="T192" s="1177">
        <f t="shared" si="53"/>
        <v>0</v>
      </c>
      <c r="U192" s="1309">
        <f t="shared" si="47"/>
        <v>0</v>
      </c>
      <c r="V192" s="1309">
        <f t="shared" si="48"/>
        <v>0</v>
      </c>
      <c r="W192" s="1306"/>
      <c r="X192" s="1309">
        <f t="shared" si="49"/>
        <v>0</v>
      </c>
      <c r="Y192" s="1309">
        <f t="shared" si="50"/>
        <v>0</v>
      </c>
      <c r="Z192" s="1306"/>
    </row>
    <row r="193" spans="1:26">
      <c r="A193" s="74"/>
      <c r="B193" s="24"/>
      <c r="C193" s="14">
        <f t="shared" si="39"/>
        <v>1</v>
      </c>
      <c r="D193" s="706"/>
      <c r="E193" s="14">
        <f t="shared" si="40"/>
        <v>1</v>
      </c>
      <c r="F193" s="706"/>
      <c r="G193" s="14">
        <f t="shared" si="41"/>
        <v>1</v>
      </c>
      <c r="H193" s="706"/>
      <c r="I193" s="14">
        <f t="shared" si="42"/>
        <v>1</v>
      </c>
      <c r="J193" s="706"/>
      <c r="K193" s="14">
        <f t="shared" si="43"/>
        <v>1</v>
      </c>
      <c r="L193" s="706"/>
      <c r="M193" s="14">
        <f t="shared" si="44"/>
        <v>1</v>
      </c>
      <c r="N193" s="706"/>
      <c r="O193" s="14">
        <f t="shared" si="45"/>
        <v>1</v>
      </c>
      <c r="P193" s="706"/>
      <c r="Q193" s="14">
        <f t="shared" si="46"/>
        <v>1</v>
      </c>
      <c r="R193" s="702">
        <f t="shared" si="51"/>
        <v>0</v>
      </c>
      <c r="S193" s="333">
        <f t="shared" si="52"/>
        <v>0</v>
      </c>
      <c r="T193" s="1177">
        <f t="shared" si="53"/>
        <v>0</v>
      </c>
      <c r="U193" s="1309">
        <f t="shared" si="47"/>
        <v>0</v>
      </c>
      <c r="V193" s="1309">
        <f t="shared" si="48"/>
        <v>0</v>
      </c>
      <c r="W193" s="1306"/>
      <c r="X193" s="1309">
        <f t="shared" si="49"/>
        <v>0</v>
      </c>
      <c r="Y193" s="1309">
        <f t="shared" si="50"/>
        <v>0</v>
      </c>
      <c r="Z193" s="1306"/>
    </row>
    <row r="194" spans="1:26">
      <c r="A194" s="74"/>
      <c r="B194" s="24"/>
      <c r="C194" s="14">
        <f t="shared" si="39"/>
        <v>1</v>
      </c>
      <c r="D194" s="706"/>
      <c r="E194" s="14">
        <f t="shared" si="40"/>
        <v>1</v>
      </c>
      <c r="F194" s="706"/>
      <c r="G194" s="14">
        <f t="shared" si="41"/>
        <v>1</v>
      </c>
      <c r="H194" s="706"/>
      <c r="I194" s="14">
        <f t="shared" si="42"/>
        <v>1</v>
      </c>
      <c r="J194" s="706"/>
      <c r="K194" s="14">
        <f t="shared" si="43"/>
        <v>1</v>
      </c>
      <c r="L194" s="706"/>
      <c r="M194" s="14">
        <f t="shared" si="44"/>
        <v>1</v>
      </c>
      <c r="N194" s="706"/>
      <c r="O194" s="14">
        <f t="shared" si="45"/>
        <v>1</v>
      </c>
      <c r="P194" s="706"/>
      <c r="Q194" s="14">
        <f t="shared" si="46"/>
        <v>1</v>
      </c>
      <c r="R194" s="702">
        <f t="shared" si="51"/>
        <v>0</v>
      </c>
      <c r="S194" s="333">
        <f t="shared" si="52"/>
        <v>0</v>
      </c>
      <c r="T194" s="1177">
        <f t="shared" si="53"/>
        <v>0</v>
      </c>
      <c r="U194" s="1309">
        <f t="shared" si="47"/>
        <v>0</v>
      </c>
      <c r="V194" s="1309">
        <f t="shared" si="48"/>
        <v>0</v>
      </c>
      <c r="W194" s="1306"/>
      <c r="X194" s="1309">
        <f t="shared" si="49"/>
        <v>0</v>
      </c>
      <c r="Y194" s="1309">
        <f t="shared" si="50"/>
        <v>0</v>
      </c>
      <c r="Z194" s="1306"/>
    </row>
    <row r="195" spans="1:26">
      <c r="A195" s="74"/>
      <c r="B195" s="24"/>
      <c r="C195" s="14">
        <f t="shared" si="39"/>
        <v>1</v>
      </c>
      <c r="D195" s="706"/>
      <c r="E195" s="14">
        <f t="shared" si="40"/>
        <v>1</v>
      </c>
      <c r="F195" s="706"/>
      <c r="G195" s="14">
        <f t="shared" si="41"/>
        <v>1</v>
      </c>
      <c r="H195" s="706"/>
      <c r="I195" s="14">
        <f t="shared" si="42"/>
        <v>1</v>
      </c>
      <c r="J195" s="706"/>
      <c r="K195" s="14">
        <f t="shared" si="43"/>
        <v>1</v>
      </c>
      <c r="L195" s="706"/>
      <c r="M195" s="14">
        <f t="shared" si="44"/>
        <v>1</v>
      </c>
      <c r="N195" s="706"/>
      <c r="O195" s="14">
        <f t="shared" si="45"/>
        <v>1</v>
      </c>
      <c r="P195" s="706"/>
      <c r="Q195" s="14">
        <f t="shared" si="46"/>
        <v>1</v>
      </c>
      <c r="R195" s="702">
        <f t="shared" si="51"/>
        <v>0</v>
      </c>
      <c r="S195" s="333">
        <f t="shared" si="52"/>
        <v>0</v>
      </c>
      <c r="T195" s="1177">
        <f t="shared" si="53"/>
        <v>0</v>
      </c>
      <c r="U195" s="1309">
        <f t="shared" si="47"/>
        <v>0</v>
      </c>
      <c r="V195" s="1309">
        <f t="shared" si="48"/>
        <v>0</v>
      </c>
      <c r="W195" s="1306"/>
      <c r="X195" s="1309">
        <f t="shared" si="49"/>
        <v>0</v>
      </c>
      <c r="Y195" s="1309">
        <f t="shared" si="50"/>
        <v>0</v>
      </c>
      <c r="Z195" s="1306"/>
    </row>
    <row r="196" spans="1:26">
      <c r="A196" s="74"/>
      <c r="B196" s="24"/>
      <c r="C196" s="14">
        <f t="shared" si="39"/>
        <v>1</v>
      </c>
      <c r="D196" s="706"/>
      <c r="E196" s="14">
        <f t="shared" si="40"/>
        <v>1</v>
      </c>
      <c r="F196" s="706"/>
      <c r="G196" s="14">
        <f t="shared" si="41"/>
        <v>1</v>
      </c>
      <c r="H196" s="706"/>
      <c r="I196" s="14">
        <f t="shared" si="42"/>
        <v>1</v>
      </c>
      <c r="J196" s="706"/>
      <c r="K196" s="14">
        <f t="shared" si="43"/>
        <v>1</v>
      </c>
      <c r="L196" s="706"/>
      <c r="M196" s="14">
        <f t="shared" si="44"/>
        <v>1</v>
      </c>
      <c r="N196" s="706"/>
      <c r="O196" s="14">
        <f t="shared" si="45"/>
        <v>1</v>
      </c>
      <c r="P196" s="706"/>
      <c r="Q196" s="14">
        <f t="shared" si="46"/>
        <v>1</v>
      </c>
      <c r="R196" s="702">
        <f t="shared" si="51"/>
        <v>0</v>
      </c>
      <c r="S196" s="333">
        <f t="shared" si="52"/>
        <v>0</v>
      </c>
      <c r="T196" s="1177">
        <f t="shared" si="53"/>
        <v>0</v>
      </c>
      <c r="U196" s="1309">
        <f t="shared" si="47"/>
        <v>0</v>
      </c>
      <c r="V196" s="1309">
        <f t="shared" si="48"/>
        <v>0</v>
      </c>
      <c r="W196" s="1306"/>
      <c r="X196" s="1309">
        <f t="shared" si="49"/>
        <v>0</v>
      </c>
      <c r="Y196" s="1309">
        <f t="shared" si="50"/>
        <v>0</v>
      </c>
      <c r="Z196" s="1306"/>
    </row>
    <row r="197" spans="1:26">
      <c r="A197" s="74"/>
      <c r="B197" s="24"/>
      <c r="C197" s="14">
        <f t="shared" si="39"/>
        <v>1</v>
      </c>
      <c r="D197" s="706"/>
      <c r="E197" s="14">
        <f t="shared" si="40"/>
        <v>1</v>
      </c>
      <c r="F197" s="706"/>
      <c r="G197" s="14">
        <f t="shared" si="41"/>
        <v>1</v>
      </c>
      <c r="H197" s="706"/>
      <c r="I197" s="14">
        <f t="shared" si="42"/>
        <v>1</v>
      </c>
      <c r="J197" s="706"/>
      <c r="K197" s="14">
        <f t="shared" si="43"/>
        <v>1</v>
      </c>
      <c r="L197" s="706"/>
      <c r="M197" s="14">
        <f t="shared" si="44"/>
        <v>1</v>
      </c>
      <c r="N197" s="706"/>
      <c r="O197" s="14">
        <f t="shared" si="45"/>
        <v>1</v>
      </c>
      <c r="P197" s="706"/>
      <c r="Q197" s="14">
        <f t="shared" si="46"/>
        <v>1</v>
      </c>
      <c r="R197" s="702">
        <f t="shared" si="51"/>
        <v>0</v>
      </c>
      <c r="S197" s="333">
        <f t="shared" si="52"/>
        <v>0</v>
      </c>
      <c r="T197" s="1177">
        <f t="shared" si="53"/>
        <v>0</v>
      </c>
      <c r="U197" s="1309">
        <f t="shared" si="47"/>
        <v>0</v>
      </c>
      <c r="V197" s="1309">
        <f t="shared" si="48"/>
        <v>0</v>
      </c>
      <c r="W197" s="1306"/>
      <c r="X197" s="1309">
        <f t="shared" si="49"/>
        <v>0</v>
      </c>
      <c r="Y197" s="1309">
        <f t="shared" si="50"/>
        <v>0</v>
      </c>
      <c r="Z197" s="1306"/>
    </row>
    <row r="198" spans="1:26">
      <c r="A198" s="74"/>
      <c r="B198" s="24"/>
      <c r="C198" s="14">
        <f t="shared" si="39"/>
        <v>1</v>
      </c>
      <c r="D198" s="706"/>
      <c r="E198" s="14">
        <f t="shared" si="40"/>
        <v>1</v>
      </c>
      <c r="F198" s="706"/>
      <c r="G198" s="14">
        <f t="shared" si="41"/>
        <v>1</v>
      </c>
      <c r="H198" s="706"/>
      <c r="I198" s="14">
        <f t="shared" si="42"/>
        <v>1</v>
      </c>
      <c r="J198" s="706"/>
      <c r="K198" s="14">
        <f t="shared" si="43"/>
        <v>1</v>
      </c>
      <c r="L198" s="706"/>
      <c r="M198" s="14">
        <f t="shared" si="44"/>
        <v>1</v>
      </c>
      <c r="N198" s="706"/>
      <c r="O198" s="14">
        <f t="shared" si="45"/>
        <v>1</v>
      </c>
      <c r="P198" s="706"/>
      <c r="Q198" s="14">
        <f t="shared" si="46"/>
        <v>1</v>
      </c>
      <c r="R198" s="702">
        <f t="shared" si="51"/>
        <v>0</v>
      </c>
      <c r="S198" s="333">
        <f t="shared" si="52"/>
        <v>0</v>
      </c>
      <c r="T198" s="1177">
        <f t="shared" si="53"/>
        <v>0</v>
      </c>
      <c r="U198" s="1309">
        <f t="shared" si="47"/>
        <v>0</v>
      </c>
      <c r="V198" s="1309">
        <f t="shared" si="48"/>
        <v>0</v>
      </c>
      <c r="W198" s="1306"/>
      <c r="X198" s="1309">
        <f t="shared" si="49"/>
        <v>0</v>
      </c>
      <c r="Y198" s="1309">
        <f t="shared" si="50"/>
        <v>0</v>
      </c>
      <c r="Z198" s="1306"/>
    </row>
    <row r="199" spans="1:26">
      <c r="A199" s="74"/>
      <c r="B199" s="24"/>
      <c r="C199" s="14">
        <f t="shared" si="39"/>
        <v>1</v>
      </c>
      <c r="D199" s="706"/>
      <c r="E199" s="14">
        <f t="shared" si="40"/>
        <v>1</v>
      </c>
      <c r="F199" s="706"/>
      <c r="G199" s="14">
        <f t="shared" si="41"/>
        <v>1</v>
      </c>
      <c r="H199" s="706"/>
      <c r="I199" s="14">
        <f t="shared" si="42"/>
        <v>1</v>
      </c>
      <c r="J199" s="706"/>
      <c r="K199" s="14">
        <f t="shared" si="43"/>
        <v>1</v>
      </c>
      <c r="L199" s="706"/>
      <c r="M199" s="14">
        <f t="shared" si="44"/>
        <v>1</v>
      </c>
      <c r="N199" s="706"/>
      <c r="O199" s="14">
        <f t="shared" si="45"/>
        <v>1</v>
      </c>
      <c r="P199" s="706"/>
      <c r="Q199" s="14">
        <f t="shared" si="46"/>
        <v>1</v>
      </c>
      <c r="R199" s="702">
        <f t="shared" si="51"/>
        <v>0</v>
      </c>
      <c r="S199" s="333">
        <f t="shared" si="52"/>
        <v>0</v>
      </c>
      <c r="T199" s="1177">
        <f t="shared" si="53"/>
        <v>0</v>
      </c>
      <c r="U199" s="1309">
        <f t="shared" si="47"/>
        <v>0</v>
      </c>
      <c r="V199" s="1309">
        <f t="shared" si="48"/>
        <v>0</v>
      </c>
      <c r="W199" s="1306"/>
      <c r="X199" s="1309">
        <f t="shared" si="49"/>
        <v>0</v>
      </c>
      <c r="Y199" s="1309">
        <f t="shared" si="50"/>
        <v>0</v>
      </c>
      <c r="Z199" s="1306"/>
    </row>
    <row r="200" spans="1:26">
      <c r="A200" s="74"/>
      <c r="B200" s="24"/>
      <c r="C200" s="14">
        <f t="shared" si="39"/>
        <v>1</v>
      </c>
      <c r="D200" s="706"/>
      <c r="E200" s="14">
        <f t="shared" si="40"/>
        <v>1</v>
      </c>
      <c r="F200" s="706"/>
      <c r="G200" s="14">
        <f t="shared" si="41"/>
        <v>1</v>
      </c>
      <c r="H200" s="706"/>
      <c r="I200" s="14">
        <f t="shared" si="42"/>
        <v>1</v>
      </c>
      <c r="J200" s="706"/>
      <c r="K200" s="14">
        <f t="shared" si="43"/>
        <v>1</v>
      </c>
      <c r="L200" s="706"/>
      <c r="M200" s="14">
        <f t="shared" si="44"/>
        <v>1</v>
      </c>
      <c r="N200" s="706"/>
      <c r="O200" s="14">
        <f t="shared" si="45"/>
        <v>1</v>
      </c>
      <c r="P200" s="706"/>
      <c r="Q200" s="14">
        <f t="shared" si="46"/>
        <v>1</v>
      </c>
      <c r="R200" s="702">
        <f t="shared" si="51"/>
        <v>0</v>
      </c>
      <c r="S200" s="333">
        <f t="shared" si="52"/>
        <v>0</v>
      </c>
      <c r="T200" s="1177">
        <f t="shared" si="53"/>
        <v>0</v>
      </c>
      <c r="U200" s="1309">
        <f t="shared" si="47"/>
        <v>0</v>
      </c>
      <c r="V200" s="1309">
        <f t="shared" si="48"/>
        <v>0</v>
      </c>
      <c r="W200" s="1306"/>
      <c r="X200" s="1309">
        <f t="shared" si="49"/>
        <v>0</v>
      </c>
      <c r="Y200" s="1309">
        <f t="shared" si="50"/>
        <v>0</v>
      </c>
      <c r="Z200" s="1306"/>
    </row>
    <row r="201" spans="1:26">
      <c r="A201" s="74"/>
      <c r="B201" s="24"/>
      <c r="C201" s="14">
        <f t="shared" si="39"/>
        <v>1</v>
      </c>
      <c r="D201" s="706"/>
      <c r="E201" s="14">
        <f t="shared" si="40"/>
        <v>1</v>
      </c>
      <c r="F201" s="706"/>
      <c r="G201" s="14">
        <f t="shared" si="41"/>
        <v>1</v>
      </c>
      <c r="H201" s="706"/>
      <c r="I201" s="14">
        <f t="shared" si="42"/>
        <v>1</v>
      </c>
      <c r="J201" s="706"/>
      <c r="K201" s="14">
        <f t="shared" si="43"/>
        <v>1</v>
      </c>
      <c r="L201" s="706"/>
      <c r="M201" s="14">
        <f t="shared" si="44"/>
        <v>1</v>
      </c>
      <c r="N201" s="706"/>
      <c r="O201" s="14">
        <f t="shared" si="45"/>
        <v>1</v>
      </c>
      <c r="P201" s="706"/>
      <c r="Q201" s="14">
        <f t="shared" si="46"/>
        <v>1</v>
      </c>
      <c r="R201" s="702">
        <f t="shared" si="51"/>
        <v>0</v>
      </c>
      <c r="S201" s="333">
        <f t="shared" si="52"/>
        <v>0</v>
      </c>
      <c r="T201" s="1177">
        <f t="shared" si="53"/>
        <v>0</v>
      </c>
      <c r="U201" s="1309">
        <f t="shared" si="47"/>
        <v>0</v>
      </c>
      <c r="V201" s="1309">
        <f t="shared" si="48"/>
        <v>0</v>
      </c>
      <c r="W201" s="1306"/>
      <c r="X201" s="1309">
        <f t="shared" si="49"/>
        <v>0</v>
      </c>
      <c r="Y201" s="1309">
        <f t="shared" si="50"/>
        <v>0</v>
      </c>
      <c r="Z201" s="1306"/>
    </row>
    <row r="202" spans="1:26">
      <c r="A202" s="74"/>
      <c r="B202" s="24"/>
      <c r="C202" s="14">
        <f t="shared" si="39"/>
        <v>1</v>
      </c>
      <c r="D202" s="706"/>
      <c r="E202" s="14">
        <f t="shared" si="40"/>
        <v>1</v>
      </c>
      <c r="F202" s="706"/>
      <c r="G202" s="14">
        <f t="shared" si="41"/>
        <v>1</v>
      </c>
      <c r="H202" s="706"/>
      <c r="I202" s="14">
        <f t="shared" si="42"/>
        <v>1</v>
      </c>
      <c r="J202" s="706"/>
      <c r="K202" s="14">
        <f t="shared" si="43"/>
        <v>1</v>
      </c>
      <c r="L202" s="706"/>
      <c r="M202" s="14">
        <f t="shared" si="44"/>
        <v>1</v>
      </c>
      <c r="N202" s="706"/>
      <c r="O202" s="14">
        <f t="shared" si="45"/>
        <v>1</v>
      </c>
      <c r="P202" s="706"/>
      <c r="Q202" s="14">
        <f t="shared" si="46"/>
        <v>1</v>
      </c>
      <c r="R202" s="702">
        <f t="shared" si="51"/>
        <v>0</v>
      </c>
      <c r="S202" s="333">
        <f t="shared" si="52"/>
        <v>0</v>
      </c>
      <c r="T202" s="1177">
        <f t="shared" si="53"/>
        <v>0</v>
      </c>
      <c r="U202" s="1309">
        <f t="shared" si="47"/>
        <v>0</v>
      </c>
      <c r="V202" s="1309">
        <f t="shared" si="48"/>
        <v>0</v>
      </c>
      <c r="W202" s="1306"/>
      <c r="X202" s="1309">
        <f t="shared" si="49"/>
        <v>0</v>
      </c>
      <c r="Y202" s="1309">
        <f t="shared" si="50"/>
        <v>0</v>
      </c>
      <c r="Z202" s="1306"/>
    </row>
    <row r="203" spans="1:26">
      <c r="A203" s="74"/>
      <c r="B203" s="24"/>
      <c r="C203" s="14">
        <f t="shared" si="39"/>
        <v>1</v>
      </c>
      <c r="D203" s="706"/>
      <c r="E203" s="14">
        <f t="shared" si="40"/>
        <v>1</v>
      </c>
      <c r="F203" s="706"/>
      <c r="G203" s="14">
        <f t="shared" si="41"/>
        <v>1</v>
      </c>
      <c r="H203" s="706"/>
      <c r="I203" s="14">
        <f t="shared" si="42"/>
        <v>1</v>
      </c>
      <c r="J203" s="706"/>
      <c r="K203" s="14">
        <f t="shared" si="43"/>
        <v>1</v>
      </c>
      <c r="L203" s="706"/>
      <c r="M203" s="14">
        <f t="shared" si="44"/>
        <v>1</v>
      </c>
      <c r="N203" s="706"/>
      <c r="O203" s="14">
        <f t="shared" si="45"/>
        <v>1</v>
      </c>
      <c r="P203" s="706"/>
      <c r="Q203" s="14">
        <f t="shared" si="46"/>
        <v>1</v>
      </c>
      <c r="R203" s="702">
        <f t="shared" si="51"/>
        <v>0</v>
      </c>
      <c r="S203" s="333">
        <f t="shared" si="52"/>
        <v>0</v>
      </c>
      <c r="T203" s="1177">
        <f t="shared" si="53"/>
        <v>0</v>
      </c>
      <c r="U203" s="1309">
        <f t="shared" si="47"/>
        <v>0</v>
      </c>
      <c r="V203" s="1309">
        <f t="shared" si="48"/>
        <v>0</v>
      </c>
      <c r="W203" s="1306"/>
      <c r="X203" s="1309">
        <f t="shared" si="49"/>
        <v>0</v>
      </c>
      <c r="Y203" s="1309">
        <f t="shared" si="50"/>
        <v>0</v>
      </c>
      <c r="Z203" s="1306"/>
    </row>
    <row r="204" spans="1:26">
      <c r="A204" s="74"/>
      <c r="B204" s="24"/>
      <c r="C204" s="14">
        <f t="shared" si="39"/>
        <v>1</v>
      </c>
      <c r="D204" s="706"/>
      <c r="E204" s="14">
        <f t="shared" si="40"/>
        <v>1</v>
      </c>
      <c r="F204" s="706"/>
      <c r="G204" s="14">
        <f t="shared" si="41"/>
        <v>1</v>
      </c>
      <c r="H204" s="706"/>
      <c r="I204" s="14">
        <f t="shared" si="42"/>
        <v>1</v>
      </c>
      <c r="J204" s="706"/>
      <c r="K204" s="14">
        <f t="shared" si="43"/>
        <v>1</v>
      </c>
      <c r="L204" s="706"/>
      <c r="M204" s="14">
        <f t="shared" si="44"/>
        <v>1</v>
      </c>
      <c r="N204" s="706"/>
      <c r="O204" s="14">
        <f t="shared" si="45"/>
        <v>1</v>
      </c>
      <c r="P204" s="706"/>
      <c r="Q204" s="14">
        <f t="shared" si="46"/>
        <v>1</v>
      </c>
      <c r="R204" s="702">
        <f t="shared" si="51"/>
        <v>0</v>
      </c>
      <c r="S204" s="333">
        <f t="shared" si="52"/>
        <v>0</v>
      </c>
      <c r="T204" s="1177">
        <f t="shared" si="53"/>
        <v>0</v>
      </c>
      <c r="U204" s="1309">
        <f t="shared" si="47"/>
        <v>0</v>
      </c>
      <c r="V204" s="1309">
        <f t="shared" si="48"/>
        <v>0</v>
      </c>
      <c r="W204" s="1306"/>
      <c r="X204" s="1309">
        <f t="shared" si="49"/>
        <v>0</v>
      </c>
      <c r="Y204" s="1309">
        <f t="shared" si="50"/>
        <v>0</v>
      </c>
      <c r="Z204" s="1306"/>
    </row>
    <row r="205" spans="1:26">
      <c r="A205" s="74"/>
      <c r="B205" s="24"/>
      <c r="C205" s="14">
        <f t="shared" si="39"/>
        <v>1</v>
      </c>
      <c r="D205" s="706"/>
      <c r="E205" s="14">
        <f t="shared" si="40"/>
        <v>1</v>
      </c>
      <c r="F205" s="706"/>
      <c r="G205" s="14">
        <f t="shared" si="41"/>
        <v>1</v>
      </c>
      <c r="H205" s="706"/>
      <c r="I205" s="14">
        <f t="shared" si="42"/>
        <v>1</v>
      </c>
      <c r="J205" s="706"/>
      <c r="K205" s="14">
        <f t="shared" si="43"/>
        <v>1</v>
      </c>
      <c r="L205" s="706"/>
      <c r="M205" s="14">
        <f t="shared" si="44"/>
        <v>1</v>
      </c>
      <c r="N205" s="706"/>
      <c r="O205" s="14">
        <f t="shared" si="45"/>
        <v>1</v>
      </c>
      <c r="P205" s="706"/>
      <c r="Q205" s="14">
        <f t="shared" si="46"/>
        <v>1</v>
      </c>
      <c r="R205" s="702">
        <f t="shared" si="51"/>
        <v>0</v>
      </c>
      <c r="S205" s="333">
        <f t="shared" si="52"/>
        <v>0</v>
      </c>
      <c r="T205" s="1177">
        <f t="shared" si="53"/>
        <v>0</v>
      </c>
      <c r="U205" s="1309">
        <f t="shared" si="47"/>
        <v>0</v>
      </c>
      <c r="V205" s="1309">
        <f t="shared" si="48"/>
        <v>0</v>
      </c>
      <c r="W205" s="1306"/>
      <c r="X205" s="1309">
        <f t="shared" si="49"/>
        <v>0</v>
      </c>
      <c r="Y205" s="1309">
        <f t="shared" si="50"/>
        <v>0</v>
      </c>
      <c r="Z205" s="1306"/>
    </row>
    <row r="206" spans="1:26">
      <c r="A206" s="74"/>
      <c r="B206" s="24"/>
      <c r="C206" s="14">
        <f t="shared" si="39"/>
        <v>1</v>
      </c>
      <c r="D206" s="706"/>
      <c r="E206" s="14">
        <f t="shared" si="40"/>
        <v>1</v>
      </c>
      <c r="F206" s="706"/>
      <c r="G206" s="14">
        <f t="shared" si="41"/>
        <v>1</v>
      </c>
      <c r="H206" s="706"/>
      <c r="I206" s="14">
        <f t="shared" si="42"/>
        <v>1</v>
      </c>
      <c r="J206" s="706"/>
      <c r="K206" s="14">
        <f t="shared" si="43"/>
        <v>1</v>
      </c>
      <c r="L206" s="706"/>
      <c r="M206" s="14">
        <f t="shared" si="44"/>
        <v>1</v>
      </c>
      <c r="N206" s="706"/>
      <c r="O206" s="14">
        <f t="shared" si="45"/>
        <v>1</v>
      </c>
      <c r="P206" s="706"/>
      <c r="Q206" s="14">
        <f t="shared" si="46"/>
        <v>1</v>
      </c>
      <c r="R206" s="702">
        <f t="shared" si="51"/>
        <v>0</v>
      </c>
      <c r="S206" s="333">
        <f t="shared" si="52"/>
        <v>0</v>
      </c>
      <c r="T206" s="1177">
        <f t="shared" si="53"/>
        <v>0</v>
      </c>
      <c r="U206" s="1309">
        <f t="shared" si="47"/>
        <v>0</v>
      </c>
      <c r="V206" s="1309">
        <f t="shared" si="48"/>
        <v>0</v>
      </c>
      <c r="W206" s="1306"/>
      <c r="X206" s="1309">
        <f t="shared" si="49"/>
        <v>0</v>
      </c>
      <c r="Y206" s="1309">
        <f t="shared" si="50"/>
        <v>0</v>
      </c>
      <c r="Z206" s="1306"/>
    </row>
    <row r="207" spans="1:26">
      <c r="A207" s="74"/>
      <c r="B207" s="24"/>
      <c r="C207" s="14">
        <f t="shared" si="39"/>
        <v>1</v>
      </c>
      <c r="D207" s="706"/>
      <c r="E207" s="14">
        <f t="shared" si="40"/>
        <v>1</v>
      </c>
      <c r="F207" s="706"/>
      <c r="G207" s="14">
        <f t="shared" si="41"/>
        <v>1</v>
      </c>
      <c r="H207" s="706"/>
      <c r="I207" s="14">
        <f t="shared" si="42"/>
        <v>1</v>
      </c>
      <c r="J207" s="706"/>
      <c r="K207" s="14">
        <f t="shared" si="43"/>
        <v>1</v>
      </c>
      <c r="L207" s="706"/>
      <c r="M207" s="14">
        <f t="shared" si="44"/>
        <v>1</v>
      </c>
      <c r="N207" s="706"/>
      <c r="O207" s="14">
        <f t="shared" si="45"/>
        <v>1</v>
      </c>
      <c r="P207" s="706"/>
      <c r="Q207" s="14">
        <f t="shared" si="46"/>
        <v>1</v>
      </c>
      <c r="R207" s="702">
        <f t="shared" si="51"/>
        <v>0</v>
      </c>
      <c r="S207" s="333">
        <f t="shared" si="52"/>
        <v>0</v>
      </c>
      <c r="T207" s="1177">
        <f t="shared" si="53"/>
        <v>0</v>
      </c>
      <c r="U207" s="1309">
        <f t="shared" si="47"/>
        <v>0</v>
      </c>
      <c r="V207" s="1309">
        <f t="shared" si="48"/>
        <v>0</v>
      </c>
      <c r="W207" s="1306"/>
      <c r="X207" s="1309">
        <f t="shared" si="49"/>
        <v>0</v>
      </c>
      <c r="Y207" s="1309">
        <f t="shared" si="50"/>
        <v>0</v>
      </c>
      <c r="Z207" s="1306"/>
    </row>
    <row r="208" spans="1:26">
      <c r="A208" s="74"/>
      <c r="B208" s="24"/>
      <c r="C208" s="14">
        <f t="shared" si="39"/>
        <v>1</v>
      </c>
      <c r="D208" s="706"/>
      <c r="E208" s="14">
        <f t="shared" si="40"/>
        <v>1</v>
      </c>
      <c r="F208" s="706"/>
      <c r="G208" s="14">
        <f t="shared" si="41"/>
        <v>1</v>
      </c>
      <c r="H208" s="706"/>
      <c r="I208" s="14">
        <f t="shared" si="42"/>
        <v>1</v>
      </c>
      <c r="J208" s="706"/>
      <c r="K208" s="14">
        <f t="shared" si="43"/>
        <v>1</v>
      </c>
      <c r="L208" s="706"/>
      <c r="M208" s="14">
        <f t="shared" si="44"/>
        <v>1</v>
      </c>
      <c r="N208" s="706"/>
      <c r="O208" s="14">
        <f t="shared" si="45"/>
        <v>1</v>
      </c>
      <c r="P208" s="706"/>
      <c r="Q208" s="14">
        <f t="shared" si="46"/>
        <v>1</v>
      </c>
      <c r="R208" s="702">
        <f t="shared" si="51"/>
        <v>0</v>
      </c>
      <c r="S208" s="333">
        <f t="shared" si="52"/>
        <v>0</v>
      </c>
      <c r="T208" s="1177">
        <f t="shared" si="53"/>
        <v>0</v>
      </c>
      <c r="U208" s="1309">
        <f t="shared" si="47"/>
        <v>0</v>
      </c>
      <c r="V208" s="1309">
        <f t="shared" si="48"/>
        <v>0</v>
      </c>
      <c r="W208" s="1306"/>
      <c r="X208" s="1309">
        <f t="shared" si="49"/>
        <v>0</v>
      </c>
      <c r="Y208" s="1309">
        <f t="shared" si="50"/>
        <v>0</v>
      </c>
      <c r="Z208" s="1306"/>
    </row>
    <row r="209" spans="1:26">
      <c r="A209" s="74"/>
      <c r="B209" s="24"/>
      <c r="C209" s="14">
        <f t="shared" si="39"/>
        <v>1</v>
      </c>
      <c r="D209" s="706"/>
      <c r="E209" s="14">
        <f t="shared" si="40"/>
        <v>1</v>
      </c>
      <c r="F209" s="706"/>
      <c r="G209" s="14">
        <f t="shared" si="41"/>
        <v>1</v>
      </c>
      <c r="H209" s="706"/>
      <c r="I209" s="14">
        <f t="shared" si="42"/>
        <v>1</v>
      </c>
      <c r="J209" s="706"/>
      <c r="K209" s="14">
        <f t="shared" si="43"/>
        <v>1</v>
      </c>
      <c r="L209" s="706"/>
      <c r="M209" s="14">
        <f t="shared" si="44"/>
        <v>1</v>
      </c>
      <c r="N209" s="706"/>
      <c r="O209" s="14">
        <f t="shared" si="45"/>
        <v>1</v>
      </c>
      <c r="P209" s="706"/>
      <c r="Q209" s="14">
        <f t="shared" si="46"/>
        <v>1</v>
      </c>
      <c r="R209" s="702">
        <f t="shared" si="51"/>
        <v>0</v>
      </c>
      <c r="S209" s="333">
        <f t="shared" si="52"/>
        <v>0</v>
      </c>
      <c r="T209" s="1177">
        <f t="shared" si="53"/>
        <v>0</v>
      </c>
      <c r="U209" s="1309">
        <f t="shared" si="47"/>
        <v>0</v>
      </c>
      <c r="V209" s="1309">
        <f t="shared" si="48"/>
        <v>0</v>
      </c>
      <c r="W209" s="1306"/>
      <c r="X209" s="1309">
        <f t="shared" si="49"/>
        <v>0</v>
      </c>
      <c r="Y209" s="1309">
        <f t="shared" si="50"/>
        <v>0</v>
      </c>
      <c r="Z209" s="1306"/>
    </row>
    <row r="210" spans="1:26">
      <c r="A210" s="74"/>
      <c r="B210" s="24"/>
      <c r="C210" s="14">
        <f t="shared" si="39"/>
        <v>1</v>
      </c>
      <c r="D210" s="706"/>
      <c r="E210" s="14">
        <f t="shared" si="40"/>
        <v>1</v>
      </c>
      <c r="F210" s="706"/>
      <c r="G210" s="14">
        <f t="shared" si="41"/>
        <v>1</v>
      </c>
      <c r="H210" s="706"/>
      <c r="I210" s="14">
        <f t="shared" si="42"/>
        <v>1</v>
      </c>
      <c r="J210" s="706"/>
      <c r="K210" s="14">
        <f t="shared" si="43"/>
        <v>1</v>
      </c>
      <c r="L210" s="706"/>
      <c r="M210" s="14">
        <f t="shared" si="44"/>
        <v>1</v>
      </c>
      <c r="N210" s="706"/>
      <c r="O210" s="14">
        <f t="shared" si="45"/>
        <v>1</v>
      </c>
      <c r="P210" s="706"/>
      <c r="Q210" s="14">
        <f t="shared" si="46"/>
        <v>1</v>
      </c>
      <c r="R210" s="702">
        <f t="shared" si="51"/>
        <v>0</v>
      </c>
      <c r="S210" s="333">
        <f t="shared" si="52"/>
        <v>0</v>
      </c>
      <c r="T210" s="1177">
        <f t="shared" si="53"/>
        <v>0</v>
      </c>
      <c r="U210" s="1309">
        <f t="shared" si="47"/>
        <v>0</v>
      </c>
      <c r="V210" s="1309">
        <f t="shared" si="48"/>
        <v>0</v>
      </c>
      <c r="W210" s="1306"/>
      <c r="X210" s="1309">
        <f t="shared" si="49"/>
        <v>0</v>
      </c>
      <c r="Y210" s="1309">
        <f t="shared" si="50"/>
        <v>0</v>
      </c>
      <c r="Z210" s="1306"/>
    </row>
    <row r="211" spans="1:26">
      <c r="A211" s="74"/>
      <c r="B211" s="24"/>
      <c r="C211" s="14">
        <f t="shared" si="39"/>
        <v>1</v>
      </c>
      <c r="D211" s="706"/>
      <c r="E211" s="14">
        <f t="shared" si="40"/>
        <v>1</v>
      </c>
      <c r="F211" s="706"/>
      <c r="G211" s="14">
        <f t="shared" si="41"/>
        <v>1</v>
      </c>
      <c r="H211" s="706"/>
      <c r="I211" s="14">
        <f t="shared" si="42"/>
        <v>1</v>
      </c>
      <c r="J211" s="706"/>
      <c r="K211" s="14">
        <f t="shared" si="43"/>
        <v>1</v>
      </c>
      <c r="L211" s="706"/>
      <c r="M211" s="14">
        <f t="shared" si="44"/>
        <v>1</v>
      </c>
      <c r="N211" s="706"/>
      <c r="O211" s="14">
        <f t="shared" si="45"/>
        <v>1</v>
      </c>
      <c r="P211" s="706"/>
      <c r="Q211" s="14">
        <f t="shared" si="46"/>
        <v>1</v>
      </c>
      <c r="R211" s="702">
        <f t="shared" si="51"/>
        <v>0</v>
      </c>
      <c r="S211" s="333">
        <f t="shared" si="52"/>
        <v>0</v>
      </c>
      <c r="T211" s="1177">
        <f t="shared" si="53"/>
        <v>0</v>
      </c>
      <c r="U211" s="1309">
        <f t="shared" si="47"/>
        <v>0</v>
      </c>
      <c r="V211" s="1309">
        <f t="shared" si="48"/>
        <v>0</v>
      </c>
      <c r="W211" s="1306"/>
      <c r="X211" s="1309">
        <f t="shared" si="49"/>
        <v>0</v>
      </c>
      <c r="Y211" s="1309">
        <f t="shared" si="50"/>
        <v>0</v>
      </c>
      <c r="Z211" s="1306"/>
    </row>
    <row r="212" spans="1:26">
      <c r="A212" s="74"/>
      <c r="B212" s="24"/>
      <c r="C212" s="14">
        <f t="shared" si="39"/>
        <v>1</v>
      </c>
      <c r="D212" s="706"/>
      <c r="E212" s="14">
        <f t="shared" si="40"/>
        <v>1</v>
      </c>
      <c r="F212" s="706"/>
      <c r="G212" s="14">
        <f t="shared" si="41"/>
        <v>1</v>
      </c>
      <c r="H212" s="706"/>
      <c r="I212" s="14">
        <f t="shared" si="42"/>
        <v>1</v>
      </c>
      <c r="J212" s="706"/>
      <c r="K212" s="14">
        <f t="shared" si="43"/>
        <v>1</v>
      </c>
      <c r="L212" s="706"/>
      <c r="M212" s="14">
        <f t="shared" si="44"/>
        <v>1</v>
      </c>
      <c r="N212" s="706"/>
      <c r="O212" s="14">
        <f t="shared" si="45"/>
        <v>1</v>
      </c>
      <c r="P212" s="706"/>
      <c r="Q212" s="14">
        <f t="shared" si="46"/>
        <v>1</v>
      </c>
      <c r="R212" s="702">
        <f t="shared" si="51"/>
        <v>0</v>
      </c>
      <c r="S212" s="333">
        <f t="shared" si="52"/>
        <v>0</v>
      </c>
      <c r="T212" s="1177">
        <f t="shared" si="53"/>
        <v>0</v>
      </c>
      <c r="U212" s="1309">
        <f t="shared" si="47"/>
        <v>0</v>
      </c>
      <c r="V212" s="1309">
        <f t="shared" si="48"/>
        <v>0</v>
      </c>
      <c r="W212" s="1306"/>
      <c r="X212" s="1309">
        <f t="shared" si="49"/>
        <v>0</v>
      </c>
      <c r="Y212" s="1309">
        <f t="shared" si="50"/>
        <v>0</v>
      </c>
      <c r="Z212" s="1306"/>
    </row>
    <row r="213" spans="1:26">
      <c r="A213" s="74"/>
      <c r="B213" s="24"/>
      <c r="C213" s="14">
        <f t="shared" si="39"/>
        <v>1</v>
      </c>
      <c r="D213" s="706"/>
      <c r="E213" s="14">
        <f t="shared" si="40"/>
        <v>1</v>
      </c>
      <c r="F213" s="706"/>
      <c r="G213" s="14">
        <f t="shared" si="41"/>
        <v>1</v>
      </c>
      <c r="H213" s="706"/>
      <c r="I213" s="14">
        <f t="shared" si="42"/>
        <v>1</v>
      </c>
      <c r="J213" s="706"/>
      <c r="K213" s="14">
        <f t="shared" si="43"/>
        <v>1</v>
      </c>
      <c r="L213" s="706"/>
      <c r="M213" s="14">
        <f t="shared" si="44"/>
        <v>1</v>
      </c>
      <c r="N213" s="706"/>
      <c r="O213" s="14">
        <f t="shared" si="45"/>
        <v>1</v>
      </c>
      <c r="P213" s="706"/>
      <c r="Q213" s="14">
        <f t="shared" si="46"/>
        <v>1</v>
      </c>
      <c r="R213" s="702">
        <f t="shared" si="51"/>
        <v>0</v>
      </c>
      <c r="S213" s="333">
        <f t="shared" si="52"/>
        <v>0</v>
      </c>
      <c r="T213" s="1177">
        <f t="shared" si="53"/>
        <v>0</v>
      </c>
      <c r="U213" s="1309">
        <f t="shared" si="47"/>
        <v>0</v>
      </c>
      <c r="V213" s="1309">
        <f t="shared" si="48"/>
        <v>0</v>
      </c>
      <c r="W213" s="1306"/>
      <c r="X213" s="1309">
        <f t="shared" si="49"/>
        <v>0</v>
      </c>
      <c r="Y213" s="1309">
        <f t="shared" si="50"/>
        <v>0</v>
      </c>
      <c r="Z213" s="1306"/>
    </row>
    <row r="214" spans="1:26">
      <c r="A214" s="74"/>
      <c r="B214" s="24"/>
      <c r="C214" s="14">
        <f t="shared" si="39"/>
        <v>1</v>
      </c>
      <c r="D214" s="706"/>
      <c r="E214" s="14">
        <f t="shared" si="40"/>
        <v>1</v>
      </c>
      <c r="F214" s="706"/>
      <c r="G214" s="14">
        <f t="shared" si="41"/>
        <v>1</v>
      </c>
      <c r="H214" s="706"/>
      <c r="I214" s="14">
        <f t="shared" si="42"/>
        <v>1</v>
      </c>
      <c r="J214" s="706"/>
      <c r="K214" s="14">
        <f t="shared" si="43"/>
        <v>1</v>
      </c>
      <c r="L214" s="706"/>
      <c r="M214" s="14">
        <f t="shared" si="44"/>
        <v>1</v>
      </c>
      <c r="N214" s="706"/>
      <c r="O214" s="14">
        <f t="shared" si="45"/>
        <v>1</v>
      </c>
      <c r="P214" s="706"/>
      <c r="Q214" s="14">
        <f t="shared" si="46"/>
        <v>1</v>
      </c>
      <c r="R214" s="702">
        <f t="shared" si="51"/>
        <v>0</v>
      </c>
      <c r="S214" s="333">
        <f t="shared" si="52"/>
        <v>0</v>
      </c>
      <c r="T214" s="1177">
        <f t="shared" si="53"/>
        <v>0</v>
      </c>
      <c r="U214" s="1309">
        <f t="shared" si="47"/>
        <v>0</v>
      </c>
      <c r="V214" s="1309">
        <f t="shared" si="48"/>
        <v>0</v>
      </c>
      <c r="W214" s="1306"/>
      <c r="X214" s="1309">
        <f t="shared" si="49"/>
        <v>0</v>
      </c>
      <c r="Y214" s="1309">
        <f t="shared" si="50"/>
        <v>0</v>
      </c>
      <c r="Z214" s="1306"/>
    </row>
    <row r="215" spans="1:26">
      <c r="A215" s="74"/>
      <c r="B215" s="24"/>
      <c r="C215" s="14">
        <f t="shared" si="39"/>
        <v>1</v>
      </c>
      <c r="D215" s="706"/>
      <c r="E215" s="14">
        <f t="shared" si="40"/>
        <v>1</v>
      </c>
      <c r="F215" s="706"/>
      <c r="G215" s="14">
        <f t="shared" si="41"/>
        <v>1</v>
      </c>
      <c r="H215" s="706"/>
      <c r="I215" s="14">
        <f t="shared" si="42"/>
        <v>1</v>
      </c>
      <c r="J215" s="706"/>
      <c r="K215" s="14">
        <f t="shared" si="43"/>
        <v>1</v>
      </c>
      <c r="L215" s="706"/>
      <c r="M215" s="14">
        <f t="shared" si="44"/>
        <v>1</v>
      </c>
      <c r="N215" s="706"/>
      <c r="O215" s="14">
        <f t="shared" si="45"/>
        <v>1</v>
      </c>
      <c r="P215" s="706"/>
      <c r="Q215" s="14">
        <f t="shared" si="46"/>
        <v>1</v>
      </c>
      <c r="R215" s="702">
        <f t="shared" si="51"/>
        <v>0</v>
      </c>
      <c r="S215" s="333">
        <f t="shared" si="52"/>
        <v>0</v>
      </c>
      <c r="T215" s="1177">
        <f t="shared" si="53"/>
        <v>0</v>
      </c>
      <c r="U215" s="1309">
        <f t="shared" si="47"/>
        <v>0</v>
      </c>
      <c r="V215" s="1309">
        <f t="shared" si="48"/>
        <v>0</v>
      </c>
      <c r="W215" s="1306"/>
      <c r="X215" s="1309">
        <f t="shared" si="49"/>
        <v>0</v>
      </c>
      <c r="Y215" s="1309">
        <f t="shared" si="50"/>
        <v>0</v>
      </c>
      <c r="Z215" s="1306"/>
    </row>
    <row r="216" spans="1:26">
      <c r="A216" s="74"/>
      <c r="B216" s="24"/>
      <c r="C216" s="14">
        <f t="shared" si="39"/>
        <v>1</v>
      </c>
      <c r="D216" s="706"/>
      <c r="E216" s="14">
        <f t="shared" si="40"/>
        <v>1</v>
      </c>
      <c r="F216" s="706"/>
      <c r="G216" s="14">
        <f t="shared" si="41"/>
        <v>1</v>
      </c>
      <c r="H216" s="706"/>
      <c r="I216" s="14">
        <f t="shared" si="42"/>
        <v>1</v>
      </c>
      <c r="J216" s="706"/>
      <c r="K216" s="14">
        <f t="shared" si="43"/>
        <v>1</v>
      </c>
      <c r="L216" s="706"/>
      <c r="M216" s="14">
        <f t="shared" si="44"/>
        <v>1</v>
      </c>
      <c r="N216" s="706"/>
      <c r="O216" s="14">
        <f t="shared" si="45"/>
        <v>1</v>
      </c>
      <c r="P216" s="706"/>
      <c r="Q216" s="14">
        <f t="shared" si="46"/>
        <v>1</v>
      </c>
      <c r="R216" s="702">
        <f t="shared" si="51"/>
        <v>0</v>
      </c>
      <c r="S216" s="333">
        <f t="shared" si="52"/>
        <v>0</v>
      </c>
      <c r="T216" s="1177">
        <f t="shared" si="53"/>
        <v>0</v>
      </c>
      <c r="U216" s="1309">
        <f t="shared" si="47"/>
        <v>0</v>
      </c>
      <c r="V216" s="1309">
        <f t="shared" si="48"/>
        <v>0</v>
      </c>
      <c r="W216" s="1306"/>
      <c r="X216" s="1309">
        <f t="shared" si="49"/>
        <v>0</v>
      </c>
      <c r="Y216" s="1309">
        <f t="shared" si="50"/>
        <v>0</v>
      </c>
      <c r="Z216" s="1306"/>
    </row>
    <row r="217" spans="1:26">
      <c r="A217" s="74"/>
      <c r="B217" s="24"/>
      <c r="C217" s="14">
        <f t="shared" si="39"/>
        <v>1</v>
      </c>
      <c r="D217" s="706"/>
      <c r="E217" s="14">
        <f t="shared" si="40"/>
        <v>1</v>
      </c>
      <c r="F217" s="706"/>
      <c r="G217" s="14">
        <f t="shared" si="41"/>
        <v>1</v>
      </c>
      <c r="H217" s="706"/>
      <c r="I217" s="14">
        <f t="shared" si="42"/>
        <v>1</v>
      </c>
      <c r="J217" s="706"/>
      <c r="K217" s="14">
        <f t="shared" si="43"/>
        <v>1</v>
      </c>
      <c r="L217" s="706"/>
      <c r="M217" s="14">
        <f t="shared" si="44"/>
        <v>1</v>
      </c>
      <c r="N217" s="706"/>
      <c r="O217" s="14">
        <f t="shared" si="45"/>
        <v>1</v>
      </c>
      <c r="P217" s="706"/>
      <c r="Q217" s="14">
        <f t="shared" si="46"/>
        <v>1</v>
      </c>
      <c r="R217" s="702">
        <f t="shared" si="51"/>
        <v>0</v>
      </c>
      <c r="S217" s="333">
        <f t="shared" si="52"/>
        <v>0</v>
      </c>
      <c r="T217" s="1177">
        <f t="shared" si="53"/>
        <v>0</v>
      </c>
      <c r="U217" s="1309">
        <f t="shared" si="47"/>
        <v>0</v>
      </c>
      <c r="V217" s="1309">
        <f t="shared" si="48"/>
        <v>0</v>
      </c>
      <c r="W217" s="1306"/>
      <c r="X217" s="1309">
        <f t="shared" si="49"/>
        <v>0</v>
      </c>
      <c r="Y217" s="1309">
        <f t="shared" si="50"/>
        <v>0</v>
      </c>
      <c r="Z217" s="1306"/>
    </row>
    <row r="218" spans="1:26">
      <c r="A218" s="74"/>
      <c r="B218" s="24"/>
      <c r="C218" s="14">
        <f t="shared" si="39"/>
        <v>1</v>
      </c>
      <c r="D218" s="706"/>
      <c r="E218" s="14">
        <f t="shared" si="40"/>
        <v>1</v>
      </c>
      <c r="F218" s="706"/>
      <c r="G218" s="14">
        <f t="shared" si="41"/>
        <v>1</v>
      </c>
      <c r="H218" s="706"/>
      <c r="I218" s="14">
        <f t="shared" si="42"/>
        <v>1</v>
      </c>
      <c r="J218" s="706"/>
      <c r="K218" s="14">
        <f t="shared" si="43"/>
        <v>1</v>
      </c>
      <c r="L218" s="706"/>
      <c r="M218" s="14">
        <f t="shared" si="44"/>
        <v>1</v>
      </c>
      <c r="N218" s="706"/>
      <c r="O218" s="14">
        <f t="shared" si="45"/>
        <v>1</v>
      </c>
      <c r="P218" s="706"/>
      <c r="Q218" s="14">
        <f t="shared" si="46"/>
        <v>1</v>
      </c>
      <c r="R218" s="702">
        <f t="shared" si="51"/>
        <v>0</v>
      </c>
      <c r="S218" s="333">
        <f t="shared" si="52"/>
        <v>0</v>
      </c>
      <c r="T218" s="1177">
        <f t="shared" si="53"/>
        <v>0</v>
      </c>
      <c r="U218" s="1309">
        <f t="shared" si="47"/>
        <v>0</v>
      </c>
      <c r="V218" s="1309">
        <f t="shared" si="48"/>
        <v>0</v>
      </c>
      <c r="W218" s="1306"/>
      <c r="X218" s="1309">
        <f t="shared" si="49"/>
        <v>0</v>
      </c>
      <c r="Y218" s="1309">
        <f t="shared" si="50"/>
        <v>0</v>
      </c>
      <c r="Z218" s="1306"/>
    </row>
    <row r="219" spans="1:26">
      <c r="A219" s="74"/>
      <c r="B219" s="24"/>
      <c r="C219" s="14">
        <f t="shared" si="39"/>
        <v>1</v>
      </c>
      <c r="D219" s="706"/>
      <c r="E219" s="14">
        <f t="shared" si="40"/>
        <v>1</v>
      </c>
      <c r="F219" s="706"/>
      <c r="G219" s="14">
        <f t="shared" si="41"/>
        <v>1</v>
      </c>
      <c r="H219" s="706"/>
      <c r="I219" s="14">
        <f t="shared" si="42"/>
        <v>1</v>
      </c>
      <c r="J219" s="706"/>
      <c r="K219" s="14">
        <f t="shared" si="43"/>
        <v>1</v>
      </c>
      <c r="L219" s="706"/>
      <c r="M219" s="14">
        <f t="shared" si="44"/>
        <v>1</v>
      </c>
      <c r="N219" s="706"/>
      <c r="O219" s="14">
        <f t="shared" si="45"/>
        <v>1</v>
      </c>
      <c r="P219" s="706"/>
      <c r="Q219" s="14">
        <f t="shared" si="46"/>
        <v>1</v>
      </c>
      <c r="R219" s="702">
        <f t="shared" si="51"/>
        <v>0</v>
      </c>
      <c r="S219" s="333">
        <f t="shared" si="52"/>
        <v>0</v>
      </c>
      <c r="T219" s="1177">
        <f t="shared" si="53"/>
        <v>0</v>
      </c>
      <c r="U219" s="1309">
        <f t="shared" si="47"/>
        <v>0</v>
      </c>
      <c r="V219" s="1309">
        <f t="shared" si="48"/>
        <v>0</v>
      </c>
      <c r="W219" s="1306"/>
      <c r="X219" s="1309">
        <f t="shared" si="49"/>
        <v>0</v>
      </c>
      <c r="Y219" s="1309">
        <f t="shared" si="50"/>
        <v>0</v>
      </c>
      <c r="Z219" s="1306"/>
    </row>
    <row r="220" spans="1:26">
      <c r="A220" s="74"/>
      <c r="B220" s="24"/>
      <c r="C220" s="14">
        <f t="shared" ref="C220:C283" si="54">IF(B220="",1,(LOOKUP(B220,$6:$6,$7:$7)-LOOKUP($B$27,$6:$6,$7:$7)+100)/100)</f>
        <v>1</v>
      </c>
      <c r="D220" s="706"/>
      <c r="E220" s="14">
        <f t="shared" ref="E220:E283" si="55">(SUMIF($8:$8,D220,$9:$9)-SUMIF($8:$8,$D$27,$9:$9)+100)/100</f>
        <v>1</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1</v>
      </c>
      <c r="R220" s="702">
        <f t="shared" si="51"/>
        <v>0</v>
      </c>
      <c r="S220" s="333">
        <f t="shared" si="52"/>
        <v>0</v>
      </c>
      <c r="T220" s="1177">
        <f t="shared" si="53"/>
        <v>0</v>
      </c>
      <c r="U220" s="1309">
        <f t="shared" ref="U220:U283" si="62">ROUND(W220*B220,0)</f>
        <v>0</v>
      </c>
      <c r="V220" s="1309">
        <f t="shared" ref="V220:V283" si="63">ROUND(W220*B220/10000,0)</f>
        <v>0</v>
      </c>
      <c r="W220" s="1306"/>
      <c r="X220" s="1309">
        <f t="shared" ref="X220:X283" si="64">ROUND(Z220*B220,0)</f>
        <v>0</v>
      </c>
      <c r="Y220" s="1309">
        <f t="shared" ref="Y220:Y283" si="65">ROUND(Z220*B220/10000,0)</f>
        <v>0</v>
      </c>
      <c r="Z220" s="1306"/>
    </row>
    <row r="221" spans="1:26">
      <c r="A221" s="74"/>
      <c r="B221" s="24"/>
      <c r="C221" s="14">
        <f t="shared" si="54"/>
        <v>1</v>
      </c>
      <c r="D221" s="706"/>
      <c r="E221" s="14">
        <f t="shared" si="55"/>
        <v>1</v>
      </c>
      <c r="F221" s="706"/>
      <c r="G221" s="14">
        <f t="shared" si="56"/>
        <v>1</v>
      </c>
      <c r="H221" s="706"/>
      <c r="I221" s="14">
        <f t="shared" si="57"/>
        <v>1</v>
      </c>
      <c r="J221" s="706"/>
      <c r="K221" s="14">
        <f t="shared" si="58"/>
        <v>1</v>
      </c>
      <c r="L221" s="706"/>
      <c r="M221" s="14">
        <f t="shared" si="59"/>
        <v>1</v>
      </c>
      <c r="N221" s="706"/>
      <c r="O221" s="14">
        <f t="shared" si="60"/>
        <v>1</v>
      </c>
      <c r="P221" s="706"/>
      <c r="Q221" s="14">
        <f t="shared" si="61"/>
        <v>1</v>
      </c>
      <c r="R221" s="702">
        <f t="shared" ref="R221:R284" si="66">IF(B221="",0,ROUND($R$27*C221*E221*G221*I221*K221*M221*O221*Q221,0))</f>
        <v>0</v>
      </c>
      <c r="S221" s="333">
        <f t="shared" ref="S221:S284" si="67">ROUND(R221*B221,0)</f>
        <v>0</v>
      </c>
      <c r="T221" s="1177">
        <f t="shared" ref="T221:T284" si="68">ROUND(R221*B221/10000,0)</f>
        <v>0</v>
      </c>
      <c r="U221" s="1309">
        <f t="shared" si="62"/>
        <v>0</v>
      </c>
      <c r="V221" s="1309">
        <f t="shared" si="63"/>
        <v>0</v>
      </c>
      <c r="W221" s="1306"/>
      <c r="X221" s="1309">
        <f t="shared" si="64"/>
        <v>0</v>
      </c>
      <c r="Y221" s="1309">
        <f t="shared" si="65"/>
        <v>0</v>
      </c>
      <c r="Z221" s="1306"/>
    </row>
    <row r="222" spans="1:26">
      <c r="A222" s="74"/>
      <c r="B222" s="24"/>
      <c r="C222" s="14">
        <f t="shared" si="54"/>
        <v>1</v>
      </c>
      <c r="D222" s="706"/>
      <c r="E222" s="14">
        <f t="shared" si="55"/>
        <v>1</v>
      </c>
      <c r="F222" s="706"/>
      <c r="G222" s="14">
        <f t="shared" si="56"/>
        <v>1</v>
      </c>
      <c r="H222" s="706"/>
      <c r="I222" s="14">
        <f t="shared" si="57"/>
        <v>1</v>
      </c>
      <c r="J222" s="706"/>
      <c r="K222" s="14">
        <f t="shared" si="58"/>
        <v>1</v>
      </c>
      <c r="L222" s="706"/>
      <c r="M222" s="14">
        <f t="shared" si="59"/>
        <v>1</v>
      </c>
      <c r="N222" s="706"/>
      <c r="O222" s="14">
        <f t="shared" si="60"/>
        <v>1</v>
      </c>
      <c r="P222" s="706"/>
      <c r="Q222" s="14">
        <f t="shared" si="61"/>
        <v>1</v>
      </c>
      <c r="R222" s="702">
        <f t="shared" si="66"/>
        <v>0</v>
      </c>
      <c r="S222" s="333">
        <f t="shared" si="67"/>
        <v>0</v>
      </c>
      <c r="T222" s="1177">
        <f t="shared" si="68"/>
        <v>0</v>
      </c>
      <c r="U222" s="1309">
        <f t="shared" si="62"/>
        <v>0</v>
      </c>
      <c r="V222" s="1309">
        <f t="shared" si="63"/>
        <v>0</v>
      </c>
      <c r="W222" s="1306"/>
      <c r="X222" s="1309">
        <f t="shared" si="64"/>
        <v>0</v>
      </c>
      <c r="Y222" s="1309">
        <f t="shared" si="65"/>
        <v>0</v>
      </c>
      <c r="Z222" s="1306"/>
    </row>
    <row r="223" spans="1:26">
      <c r="A223" s="74"/>
      <c r="B223" s="24"/>
      <c r="C223" s="14">
        <f t="shared" si="54"/>
        <v>1</v>
      </c>
      <c r="D223" s="706"/>
      <c r="E223" s="14">
        <f t="shared" si="55"/>
        <v>1</v>
      </c>
      <c r="F223" s="706"/>
      <c r="G223" s="14">
        <f t="shared" si="56"/>
        <v>1</v>
      </c>
      <c r="H223" s="706"/>
      <c r="I223" s="14">
        <f t="shared" si="57"/>
        <v>1</v>
      </c>
      <c r="J223" s="706"/>
      <c r="K223" s="14">
        <f t="shared" si="58"/>
        <v>1</v>
      </c>
      <c r="L223" s="706"/>
      <c r="M223" s="14">
        <f t="shared" si="59"/>
        <v>1</v>
      </c>
      <c r="N223" s="706"/>
      <c r="O223" s="14">
        <f t="shared" si="60"/>
        <v>1</v>
      </c>
      <c r="P223" s="706"/>
      <c r="Q223" s="14">
        <f t="shared" si="61"/>
        <v>1</v>
      </c>
      <c r="R223" s="702">
        <f t="shared" si="66"/>
        <v>0</v>
      </c>
      <c r="S223" s="333">
        <f t="shared" si="67"/>
        <v>0</v>
      </c>
      <c r="T223" s="1177">
        <f t="shared" si="68"/>
        <v>0</v>
      </c>
      <c r="U223" s="1309">
        <f t="shared" si="62"/>
        <v>0</v>
      </c>
      <c r="V223" s="1309">
        <f t="shared" si="63"/>
        <v>0</v>
      </c>
      <c r="W223" s="1306"/>
      <c r="X223" s="1309">
        <f t="shared" si="64"/>
        <v>0</v>
      </c>
      <c r="Y223" s="1309">
        <f t="shared" si="65"/>
        <v>0</v>
      </c>
      <c r="Z223" s="1306"/>
    </row>
    <row r="224" spans="1:26">
      <c r="A224" s="74"/>
      <c r="B224" s="24"/>
      <c r="C224" s="14">
        <f t="shared" si="54"/>
        <v>1</v>
      </c>
      <c r="D224" s="706"/>
      <c r="E224" s="14">
        <f t="shared" si="55"/>
        <v>1</v>
      </c>
      <c r="F224" s="706"/>
      <c r="G224" s="14">
        <f t="shared" si="56"/>
        <v>1</v>
      </c>
      <c r="H224" s="706"/>
      <c r="I224" s="14">
        <f t="shared" si="57"/>
        <v>1</v>
      </c>
      <c r="J224" s="706"/>
      <c r="K224" s="14">
        <f t="shared" si="58"/>
        <v>1</v>
      </c>
      <c r="L224" s="706"/>
      <c r="M224" s="14">
        <f t="shared" si="59"/>
        <v>1</v>
      </c>
      <c r="N224" s="706"/>
      <c r="O224" s="14">
        <f t="shared" si="60"/>
        <v>1</v>
      </c>
      <c r="P224" s="706"/>
      <c r="Q224" s="14">
        <f t="shared" si="61"/>
        <v>1</v>
      </c>
      <c r="R224" s="702">
        <f t="shared" si="66"/>
        <v>0</v>
      </c>
      <c r="S224" s="333">
        <f t="shared" si="67"/>
        <v>0</v>
      </c>
      <c r="T224" s="1177">
        <f t="shared" si="68"/>
        <v>0</v>
      </c>
      <c r="U224" s="1309">
        <f t="shared" si="62"/>
        <v>0</v>
      </c>
      <c r="V224" s="1309">
        <f t="shared" si="63"/>
        <v>0</v>
      </c>
      <c r="W224" s="1306"/>
      <c r="X224" s="1309">
        <f t="shared" si="64"/>
        <v>0</v>
      </c>
      <c r="Y224" s="1309">
        <f t="shared" si="65"/>
        <v>0</v>
      </c>
      <c r="Z224" s="1306"/>
    </row>
    <row r="225" spans="1:26">
      <c r="A225" s="74"/>
      <c r="B225" s="24"/>
      <c r="C225" s="14">
        <f t="shared" si="54"/>
        <v>1</v>
      </c>
      <c r="D225" s="706"/>
      <c r="E225" s="14">
        <f t="shared" si="55"/>
        <v>1</v>
      </c>
      <c r="F225" s="706"/>
      <c r="G225" s="14">
        <f t="shared" si="56"/>
        <v>1</v>
      </c>
      <c r="H225" s="706"/>
      <c r="I225" s="14">
        <f t="shared" si="57"/>
        <v>1</v>
      </c>
      <c r="J225" s="706"/>
      <c r="K225" s="14">
        <f t="shared" si="58"/>
        <v>1</v>
      </c>
      <c r="L225" s="706"/>
      <c r="M225" s="14">
        <f t="shared" si="59"/>
        <v>1</v>
      </c>
      <c r="N225" s="706"/>
      <c r="O225" s="14">
        <f t="shared" si="60"/>
        <v>1</v>
      </c>
      <c r="P225" s="706"/>
      <c r="Q225" s="14">
        <f t="shared" si="61"/>
        <v>1</v>
      </c>
      <c r="R225" s="702">
        <f t="shared" si="66"/>
        <v>0</v>
      </c>
      <c r="S225" s="333">
        <f t="shared" si="67"/>
        <v>0</v>
      </c>
      <c r="T225" s="1177">
        <f t="shared" si="68"/>
        <v>0</v>
      </c>
      <c r="U225" s="1309">
        <f t="shared" si="62"/>
        <v>0</v>
      </c>
      <c r="V225" s="1309">
        <f t="shared" si="63"/>
        <v>0</v>
      </c>
      <c r="W225" s="1306"/>
      <c r="X225" s="1309">
        <f t="shared" si="64"/>
        <v>0</v>
      </c>
      <c r="Y225" s="1309">
        <f t="shared" si="65"/>
        <v>0</v>
      </c>
      <c r="Z225" s="1306"/>
    </row>
    <row r="226" spans="1:26">
      <c r="A226" s="74"/>
      <c r="B226" s="24"/>
      <c r="C226" s="14">
        <f t="shared" si="54"/>
        <v>1</v>
      </c>
      <c r="D226" s="706"/>
      <c r="E226" s="14">
        <f t="shared" si="55"/>
        <v>1</v>
      </c>
      <c r="F226" s="706"/>
      <c r="G226" s="14">
        <f t="shared" si="56"/>
        <v>1</v>
      </c>
      <c r="H226" s="706"/>
      <c r="I226" s="14">
        <f t="shared" si="57"/>
        <v>1</v>
      </c>
      <c r="J226" s="706"/>
      <c r="K226" s="14">
        <f t="shared" si="58"/>
        <v>1</v>
      </c>
      <c r="L226" s="706"/>
      <c r="M226" s="14">
        <f t="shared" si="59"/>
        <v>1</v>
      </c>
      <c r="N226" s="706"/>
      <c r="O226" s="14">
        <f t="shared" si="60"/>
        <v>1</v>
      </c>
      <c r="P226" s="706"/>
      <c r="Q226" s="14">
        <f t="shared" si="61"/>
        <v>1</v>
      </c>
      <c r="R226" s="702">
        <f t="shared" si="66"/>
        <v>0</v>
      </c>
      <c r="S226" s="333">
        <f t="shared" si="67"/>
        <v>0</v>
      </c>
      <c r="T226" s="1177">
        <f t="shared" si="68"/>
        <v>0</v>
      </c>
      <c r="U226" s="1309">
        <f t="shared" si="62"/>
        <v>0</v>
      </c>
      <c r="V226" s="1309">
        <f t="shared" si="63"/>
        <v>0</v>
      </c>
      <c r="W226" s="1306"/>
      <c r="X226" s="1309">
        <f t="shared" si="64"/>
        <v>0</v>
      </c>
      <c r="Y226" s="1309">
        <f t="shared" si="65"/>
        <v>0</v>
      </c>
      <c r="Z226" s="1306"/>
    </row>
    <row r="227" spans="1:26">
      <c r="A227" s="74"/>
      <c r="B227" s="24"/>
      <c r="C227" s="14">
        <f t="shared" si="54"/>
        <v>1</v>
      </c>
      <c r="D227" s="706"/>
      <c r="E227" s="14">
        <f t="shared" si="55"/>
        <v>1</v>
      </c>
      <c r="F227" s="706"/>
      <c r="G227" s="14">
        <f t="shared" si="56"/>
        <v>1</v>
      </c>
      <c r="H227" s="706"/>
      <c r="I227" s="14">
        <f t="shared" si="57"/>
        <v>1</v>
      </c>
      <c r="J227" s="706"/>
      <c r="K227" s="14">
        <f t="shared" si="58"/>
        <v>1</v>
      </c>
      <c r="L227" s="706"/>
      <c r="M227" s="14">
        <f t="shared" si="59"/>
        <v>1</v>
      </c>
      <c r="N227" s="706"/>
      <c r="O227" s="14">
        <f t="shared" si="60"/>
        <v>1</v>
      </c>
      <c r="P227" s="706"/>
      <c r="Q227" s="14">
        <f t="shared" si="61"/>
        <v>1</v>
      </c>
      <c r="R227" s="702">
        <f t="shared" si="66"/>
        <v>0</v>
      </c>
      <c r="S227" s="333">
        <f t="shared" si="67"/>
        <v>0</v>
      </c>
      <c r="T227" s="1177">
        <f t="shared" si="68"/>
        <v>0</v>
      </c>
      <c r="U227" s="1309">
        <f t="shared" si="62"/>
        <v>0</v>
      </c>
      <c r="V227" s="1309">
        <f t="shared" si="63"/>
        <v>0</v>
      </c>
      <c r="W227" s="1306"/>
      <c r="X227" s="1309">
        <f t="shared" si="64"/>
        <v>0</v>
      </c>
      <c r="Y227" s="1309">
        <f t="shared" si="65"/>
        <v>0</v>
      </c>
      <c r="Z227" s="1306"/>
    </row>
    <row r="228" spans="1:26">
      <c r="A228" s="74"/>
      <c r="B228" s="24"/>
      <c r="C228" s="14">
        <f t="shared" si="54"/>
        <v>1</v>
      </c>
      <c r="D228" s="706"/>
      <c r="E228" s="14">
        <f t="shared" si="55"/>
        <v>1</v>
      </c>
      <c r="F228" s="706"/>
      <c r="G228" s="14">
        <f t="shared" si="56"/>
        <v>1</v>
      </c>
      <c r="H228" s="706"/>
      <c r="I228" s="14">
        <f t="shared" si="57"/>
        <v>1</v>
      </c>
      <c r="J228" s="706"/>
      <c r="K228" s="14">
        <f t="shared" si="58"/>
        <v>1</v>
      </c>
      <c r="L228" s="706"/>
      <c r="M228" s="14">
        <f t="shared" si="59"/>
        <v>1</v>
      </c>
      <c r="N228" s="706"/>
      <c r="O228" s="14">
        <f t="shared" si="60"/>
        <v>1</v>
      </c>
      <c r="P228" s="706"/>
      <c r="Q228" s="14">
        <f t="shared" si="61"/>
        <v>1</v>
      </c>
      <c r="R228" s="702">
        <f t="shared" si="66"/>
        <v>0</v>
      </c>
      <c r="S228" s="333">
        <f t="shared" si="67"/>
        <v>0</v>
      </c>
      <c r="T228" s="1177">
        <f t="shared" si="68"/>
        <v>0</v>
      </c>
      <c r="U228" s="1309">
        <f t="shared" si="62"/>
        <v>0</v>
      </c>
      <c r="V228" s="1309">
        <f t="shared" si="63"/>
        <v>0</v>
      </c>
      <c r="W228" s="1306"/>
      <c r="X228" s="1309">
        <f t="shared" si="64"/>
        <v>0</v>
      </c>
      <c r="Y228" s="1309">
        <f t="shared" si="65"/>
        <v>0</v>
      </c>
      <c r="Z228" s="1306"/>
    </row>
    <row r="229" spans="1:26">
      <c r="A229" s="74"/>
      <c r="B229" s="24"/>
      <c r="C229" s="14">
        <f t="shared" si="54"/>
        <v>1</v>
      </c>
      <c r="D229" s="706"/>
      <c r="E229" s="14">
        <f t="shared" si="55"/>
        <v>1</v>
      </c>
      <c r="F229" s="706"/>
      <c r="G229" s="14">
        <f t="shared" si="56"/>
        <v>1</v>
      </c>
      <c r="H229" s="706"/>
      <c r="I229" s="14">
        <f t="shared" si="57"/>
        <v>1</v>
      </c>
      <c r="J229" s="706"/>
      <c r="K229" s="14">
        <f t="shared" si="58"/>
        <v>1</v>
      </c>
      <c r="L229" s="706"/>
      <c r="M229" s="14">
        <f t="shared" si="59"/>
        <v>1</v>
      </c>
      <c r="N229" s="706"/>
      <c r="O229" s="14">
        <f t="shared" si="60"/>
        <v>1</v>
      </c>
      <c r="P229" s="706"/>
      <c r="Q229" s="14">
        <f t="shared" si="61"/>
        <v>1</v>
      </c>
      <c r="R229" s="702">
        <f t="shared" si="66"/>
        <v>0</v>
      </c>
      <c r="S229" s="333">
        <f t="shared" si="67"/>
        <v>0</v>
      </c>
      <c r="T229" s="1177">
        <f t="shared" si="68"/>
        <v>0</v>
      </c>
      <c r="U229" s="1309">
        <f t="shared" si="62"/>
        <v>0</v>
      </c>
      <c r="V229" s="1309">
        <f t="shared" si="63"/>
        <v>0</v>
      </c>
      <c r="W229" s="1306"/>
      <c r="X229" s="1309">
        <f t="shared" si="64"/>
        <v>0</v>
      </c>
      <c r="Y229" s="1309">
        <f t="shared" si="65"/>
        <v>0</v>
      </c>
      <c r="Z229" s="1306"/>
    </row>
    <row r="230" spans="1:26">
      <c r="A230" s="74"/>
      <c r="B230" s="24"/>
      <c r="C230" s="14">
        <f t="shared" si="54"/>
        <v>1</v>
      </c>
      <c r="D230" s="706"/>
      <c r="E230" s="14">
        <f t="shared" si="55"/>
        <v>1</v>
      </c>
      <c r="F230" s="706"/>
      <c r="G230" s="14">
        <f t="shared" si="56"/>
        <v>1</v>
      </c>
      <c r="H230" s="706"/>
      <c r="I230" s="14">
        <f t="shared" si="57"/>
        <v>1</v>
      </c>
      <c r="J230" s="706"/>
      <c r="K230" s="14">
        <f t="shared" si="58"/>
        <v>1</v>
      </c>
      <c r="L230" s="706"/>
      <c r="M230" s="14">
        <f t="shared" si="59"/>
        <v>1</v>
      </c>
      <c r="N230" s="706"/>
      <c r="O230" s="14">
        <f t="shared" si="60"/>
        <v>1</v>
      </c>
      <c r="P230" s="706"/>
      <c r="Q230" s="14">
        <f t="shared" si="61"/>
        <v>1</v>
      </c>
      <c r="R230" s="702">
        <f t="shared" si="66"/>
        <v>0</v>
      </c>
      <c r="S230" s="333">
        <f t="shared" si="67"/>
        <v>0</v>
      </c>
      <c r="T230" s="1177">
        <f t="shared" si="68"/>
        <v>0</v>
      </c>
      <c r="U230" s="1309">
        <f t="shared" si="62"/>
        <v>0</v>
      </c>
      <c r="V230" s="1309">
        <f t="shared" si="63"/>
        <v>0</v>
      </c>
      <c r="W230" s="1306"/>
      <c r="X230" s="1309">
        <f t="shared" si="64"/>
        <v>0</v>
      </c>
      <c r="Y230" s="1309">
        <f t="shared" si="65"/>
        <v>0</v>
      </c>
      <c r="Z230" s="1306"/>
    </row>
    <row r="231" spans="1:26">
      <c r="A231" s="74"/>
      <c r="B231" s="24"/>
      <c r="C231" s="14">
        <f t="shared" si="54"/>
        <v>1</v>
      </c>
      <c r="D231" s="706"/>
      <c r="E231" s="14">
        <f t="shared" si="55"/>
        <v>1</v>
      </c>
      <c r="F231" s="706"/>
      <c r="G231" s="14">
        <f t="shared" si="56"/>
        <v>1</v>
      </c>
      <c r="H231" s="706"/>
      <c r="I231" s="14">
        <f t="shared" si="57"/>
        <v>1</v>
      </c>
      <c r="J231" s="706"/>
      <c r="K231" s="14">
        <f t="shared" si="58"/>
        <v>1</v>
      </c>
      <c r="L231" s="706"/>
      <c r="M231" s="14">
        <f t="shared" si="59"/>
        <v>1</v>
      </c>
      <c r="N231" s="706"/>
      <c r="O231" s="14">
        <f t="shared" si="60"/>
        <v>1</v>
      </c>
      <c r="P231" s="706"/>
      <c r="Q231" s="14">
        <f t="shared" si="61"/>
        <v>1</v>
      </c>
      <c r="R231" s="702">
        <f t="shared" si="66"/>
        <v>0</v>
      </c>
      <c r="S231" s="333">
        <f t="shared" si="67"/>
        <v>0</v>
      </c>
      <c r="T231" s="1177">
        <f t="shared" si="68"/>
        <v>0</v>
      </c>
      <c r="U231" s="1309">
        <f t="shared" si="62"/>
        <v>0</v>
      </c>
      <c r="V231" s="1309">
        <f t="shared" si="63"/>
        <v>0</v>
      </c>
      <c r="W231" s="1306"/>
      <c r="X231" s="1309">
        <f t="shared" si="64"/>
        <v>0</v>
      </c>
      <c r="Y231" s="1309">
        <f t="shared" si="65"/>
        <v>0</v>
      </c>
      <c r="Z231" s="1306"/>
    </row>
    <row r="232" spans="1:26">
      <c r="A232" s="74"/>
      <c r="B232" s="24"/>
      <c r="C232" s="14">
        <f t="shared" si="54"/>
        <v>1</v>
      </c>
      <c r="D232" s="706"/>
      <c r="E232" s="14">
        <f t="shared" si="55"/>
        <v>1</v>
      </c>
      <c r="F232" s="706"/>
      <c r="G232" s="14">
        <f t="shared" si="56"/>
        <v>1</v>
      </c>
      <c r="H232" s="706"/>
      <c r="I232" s="14">
        <f t="shared" si="57"/>
        <v>1</v>
      </c>
      <c r="J232" s="706"/>
      <c r="K232" s="14">
        <f t="shared" si="58"/>
        <v>1</v>
      </c>
      <c r="L232" s="706"/>
      <c r="M232" s="14">
        <f t="shared" si="59"/>
        <v>1</v>
      </c>
      <c r="N232" s="706"/>
      <c r="O232" s="14">
        <f t="shared" si="60"/>
        <v>1</v>
      </c>
      <c r="P232" s="706"/>
      <c r="Q232" s="14">
        <f t="shared" si="61"/>
        <v>1</v>
      </c>
      <c r="R232" s="702">
        <f t="shared" si="66"/>
        <v>0</v>
      </c>
      <c r="S232" s="333">
        <f t="shared" si="67"/>
        <v>0</v>
      </c>
      <c r="T232" s="1177">
        <f t="shared" si="68"/>
        <v>0</v>
      </c>
      <c r="U232" s="1309">
        <f t="shared" si="62"/>
        <v>0</v>
      </c>
      <c r="V232" s="1309">
        <f t="shared" si="63"/>
        <v>0</v>
      </c>
      <c r="W232" s="1306"/>
      <c r="X232" s="1309">
        <f t="shared" si="64"/>
        <v>0</v>
      </c>
      <c r="Y232" s="1309">
        <f t="shared" si="65"/>
        <v>0</v>
      </c>
      <c r="Z232" s="1306"/>
    </row>
    <row r="233" spans="1:26">
      <c r="A233" s="74"/>
      <c r="B233" s="24"/>
      <c r="C233" s="14">
        <f t="shared" si="54"/>
        <v>1</v>
      </c>
      <c r="D233" s="706"/>
      <c r="E233" s="14">
        <f t="shared" si="55"/>
        <v>1</v>
      </c>
      <c r="F233" s="706"/>
      <c r="G233" s="14">
        <f t="shared" si="56"/>
        <v>1</v>
      </c>
      <c r="H233" s="706"/>
      <c r="I233" s="14">
        <f t="shared" si="57"/>
        <v>1</v>
      </c>
      <c r="J233" s="706"/>
      <c r="K233" s="14">
        <f t="shared" si="58"/>
        <v>1</v>
      </c>
      <c r="L233" s="706"/>
      <c r="M233" s="14">
        <f t="shared" si="59"/>
        <v>1</v>
      </c>
      <c r="N233" s="706"/>
      <c r="O233" s="14">
        <f t="shared" si="60"/>
        <v>1</v>
      </c>
      <c r="P233" s="706"/>
      <c r="Q233" s="14">
        <f t="shared" si="61"/>
        <v>1</v>
      </c>
      <c r="R233" s="702">
        <f t="shared" si="66"/>
        <v>0</v>
      </c>
      <c r="S233" s="333">
        <f t="shared" si="67"/>
        <v>0</v>
      </c>
      <c r="T233" s="1177">
        <f t="shared" si="68"/>
        <v>0</v>
      </c>
      <c r="U233" s="1309">
        <f t="shared" si="62"/>
        <v>0</v>
      </c>
      <c r="V233" s="1309">
        <f t="shared" si="63"/>
        <v>0</v>
      </c>
      <c r="W233" s="1306"/>
      <c r="X233" s="1309">
        <f t="shared" si="64"/>
        <v>0</v>
      </c>
      <c r="Y233" s="1309">
        <f t="shared" si="65"/>
        <v>0</v>
      </c>
      <c r="Z233" s="1306"/>
    </row>
    <row r="234" spans="1:26">
      <c r="A234" s="74"/>
      <c r="B234" s="24"/>
      <c r="C234" s="14">
        <f t="shared" si="54"/>
        <v>1</v>
      </c>
      <c r="D234" s="706"/>
      <c r="E234" s="14">
        <f t="shared" si="55"/>
        <v>1</v>
      </c>
      <c r="F234" s="706"/>
      <c r="G234" s="14">
        <f t="shared" si="56"/>
        <v>1</v>
      </c>
      <c r="H234" s="706"/>
      <c r="I234" s="14">
        <f t="shared" si="57"/>
        <v>1</v>
      </c>
      <c r="J234" s="706"/>
      <c r="K234" s="14">
        <f t="shared" si="58"/>
        <v>1</v>
      </c>
      <c r="L234" s="706"/>
      <c r="M234" s="14">
        <f t="shared" si="59"/>
        <v>1</v>
      </c>
      <c r="N234" s="706"/>
      <c r="O234" s="14">
        <f t="shared" si="60"/>
        <v>1</v>
      </c>
      <c r="P234" s="706"/>
      <c r="Q234" s="14">
        <f t="shared" si="61"/>
        <v>1</v>
      </c>
      <c r="R234" s="702">
        <f t="shared" si="66"/>
        <v>0</v>
      </c>
      <c r="S234" s="333">
        <f t="shared" si="67"/>
        <v>0</v>
      </c>
      <c r="T234" s="1177">
        <f t="shared" si="68"/>
        <v>0</v>
      </c>
      <c r="U234" s="1309">
        <f t="shared" si="62"/>
        <v>0</v>
      </c>
      <c r="V234" s="1309">
        <f t="shared" si="63"/>
        <v>0</v>
      </c>
      <c r="W234" s="1306"/>
      <c r="X234" s="1309">
        <f t="shared" si="64"/>
        <v>0</v>
      </c>
      <c r="Y234" s="1309">
        <f t="shared" si="65"/>
        <v>0</v>
      </c>
      <c r="Z234" s="1306"/>
    </row>
    <row r="235" spans="1:26">
      <c r="A235" s="74"/>
      <c r="B235" s="24"/>
      <c r="C235" s="14">
        <f t="shared" si="54"/>
        <v>1</v>
      </c>
      <c r="D235" s="706"/>
      <c r="E235" s="14">
        <f t="shared" si="55"/>
        <v>1</v>
      </c>
      <c r="F235" s="706"/>
      <c r="G235" s="14">
        <f t="shared" si="56"/>
        <v>1</v>
      </c>
      <c r="H235" s="706"/>
      <c r="I235" s="14">
        <f t="shared" si="57"/>
        <v>1</v>
      </c>
      <c r="J235" s="706"/>
      <c r="K235" s="14">
        <f t="shared" si="58"/>
        <v>1</v>
      </c>
      <c r="L235" s="706"/>
      <c r="M235" s="14">
        <f t="shared" si="59"/>
        <v>1</v>
      </c>
      <c r="N235" s="706"/>
      <c r="O235" s="14">
        <f t="shared" si="60"/>
        <v>1</v>
      </c>
      <c r="P235" s="706"/>
      <c r="Q235" s="14">
        <f t="shared" si="61"/>
        <v>1</v>
      </c>
      <c r="R235" s="702">
        <f t="shared" si="66"/>
        <v>0</v>
      </c>
      <c r="S235" s="333">
        <f t="shared" si="67"/>
        <v>0</v>
      </c>
      <c r="T235" s="1177">
        <f t="shared" si="68"/>
        <v>0</v>
      </c>
      <c r="U235" s="1309">
        <f t="shared" si="62"/>
        <v>0</v>
      </c>
      <c r="V235" s="1309">
        <f t="shared" si="63"/>
        <v>0</v>
      </c>
      <c r="W235" s="1306"/>
      <c r="X235" s="1309">
        <f t="shared" si="64"/>
        <v>0</v>
      </c>
      <c r="Y235" s="1309">
        <f t="shared" si="65"/>
        <v>0</v>
      </c>
      <c r="Z235" s="1306"/>
    </row>
    <row r="236" spans="1:26">
      <c r="A236" s="74"/>
      <c r="B236" s="24"/>
      <c r="C236" s="14">
        <f t="shared" si="54"/>
        <v>1</v>
      </c>
      <c r="D236" s="706"/>
      <c r="E236" s="14">
        <f t="shared" si="55"/>
        <v>1</v>
      </c>
      <c r="F236" s="706"/>
      <c r="G236" s="14">
        <f t="shared" si="56"/>
        <v>1</v>
      </c>
      <c r="H236" s="706"/>
      <c r="I236" s="14">
        <f t="shared" si="57"/>
        <v>1</v>
      </c>
      <c r="J236" s="706"/>
      <c r="K236" s="14">
        <f t="shared" si="58"/>
        <v>1</v>
      </c>
      <c r="L236" s="706"/>
      <c r="M236" s="14">
        <f t="shared" si="59"/>
        <v>1</v>
      </c>
      <c r="N236" s="706"/>
      <c r="O236" s="14">
        <f t="shared" si="60"/>
        <v>1</v>
      </c>
      <c r="P236" s="706"/>
      <c r="Q236" s="14">
        <f t="shared" si="61"/>
        <v>1</v>
      </c>
      <c r="R236" s="702">
        <f t="shared" si="66"/>
        <v>0</v>
      </c>
      <c r="S236" s="333">
        <f t="shared" si="67"/>
        <v>0</v>
      </c>
      <c r="T236" s="1177">
        <f t="shared" si="68"/>
        <v>0</v>
      </c>
      <c r="U236" s="1309">
        <f t="shared" si="62"/>
        <v>0</v>
      </c>
      <c r="V236" s="1309">
        <f t="shared" si="63"/>
        <v>0</v>
      </c>
      <c r="W236" s="1306"/>
      <c r="X236" s="1309">
        <f t="shared" si="64"/>
        <v>0</v>
      </c>
      <c r="Y236" s="1309">
        <f t="shared" si="65"/>
        <v>0</v>
      </c>
      <c r="Z236" s="1306"/>
    </row>
    <row r="237" spans="1:26">
      <c r="A237" s="74"/>
      <c r="B237" s="24"/>
      <c r="C237" s="14">
        <f t="shared" si="54"/>
        <v>1</v>
      </c>
      <c r="D237" s="706"/>
      <c r="E237" s="14">
        <f t="shared" si="55"/>
        <v>1</v>
      </c>
      <c r="F237" s="706"/>
      <c r="G237" s="14">
        <f t="shared" si="56"/>
        <v>1</v>
      </c>
      <c r="H237" s="706"/>
      <c r="I237" s="14">
        <f t="shared" si="57"/>
        <v>1</v>
      </c>
      <c r="J237" s="706"/>
      <c r="K237" s="14">
        <f t="shared" si="58"/>
        <v>1</v>
      </c>
      <c r="L237" s="706"/>
      <c r="M237" s="14">
        <f t="shared" si="59"/>
        <v>1</v>
      </c>
      <c r="N237" s="706"/>
      <c r="O237" s="14">
        <f t="shared" si="60"/>
        <v>1</v>
      </c>
      <c r="P237" s="706"/>
      <c r="Q237" s="14">
        <f t="shared" si="61"/>
        <v>1</v>
      </c>
      <c r="R237" s="702">
        <f t="shared" si="66"/>
        <v>0</v>
      </c>
      <c r="S237" s="333">
        <f t="shared" si="67"/>
        <v>0</v>
      </c>
      <c r="T237" s="1177">
        <f t="shared" si="68"/>
        <v>0</v>
      </c>
      <c r="U237" s="1309">
        <f t="shared" si="62"/>
        <v>0</v>
      </c>
      <c r="V237" s="1309">
        <f t="shared" si="63"/>
        <v>0</v>
      </c>
      <c r="W237" s="1306"/>
      <c r="X237" s="1309">
        <f t="shared" si="64"/>
        <v>0</v>
      </c>
      <c r="Y237" s="1309">
        <f t="shared" si="65"/>
        <v>0</v>
      </c>
      <c r="Z237" s="1306"/>
    </row>
    <row r="238" spans="1:26">
      <c r="A238" s="74"/>
      <c r="B238" s="24"/>
      <c r="C238" s="14">
        <f t="shared" si="54"/>
        <v>1</v>
      </c>
      <c r="D238" s="706"/>
      <c r="E238" s="14">
        <f t="shared" si="55"/>
        <v>1</v>
      </c>
      <c r="F238" s="706"/>
      <c r="G238" s="14">
        <f t="shared" si="56"/>
        <v>1</v>
      </c>
      <c r="H238" s="706"/>
      <c r="I238" s="14">
        <f t="shared" si="57"/>
        <v>1</v>
      </c>
      <c r="J238" s="706"/>
      <c r="K238" s="14">
        <f t="shared" si="58"/>
        <v>1</v>
      </c>
      <c r="L238" s="706"/>
      <c r="M238" s="14">
        <f t="shared" si="59"/>
        <v>1</v>
      </c>
      <c r="N238" s="706"/>
      <c r="O238" s="14">
        <f t="shared" si="60"/>
        <v>1</v>
      </c>
      <c r="P238" s="706"/>
      <c r="Q238" s="14">
        <f t="shared" si="61"/>
        <v>1</v>
      </c>
      <c r="R238" s="702">
        <f t="shared" si="66"/>
        <v>0</v>
      </c>
      <c r="S238" s="333">
        <f t="shared" si="67"/>
        <v>0</v>
      </c>
      <c r="T238" s="1177">
        <f t="shared" si="68"/>
        <v>0</v>
      </c>
      <c r="U238" s="1309">
        <f t="shared" si="62"/>
        <v>0</v>
      </c>
      <c r="V238" s="1309">
        <f t="shared" si="63"/>
        <v>0</v>
      </c>
      <c r="W238" s="1306"/>
      <c r="X238" s="1309">
        <f t="shared" si="64"/>
        <v>0</v>
      </c>
      <c r="Y238" s="1309">
        <f t="shared" si="65"/>
        <v>0</v>
      </c>
      <c r="Z238" s="1306"/>
    </row>
    <row r="239" spans="1:26">
      <c r="A239" s="74"/>
      <c r="B239" s="24"/>
      <c r="C239" s="14">
        <f t="shared" si="54"/>
        <v>1</v>
      </c>
      <c r="D239" s="706"/>
      <c r="E239" s="14">
        <f t="shared" si="55"/>
        <v>1</v>
      </c>
      <c r="F239" s="706"/>
      <c r="G239" s="14">
        <f t="shared" si="56"/>
        <v>1</v>
      </c>
      <c r="H239" s="706"/>
      <c r="I239" s="14">
        <f t="shared" si="57"/>
        <v>1</v>
      </c>
      <c r="J239" s="706"/>
      <c r="K239" s="14">
        <f t="shared" si="58"/>
        <v>1</v>
      </c>
      <c r="L239" s="706"/>
      <c r="M239" s="14">
        <f t="shared" si="59"/>
        <v>1</v>
      </c>
      <c r="N239" s="706"/>
      <c r="O239" s="14">
        <f t="shared" si="60"/>
        <v>1</v>
      </c>
      <c r="P239" s="706"/>
      <c r="Q239" s="14">
        <f t="shared" si="61"/>
        <v>1</v>
      </c>
      <c r="R239" s="702">
        <f t="shared" si="66"/>
        <v>0</v>
      </c>
      <c r="S239" s="333">
        <f t="shared" si="67"/>
        <v>0</v>
      </c>
      <c r="T239" s="1177">
        <f t="shared" si="68"/>
        <v>0</v>
      </c>
      <c r="U239" s="1309">
        <f t="shared" si="62"/>
        <v>0</v>
      </c>
      <c r="V239" s="1309">
        <f t="shared" si="63"/>
        <v>0</v>
      </c>
      <c r="W239" s="1306"/>
      <c r="X239" s="1309">
        <f t="shared" si="64"/>
        <v>0</v>
      </c>
      <c r="Y239" s="1309">
        <f t="shared" si="65"/>
        <v>0</v>
      </c>
      <c r="Z239" s="1306"/>
    </row>
    <row r="240" spans="1:26">
      <c r="A240" s="74"/>
      <c r="B240" s="24"/>
      <c r="C240" s="14">
        <f t="shared" si="54"/>
        <v>1</v>
      </c>
      <c r="D240" s="706"/>
      <c r="E240" s="14">
        <f t="shared" si="55"/>
        <v>1</v>
      </c>
      <c r="F240" s="706"/>
      <c r="G240" s="14">
        <f t="shared" si="56"/>
        <v>1</v>
      </c>
      <c r="H240" s="706"/>
      <c r="I240" s="14">
        <f t="shared" si="57"/>
        <v>1</v>
      </c>
      <c r="J240" s="706"/>
      <c r="K240" s="14">
        <f t="shared" si="58"/>
        <v>1</v>
      </c>
      <c r="L240" s="706"/>
      <c r="M240" s="14">
        <f t="shared" si="59"/>
        <v>1</v>
      </c>
      <c r="N240" s="706"/>
      <c r="O240" s="14">
        <f t="shared" si="60"/>
        <v>1</v>
      </c>
      <c r="P240" s="706"/>
      <c r="Q240" s="14">
        <f t="shared" si="61"/>
        <v>1</v>
      </c>
      <c r="R240" s="702">
        <f t="shared" si="66"/>
        <v>0</v>
      </c>
      <c r="S240" s="333">
        <f t="shared" si="67"/>
        <v>0</v>
      </c>
      <c r="T240" s="1177">
        <f t="shared" si="68"/>
        <v>0</v>
      </c>
      <c r="U240" s="1309">
        <f t="shared" si="62"/>
        <v>0</v>
      </c>
      <c r="V240" s="1309">
        <f t="shared" si="63"/>
        <v>0</v>
      </c>
      <c r="W240" s="1306"/>
      <c r="X240" s="1309">
        <f t="shared" si="64"/>
        <v>0</v>
      </c>
      <c r="Y240" s="1309">
        <f t="shared" si="65"/>
        <v>0</v>
      </c>
      <c r="Z240" s="1306"/>
    </row>
    <row r="241" spans="1:26">
      <c r="A241" s="74"/>
      <c r="B241" s="24"/>
      <c r="C241" s="14">
        <f t="shared" si="54"/>
        <v>1</v>
      </c>
      <c r="D241" s="706"/>
      <c r="E241" s="14">
        <f t="shared" si="55"/>
        <v>1</v>
      </c>
      <c r="F241" s="706"/>
      <c r="G241" s="14">
        <f t="shared" si="56"/>
        <v>1</v>
      </c>
      <c r="H241" s="706"/>
      <c r="I241" s="14">
        <f t="shared" si="57"/>
        <v>1</v>
      </c>
      <c r="J241" s="706"/>
      <c r="K241" s="14">
        <f t="shared" si="58"/>
        <v>1</v>
      </c>
      <c r="L241" s="706"/>
      <c r="M241" s="14">
        <f t="shared" si="59"/>
        <v>1</v>
      </c>
      <c r="N241" s="706"/>
      <c r="O241" s="14">
        <f t="shared" si="60"/>
        <v>1</v>
      </c>
      <c r="P241" s="706"/>
      <c r="Q241" s="14">
        <f t="shared" si="61"/>
        <v>1</v>
      </c>
      <c r="R241" s="702">
        <f t="shared" si="66"/>
        <v>0</v>
      </c>
      <c r="S241" s="333">
        <f t="shared" si="67"/>
        <v>0</v>
      </c>
      <c r="T241" s="1177">
        <f t="shared" si="68"/>
        <v>0</v>
      </c>
      <c r="U241" s="1309">
        <f t="shared" si="62"/>
        <v>0</v>
      </c>
      <c r="V241" s="1309">
        <f t="shared" si="63"/>
        <v>0</v>
      </c>
      <c r="W241" s="1306"/>
      <c r="X241" s="1309">
        <f t="shared" si="64"/>
        <v>0</v>
      </c>
      <c r="Y241" s="1309">
        <f t="shared" si="65"/>
        <v>0</v>
      </c>
      <c r="Z241" s="1306"/>
    </row>
    <row r="242" spans="1:26">
      <c r="A242" s="74"/>
      <c r="B242" s="24"/>
      <c r="C242" s="14">
        <f t="shared" si="54"/>
        <v>1</v>
      </c>
      <c r="D242" s="706"/>
      <c r="E242" s="14">
        <f t="shared" si="55"/>
        <v>1</v>
      </c>
      <c r="F242" s="706"/>
      <c r="G242" s="14">
        <f t="shared" si="56"/>
        <v>1</v>
      </c>
      <c r="H242" s="706"/>
      <c r="I242" s="14">
        <f t="shared" si="57"/>
        <v>1</v>
      </c>
      <c r="J242" s="706"/>
      <c r="K242" s="14">
        <f t="shared" si="58"/>
        <v>1</v>
      </c>
      <c r="L242" s="706"/>
      <c r="M242" s="14">
        <f t="shared" si="59"/>
        <v>1</v>
      </c>
      <c r="N242" s="706"/>
      <c r="O242" s="14">
        <f t="shared" si="60"/>
        <v>1</v>
      </c>
      <c r="P242" s="706"/>
      <c r="Q242" s="14">
        <f t="shared" si="61"/>
        <v>1</v>
      </c>
      <c r="R242" s="702">
        <f t="shared" si="66"/>
        <v>0</v>
      </c>
      <c r="S242" s="333">
        <f t="shared" si="67"/>
        <v>0</v>
      </c>
      <c r="T242" s="1177">
        <f t="shared" si="68"/>
        <v>0</v>
      </c>
      <c r="U242" s="1309">
        <f t="shared" si="62"/>
        <v>0</v>
      </c>
      <c r="V242" s="1309">
        <f t="shared" si="63"/>
        <v>0</v>
      </c>
      <c r="W242" s="1306"/>
      <c r="X242" s="1309">
        <f t="shared" si="64"/>
        <v>0</v>
      </c>
      <c r="Y242" s="1309">
        <f t="shared" si="65"/>
        <v>0</v>
      </c>
      <c r="Z242" s="1306"/>
    </row>
    <row r="243" spans="1:26">
      <c r="A243" s="74"/>
      <c r="B243" s="24"/>
      <c r="C243" s="14">
        <f t="shared" si="54"/>
        <v>1</v>
      </c>
      <c r="D243" s="706"/>
      <c r="E243" s="14">
        <f t="shared" si="55"/>
        <v>1</v>
      </c>
      <c r="F243" s="706"/>
      <c r="G243" s="14">
        <f t="shared" si="56"/>
        <v>1</v>
      </c>
      <c r="H243" s="706"/>
      <c r="I243" s="14">
        <f t="shared" si="57"/>
        <v>1</v>
      </c>
      <c r="J243" s="706"/>
      <c r="K243" s="14">
        <f t="shared" si="58"/>
        <v>1</v>
      </c>
      <c r="L243" s="706"/>
      <c r="M243" s="14">
        <f t="shared" si="59"/>
        <v>1</v>
      </c>
      <c r="N243" s="706"/>
      <c r="O243" s="14">
        <f t="shared" si="60"/>
        <v>1</v>
      </c>
      <c r="P243" s="706"/>
      <c r="Q243" s="14">
        <f t="shared" si="61"/>
        <v>1</v>
      </c>
      <c r="R243" s="702">
        <f t="shared" si="66"/>
        <v>0</v>
      </c>
      <c r="S243" s="333">
        <f t="shared" si="67"/>
        <v>0</v>
      </c>
      <c r="T243" s="1177">
        <f t="shared" si="68"/>
        <v>0</v>
      </c>
      <c r="U243" s="1309">
        <f t="shared" si="62"/>
        <v>0</v>
      </c>
      <c r="V243" s="1309">
        <f t="shared" si="63"/>
        <v>0</v>
      </c>
      <c r="W243" s="1306"/>
      <c r="X243" s="1309">
        <f t="shared" si="64"/>
        <v>0</v>
      </c>
      <c r="Y243" s="1309">
        <f t="shared" si="65"/>
        <v>0</v>
      </c>
      <c r="Z243" s="1306"/>
    </row>
    <row r="244" spans="1:26">
      <c r="A244" s="74"/>
      <c r="B244" s="24"/>
      <c r="C244" s="14">
        <f t="shared" si="54"/>
        <v>1</v>
      </c>
      <c r="D244" s="706"/>
      <c r="E244" s="14">
        <f t="shared" si="55"/>
        <v>1</v>
      </c>
      <c r="F244" s="706"/>
      <c r="G244" s="14">
        <f t="shared" si="56"/>
        <v>1</v>
      </c>
      <c r="H244" s="706"/>
      <c r="I244" s="14">
        <f t="shared" si="57"/>
        <v>1</v>
      </c>
      <c r="J244" s="706"/>
      <c r="K244" s="14">
        <f t="shared" si="58"/>
        <v>1</v>
      </c>
      <c r="L244" s="706"/>
      <c r="M244" s="14">
        <f t="shared" si="59"/>
        <v>1</v>
      </c>
      <c r="N244" s="706"/>
      <c r="O244" s="14">
        <f t="shared" si="60"/>
        <v>1</v>
      </c>
      <c r="P244" s="706"/>
      <c r="Q244" s="14">
        <f t="shared" si="61"/>
        <v>1</v>
      </c>
      <c r="R244" s="702">
        <f t="shared" si="66"/>
        <v>0</v>
      </c>
      <c r="S244" s="333">
        <f t="shared" si="67"/>
        <v>0</v>
      </c>
      <c r="T244" s="1177">
        <f t="shared" si="68"/>
        <v>0</v>
      </c>
      <c r="U244" s="1309">
        <f t="shared" si="62"/>
        <v>0</v>
      </c>
      <c r="V244" s="1309">
        <f t="shared" si="63"/>
        <v>0</v>
      </c>
      <c r="W244" s="1306"/>
      <c r="X244" s="1309">
        <f t="shared" si="64"/>
        <v>0</v>
      </c>
      <c r="Y244" s="1309">
        <f t="shared" si="65"/>
        <v>0</v>
      </c>
      <c r="Z244" s="1306"/>
    </row>
    <row r="245" spans="1:26">
      <c r="A245" s="74"/>
      <c r="B245" s="24"/>
      <c r="C245" s="14">
        <f t="shared" si="54"/>
        <v>1</v>
      </c>
      <c r="D245" s="706"/>
      <c r="E245" s="14">
        <f t="shared" si="55"/>
        <v>1</v>
      </c>
      <c r="F245" s="706"/>
      <c r="G245" s="14">
        <f t="shared" si="56"/>
        <v>1</v>
      </c>
      <c r="H245" s="706"/>
      <c r="I245" s="14">
        <f t="shared" si="57"/>
        <v>1</v>
      </c>
      <c r="J245" s="706"/>
      <c r="K245" s="14">
        <f t="shared" si="58"/>
        <v>1</v>
      </c>
      <c r="L245" s="706"/>
      <c r="M245" s="14">
        <f t="shared" si="59"/>
        <v>1</v>
      </c>
      <c r="N245" s="706"/>
      <c r="O245" s="14">
        <f t="shared" si="60"/>
        <v>1</v>
      </c>
      <c r="P245" s="706"/>
      <c r="Q245" s="14">
        <f t="shared" si="61"/>
        <v>1</v>
      </c>
      <c r="R245" s="702">
        <f t="shared" si="66"/>
        <v>0</v>
      </c>
      <c r="S245" s="333">
        <f t="shared" si="67"/>
        <v>0</v>
      </c>
      <c r="T245" s="1177">
        <f t="shared" si="68"/>
        <v>0</v>
      </c>
      <c r="U245" s="1309">
        <f t="shared" si="62"/>
        <v>0</v>
      </c>
      <c r="V245" s="1309">
        <f t="shared" si="63"/>
        <v>0</v>
      </c>
      <c r="W245" s="1306"/>
      <c r="X245" s="1309">
        <f t="shared" si="64"/>
        <v>0</v>
      </c>
      <c r="Y245" s="1309">
        <f t="shared" si="65"/>
        <v>0</v>
      </c>
      <c r="Z245" s="1306"/>
    </row>
    <row r="246" spans="1:26">
      <c r="A246" s="74"/>
      <c r="B246" s="24"/>
      <c r="C246" s="14">
        <f t="shared" si="54"/>
        <v>1</v>
      </c>
      <c r="D246" s="706"/>
      <c r="E246" s="14">
        <f t="shared" si="55"/>
        <v>1</v>
      </c>
      <c r="F246" s="706"/>
      <c r="G246" s="14">
        <f t="shared" si="56"/>
        <v>1</v>
      </c>
      <c r="H246" s="706"/>
      <c r="I246" s="14">
        <f t="shared" si="57"/>
        <v>1</v>
      </c>
      <c r="J246" s="706"/>
      <c r="K246" s="14">
        <f t="shared" si="58"/>
        <v>1</v>
      </c>
      <c r="L246" s="706"/>
      <c r="M246" s="14">
        <f t="shared" si="59"/>
        <v>1</v>
      </c>
      <c r="N246" s="706"/>
      <c r="O246" s="14">
        <f t="shared" si="60"/>
        <v>1</v>
      </c>
      <c r="P246" s="706"/>
      <c r="Q246" s="14">
        <f t="shared" si="61"/>
        <v>1</v>
      </c>
      <c r="R246" s="702">
        <f t="shared" si="66"/>
        <v>0</v>
      </c>
      <c r="S246" s="333">
        <f t="shared" si="67"/>
        <v>0</v>
      </c>
      <c r="T246" s="1177">
        <f t="shared" si="68"/>
        <v>0</v>
      </c>
      <c r="U246" s="1309">
        <f t="shared" si="62"/>
        <v>0</v>
      </c>
      <c r="V246" s="1309">
        <f t="shared" si="63"/>
        <v>0</v>
      </c>
      <c r="W246" s="1306"/>
      <c r="X246" s="1309">
        <f t="shared" si="64"/>
        <v>0</v>
      </c>
      <c r="Y246" s="1309">
        <f t="shared" si="65"/>
        <v>0</v>
      </c>
      <c r="Z246" s="1306"/>
    </row>
    <row r="247" spans="1:26">
      <c r="A247" s="74"/>
      <c r="B247" s="24"/>
      <c r="C247" s="14">
        <f t="shared" si="54"/>
        <v>1</v>
      </c>
      <c r="D247" s="706"/>
      <c r="E247" s="14">
        <f t="shared" si="55"/>
        <v>1</v>
      </c>
      <c r="F247" s="706"/>
      <c r="G247" s="14">
        <f t="shared" si="56"/>
        <v>1</v>
      </c>
      <c r="H247" s="706"/>
      <c r="I247" s="14">
        <f t="shared" si="57"/>
        <v>1</v>
      </c>
      <c r="J247" s="706"/>
      <c r="K247" s="14">
        <f t="shared" si="58"/>
        <v>1</v>
      </c>
      <c r="L247" s="706"/>
      <c r="M247" s="14">
        <f t="shared" si="59"/>
        <v>1</v>
      </c>
      <c r="N247" s="706"/>
      <c r="O247" s="14">
        <f t="shared" si="60"/>
        <v>1</v>
      </c>
      <c r="P247" s="706"/>
      <c r="Q247" s="14">
        <f t="shared" si="61"/>
        <v>1</v>
      </c>
      <c r="R247" s="702">
        <f t="shared" si="66"/>
        <v>0</v>
      </c>
      <c r="S247" s="333">
        <f t="shared" si="67"/>
        <v>0</v>
      </c>
      <c r="T247" s="1177">
        <f t="shared" si="68"/>
        <v>0</v>
      </c>
      <c r="U247" s="1309">
        <f t="shared" si="62"/>
        <v>0</v>
      </c>
      <c r="V247" s="1309">
        <f t="shared" si="63"/>
        <v>0</v>
      </c>
      <c r="W247" s="1306"/>
      <c r="X247" s="1309">
        <f t="shared" si="64"/>
        <v>0</v>
      </c>
      <c r="Y247" s="1309">
        <f t="shared" si="65"/>
        <v>0</v>
      </c>
      <c r="Z247" s="1306"/>
    </row>
    <row r="248" spans="1:26">
      <c r="A248" s="74"/>
      <c r="B248" s="24"/>
      <c r="C248" s="14">
        <f t="shared" si="54"/>
        <v>1</v>
      </c>
      <c r="D248" s="706"/>
      <c r="E248" s="14">
        <f t="shared" si="55"/>
        <v>1</v>
      </c>
      <c r="F248" s="706"/>
      <c r="G248" s="14">
        <f t="shared" si="56"/>
        <v>1</v>
      </c>
      <c r="H248" s="706"/>
      <c r="I248" s="14">
        <f t="shared" si="57"/>
        <v>1</v>
      </c>
      <c r="J248" s="706"/>
      <c r="K248" s="14">
        <f t="shared" si="58"/>
        <v>1</v>
      </c>
      <c r="L248" s="706"/>
      <c r="M248" s="14">
        <f t="shared" si="59"/>
        <v>1</v>
      </c>
      <c r="N248" s="706"/>
      <c r="O248" s="14">
        <f t="shared" si="60"/>
        <v>1</v>
      </c>
      <c r="P248" s="706"/>
      <c r="Q248" s="14">
        <f t="shared" si="61"/>
        <v>1</v>
      </c>
      <c r="R248" s="702">
        <f t="shared" si="66"/>
        <v>0</v>
      </c>
      <c r="S248" s="333">
        <f t="shared" si="67"/>
        <v>0</v>
      </c>
      <c r="T248" s="1177">
        <f t="shared" si="68"/>
        <v>0</v>
      </c>
      <c r="U248" s="1309">
        <f t="shared" si="62"/>
        <v>0</v>
      </c>
      <c r="V248" s="1309">
        <f t="shared" si="63"/>
        <v>0</v>
      </c>
      <c r="W248" s="1306"/>
      <c r="X248" s="1309">
        <f t="shared" si="64"/>
        <v>0</v>
      </c>
      <c r="Y248" s="1309">
        <f t="shared" si="65"/>
        <v>0</v>
      </c>
      <c r="Z248" s="1306"/>
    </row>
    <row r="249" spans="1:26">
      <c r="A249" s="74"/>
      <c r="B249" s="24"/>
      <c r="C249" s="14">
        <f t="shared" si="54"/>
        <v>1</v>
      </c>
      <c r="D249" s="706"/>
      <c r="E249" s="14">
        <f t="shared" si="55"/>
        <v>1</v>
      </c>
      <c r="F249" s="706"/>
      <c r="G249" s="14">
        <f t="shared" si="56"/>
        <v>1</v>
      </c>
      <c r="H249" s="706"/>
      <c r="I249" s="14">
        <f t="shared" si="57"/>
        <v>1</v>
      </c>
      <c r="J249" s="706"/>
      <c r="K249" s="14">
        <f t="shared" si="58"/>
        <v>1</v>
      </c>
      <c r="L249" s="706"/>
      <c r="M249" s="14">
        <f t="shared" si="59"/>
        <v>1</v>
      </c>
      <c r="N249" s="706"/>
      <c r="O249" s="14">
        <f t="shared" si="60"/>
        <v>1</v>
      </c>
      <c r="P249" s="706"/>
      <c r="Q249" s="14">
        <f t="shared" si="61"/>
        <v>1</v>
      </c>
      <c r="R249" s="702">
        <f t="shared" si="66"/>
        <v>0</v>
      </c>
      <c r="S249" s="333">
        <f t="shared" si="67"/>
        <v>0</v>
      </c>
      <c r="T249" s="1177">
        <f t="shared" si="68"/>
        <v>0</v>
      </c>
      <c r="U249" s="1309">
        <f t="shared" si="62"/>
        <v>0</v>
      </c>
      <c r="V249" s="1309">
        <f t="shared" si="63"/>
        <v>0</v>
      </c>
      <c r="W249" s="1306"/>
      <c r="X249" s="1309">
        <f t="shared" si="64"/>
        <v>0</v>
      </c>
      <c r="Y249" s="1309">
        <f t="shared" si="65"/>
        <v>0</v>
      </c>
      <c r="Z249" s="1306"/>
    </row>
    <row r="250" spans="1:26">
      <c r="A250" s="74"/>
      <c r="B250" s="24"/>
      <c r="C250" s="14">
        <f t="shared" si="54"/>
        <v>1</v>
      </c>
      <c r="D250" s="706"/>
      <c r="E250" s="14">
        <f t="shared" si="55"/>
        <v>1</v>
      </c>
      <c r="F250" s="706"/>
      <c r="G250" s="14">
        <f t="shared" si="56"/>
        <v>1</v>
      </c>
      <c r="H250" s="706"/>
      <c r="I250" s="14">
        <f t="shared" si="57"/>
        <v>1</v>
      </c>
      <c r="J250" s="706"/>
      <c r="K250" s="14">
        <f t="shared" si="58"/>
        <v>1</v>
      </c>
      <c r="L250" s="706"/>
      <c r="M250" s="14">
        <f t="shared" si="59"/>
        <v>1</v>
      </c>
      <c r="N250" s="706"/>
      <c r="O250" s="14">
        <f t="shared" si="60"/>
        <v>1</v>
      </c>
      <c r="P250" s="706"/>
      <c r="Q250" s="14">
        <f t="shared" si="61"/>
        <v>1</v>
      </c>
      <c r="R250" s="702">
        <f t="shared" si="66"/>
        <v>0</v>
      </c>
      <c r="S250" s="333">
        <f t="shared" si="67"/>
        <v>0</v>
      </c>
      <c r="T250" s="1177">
        <f t="shared" si="68"/>
        <v>0</v>
      </c>
      <c r="U250" s="1309">
        <f t="shared" si="62"/>
        <v>0</v>
      </c>
      <c r="V250" s="1309">
        <f t="shared" si="63"/>
        <v>0</v>
      </c>
      <c r="W250" s="1306"/>
      <c r="X250" s="1309">
        <f t="shared" si="64"/>
        <v>0</v>
      </c>
      <c r="Y250" s="1309">
        <f t="shared" si="65"/>
        <v>0</v>
      </c>
      <c r="Z250" s="1306"/>
    </row>
    <row r="251" spans="1:26">
      <c r="A251" s="74"/>
      <c r="B251" s="24"/>
      <c r="C251" s="14">
        <f t="shared" si="54"/>
        <v>1</v>
      </c>
      <c r="D251" s="706"/>
      <c r="E251" s="14">
        <f t="shared" si="55"/>
        <v>1</v>
      </c>
      <c r="F251" s="706"/>
      <c r="G251" s="14">
        <f t="shared" si="56"/>
        <v>1</v>
      </c>
      <c r="H251" s="706"/>
      <c r="I251" s="14">
        <f t="shared" si="57"/>
        <v>1</v>
      </c>
      <c r="J251" s="706"/>
      <c r="K251" s="14">
        <f t="shared" si="58"/>
        <v>1</v>
      </c>
      <c r="L251" s="706"/>
      <c r="M251" s="14">
        <f t="shared" si="59"/>
        <v>1</v>
      </c>
      <c r="N251" s="706"/>
      <c r="O251" s="14">
        <f t="shared" si="60"/>
        <v>1</v>
      </c>
      <c r="P251" s="706"/>
      <c r="Q251" s="14">
        <f t="shared" si="61"/>
        <v>1</v>
      </c>
      <c r="R251" s="702">
        <f t="shared" si="66"/>
        <v>0</v>
      </c>
      <c r="S251" s="333">
        <f t="shared" si="67"/>
        <v>0</v>
      </c>
      <c r="T251" s="1177">
        <f t="shared" si="68"/>
        <v>0</v>
      </c>
      <c r="U251" s="1309">
        <f t="shared" si="62"/>
        <v>0</v>
      </c>
      <c r="V251" s="1309">
        <f t="shared" si="63"/>
        <v>0</v>
      </c>
      <c r="W251" s="1306"/>
      <c r="X251" s="1309">
        <f t="shared" si="64"/>
        <v>0</v>
      </c>
      <c r="Y251" s="1309">
        <f t="shared" si="65"/>
        <v>0</v>
      </c>
      <c r="Z251" s="1306"/>
    </row>
    <row r="252" spans="1:26">
      <c r="A252" s="74"/>
      <c r="B252" s="24"/>
      <c r="C252" s="14">
        <f t="shared" si="54"/>
        <v>1</v>
      </c>
      <c r="D252" s="706"/>
      <c r="E252" s="14">
        <f t="shared" si="55"/>
        <v>1</v>
      </c>
      <c r="F252" s="706"/>
      <c r="G252" s="14">
        <f t="shared" si="56"/>
        <v>1</v>
      </c>
      <c r="H252" s="706"/>
      <c r="I252" s="14">
        <f t="shared" si="57"/>
        <v>1</v>
      </c>
      <c r="J252" s="706"/>
      <c r="K252" s="14">
        <f t="shared" si="58"/>
        <v>1</v>
      </c>
      <c r="L252" s="706"/>
      <c r="M252" s="14">
        <f t="shared" si="59"/>
        <v>1</v>
      </c>
      <c r="N252" s="706"/>
      <c r="O252" s="14">
        <f t="shared" si="60"/>
        <v>1</v>
      </c>
      <c r="P252" s="706"/>
      <c r="Q252" s="14">
        <f t="shared" si="61"/>
        <v>1</v>
      </c>
      <c r="R252" s="702">
        <f t="shared" si="66"/>
        <v>0</v>
      </c>
      <c r="S252" s="333">
        <f t="shared" si="67"/>
        <v>0</v>
      </c>
      <c r="T252" s="1177">
        <f t="shared" si="68"/>
        <v>0</v>
      </c>
      <c r="U252" s="1309">
        <f t="shared" si="62"/>
        <v>0</v>
      </c>
      <c r="V252" s="1309">
        <f t="shared" si="63"/>
        <v>0</v>
      </c>
      <c r="W252" s="1306"/>
      <c r="X252" s="1309">
        <f t="shared" si="64"/>
        <v>0</v>
      </c>
      <c r="Y252" s="1309">
        <f t="shared" si="65"/>
        <v>0</v>
      </c>
      <c r="Z252" s="1306"/>
    </row>
    <row r="253" spans="1:26">
      <c r="A253" s="74"/>
      <c r="B253" s="24"/>
      <c r="C253" s="14">
        <f t="shared" si="54"/>
        <v>1</v>
      </c>
      <c r="D253" s="706"/>
      <c r="E253" s="14">
        <f t="shared" si="55"/>
        <v>1</v>
      </c>
      <c r="F253" s="706"/>
      <c r="G253" s="14">
        <f t="shared" si="56"/>
        <v>1</v>
      </c>
      <c r="H253" s="706"/>
      <c r="I253" s="14">
        <f t="shared" si="57"/>
        <v>1</v>
      </c>
      <c r="J253" s="706"/>
      <c r="K253" s="14">
        <f t="shared" si="58"/>
        <v>1</v>
      </c>
      <c r="L253" s="706"/>
      <c r="M253" s="14">
        <f t="shared" si="59"/>
        <v>1</v>
      </c>
      <c r="N253" s="706"/>
      <c r="O253" s="14">
        <f t="shared" si="60"/>
        <v>1</v>
      </c>
      <c r="P253" s="706"/>
      <c r="Q253" s="14">
        <f t="shared" si="61"/>
        <v>1</v>
      </c>
      <c r="R253" s="702">
        <f t="shared" si="66"/>
        <v>0</v>
      </c>
      <c r="S253" s="333">
        <f t="shared" si="67"/>
        <v>0</v>
      </c>
      <c r="T253" s="1177">
        <f t="shared" si="68"/>
        <v>0</v>
      </c>
      <c r="U253" s="1309">
        <f t="shared" si="62"/>
        <v>0</v>
      </c>
      <c r="V253" s="1309">
        <f t="shared" si="63"/>
        <v>0</v>
      </c>
      <c r="W253" s="1306"/>
      <c r="X253" s="1309">
        <f t="shared" si="64"/>
        <v>0</v>
      </c>
      <c r="Y253" s="1309">
        <f t="shared" si="65"/>
        <v>0</v>
      </c>
      <c r="Z253" s="1306"/>
    </row>
    <row r="254" spans="1:26">
      <c r="A254" s="74"/>
      <c r="B254" s="24"/>
      <c r="C254" s="14">
        <f t="shared" si="54"/>
        <v>1</v>
      </c>
      <c r="D254" s="706"/>
      <c r="E254" s="14">
        <f t="shared" si="55"/>
        <v>1</v>
      </c>
      <c r="F254" s="706"/>
      <c r="G254" s="14">
        <f t="shared" si="56"/>
        <v>1</v>
      </c>
      <c r="H254" s="706"/>
      <c r="I254" s="14">
        <f t="shared" si="57"/>
        <v>1</v>
      </c>
      <c r="J254" s="706"/>
      <c r="K254" s="14">
        <f t="shared" si="58"/>
        <v>1</v>
      </c>
      <c r="L254" s="706"/>
      <c r="M254" s="14">
        <f t="shared" si="59"/>
        <v>1</v>
      </c>
      <c r="N254" s="706"/>
      <c r="O254" s="14">
        <f t="shared" si="60"/>
        <v>1</v>
      </c>
      <c r="P254" s="706"/>
      <c r="Q254" s="14">
        <f t="shared" si="61"/>
        <v>1</v>
      </c>
      <c r="R254" s="702">
        <f t="shared" si="66"/>
        <v>0</v>
      </c>
      <c r="S254" s="333">
        <f t="shared" si="67"/>
        <v>0</v>
      </c>
      <c r="T254" s="1177">
        <f t="shared" si="68"/>
        <v>0</v>
      </c>
      <c r="U254" s="1309">
        <f t="shared" si="62"/>
        <v>0</v>
      </c>
      <c r="V254" s="1309">
        <f t="shared" si="63"/>
        <v>0</v>
      </c>
      <c r="W254" s="1306"/>
      <c r="X254" s="1309">
        <f t="shared" si="64"/>
        <v>0</v>
      </c>
      <c r="Y254" s="1309">
        <f t="shared" si="65"/>
        <v>0</v>
      </c>
      <c r="Z254" s="1306"/>
    </row>
    <row r="255" spans="1:26">
      <c r="A255" s="74"/>
      <c r="B255" s="24"/>
      <c r="C255" s="14">
        <f t="shared" si="54"/>
        <v>1</v>
      </c>
      <c r="D255" s="706"/>
      <c r="E255" s="14">
        <f t="shared" si="55"/>
        <v>1</v>
      </c>
      <c r="F255" s="706"/>
      <c r="G255" s="14">
        <f t="shared" si="56"/>
        <v>1</v>
      </c>
      <c r="H255" s="706"/>
      <c r="I255" s="14">
        <f t="shared" si="57"/>
        <v>1</v>
      </c>
      <c r="J255" s="706"/>
      <c r="K255" s="14">
        <f t="shared" si="58"/>
        <v>1</v>
      </c>
      <c r="L255" s="706"/>
      <c r="M255" s="14">
        <f t="shared" si="59"/>
        <v>1</v>
      </c>
      <c r="N255" s="706"/>
      <c r="O255" s="14">
        <f t="shared" si="60"/>
        <v>1</v>
      </c>
      <c r="P255" s="706"/>
      <c r="Q255" s="14">
        <f t="shared" si="61"/>
        <v>1</v>
      </c>
      <c r="R255" s="702">
        <f t="shared" si="66"/>
        <v>0</v>
      </c>
      <c r="S255" s="333">
        <f t="shared" si="67"/>
        <v>0</v>
      </c>
      <c r="T255" s="1177">
        <f t="shared" si="68"/>
        <v>0</v>
      </c>
      <c r="U255" s="1309">
        <f t="shared" si="62"/>
        <v>0</v>
      </c>
      <c r="V255" s="1309">
        <f t="shared" si="63"/>
        <v>0</v>
      </c>
      <c r="W255" s="1306"/>
      <c r="X255" s="1309">
        <f t="shared" si="64"/>
        <v>0</v>
      </c>
      <c r="Y255" s="1309">
        <f t="shared" si="65"/>
        <v>0</v>
      </c>
      <c r="Z255" s="1306"/>
    </row>
    <row r="256" spans="1:26">
      <c r="A256" s="74"/>
      <c r="B256" s="24"/>
      <c r="C256" s="14">
        <f t="shared" si="54"/>
        <v>1</v>
      </c>
      <c r="D256" s="706"/>
      <c r="E256" s="14">
        <f t="shared" si="55"/>
        <v>1</v>
      </c>
      <c r="F256" s="706"/>
      <c r="G256" s="14">
        <f t="shared" si="56"/>
        <v>1</v>
      </c>
      <c r="H256" s="706"/>
      <c r="I256" s="14">
        <f t="shared" si="57"/>
        <v>1</v>
      </c>
      <c r="J256" s="706"/>
      <c r="K256" s="14">
        <f t="shared" si="58"/>
        <v>1</v>
      </c>
      <c r="L256" s="706"/>
      <c r="M256" s="14">
        <f t="shared" si="59"/>
        <v>1</v>
      </c>
      <c r="N256" s="706"/>
      <c r="O256" s="14">
        <f t="shared" si="60"/>
        <v>1</v>
      </c>
      <c r="P256" s="706"/>
      <c r="Q256" s="14">
        <f t="shared" si="61"/>
        <v>1</v>
      </c>
      <c r="R256" s="702">
        <f t="shared" si="66"/>
        <v>0</v>
      </c>
      <c r="S256" s="333">
        <f t="shared" si="67"/>
        <v>0</v>
      </c>
      <c r="T256" s="1177">
        <f t="shared" si="68"/>
        <v>0</v>
      </c>
      <c r="U256" s="1309">
        <f t="shared" si="62"/>
        <v>0</v>
      </c>
      <c r="V256" s="1309">
        <f t="shared" si="63"/>
        <v>0</v>
      </c>
      <c r="W256" s="1306"/>
      <c r="X256" s="1309">
        <f t="shared" si="64"/>
        <v>0</v>
      </c>
      <c r="Y256" s="1309">
        <f t="shared" si="65"/>
        <v>0</v>
      </c>
      <c r="Z256" s="1306"/>
    </row>
    <row r="257" spans="1:26">
      <c r="A257" s="74"/>
      <c r="B257" s="24"/>
      <c r="C257" s="14">
        <f t="shared" si="54"/>
        <v>1</v>
      </c>
      <c r="D257" s="706"/>
      <c r="E257" s="14">
        <f t="shared" si="55"/>
        <v>1</v>
      </c>
      <c r="F257" s="706"/>
      <c r="G257" s="14">
        <f t="shared" si="56"/>
        <v>1</v>
      </c>
      <c r="H257" s="706"/>
      <c r="I257" s="14">
        <f t="shared" si="57"/>
        <v>1</v>
      </c>
      <c r="J257" s="706"/>
      <c r="K257" s="14">
        <f t="shared" si="58"/>
        <v>1</v>
      </c>
      <c r="L257" s="706"/>
      <c r="M257" s="14">
        <f t="shared" si="59"/>
        <v>1</v>
      </c>
      <c r="N257" s="706"/>
      <c r="O257" s="14">
        <f t="shared" si="60"/>
        <v>1</v>
      </c>
      <c r="P257" s="706"/>
      <c r="Q257" s="14">
        <f t="shared" si="61"/>
        <v>1</v>
      </c>
      <c r="R257" s="702">
        <f t="shared" si="66"/>
        <v>0</v>
      </c>
      <c r="S257" s="333">
        <f t="shared" si="67"/>
        <v>0</v>
      </c>
      <c r="T257" s="1177">
        <f t="shared" si="68"/>
        <v>0</v>
      </c>
      <c r="U257" s="1309">
        <f t="shared" si="62"/>
        <v>0</v>
      </c>
      <c r="V257" s="1309">
        <f t="shared" si="63"/>
        <v>0</v>
      </c>
      <c r="W257" s="1306"/>
      <c r="X257" s="1309">
        <f t="shared" si="64"/>
        <v>0</v>
      </c>
      <c r="Y257" s="1309">
        <f t="shared" si="65"/>
        <v>0</v>
      </c>
      <c r="Z257" s="1306"/>
    </row>
    <row r="258" spans="1:26">
      <c r="A258" s="74"/>
      <c r="B258" s="24"/>
      <c r="C258" s="14">
        <f t="shared" si="54"/>
        <v>1</v>
      </c>
      <c r="D258" s="706"/>
      <c r="E258" s="14">
        <f t="shared" si="55"/>
        <v>1</v>
      </c>
      <c r="F258" s="706"/>
      <c r="G258" s="14">
        <f t="shared" si="56"/>
        <v>1</v>
      </c>
      <c r="H258" s="706"/>
      <c r="I258" s="14">
        <f t="shared" si="57"/>
        <v>1</v>
      </c>
      <c r="J258" s="706"/>
      <c r="K258" s="14">
        <f t="shared" si="58"/>
        <v>1</v>
      </c>
      <c r="L258" s="706"/>
      <c r="M258" s="14">
        <f t="shared" si="59"/>
        <v>1</v>
      </c>
      <c r="N258" s="706"/>
      <c r="O258" s="14">
        <f t="shared" si="60"/>
        <v>1</v>
      </c>
      <c r="P258" s="706"/>
      <c r="Q258" s="14">
        <f t="shared" si="61"/>
        <v>1</v>
      </c>
      <c r="R258" s="702">
        <f t="shared" si="66"/>
        <v>0</v>
      </c>
      <c r="S258" s="333">
        <f t="shared" si="67"/>
        <v>0</v>
      </c>
      <c r="T258" s="1177">
        <f t="shared" si="68"/>
        <v>0</v>
      </c>
      <c r="U258" s="1309">
        <f t="shared" si="62"/>
        <v>0</v>
      </c>
      <c r="V258" s="1309">
        <f t="shared" si="63"/>
        <v>0</v>
      </c>
      <c r="W258" s="1306"/>
      <c r="X258" s="1309">
        <f t="shared" si="64"/>
        <v>0</v>
      </c>
      <c r="Y258" s="1309">
        <f t="shared" si="65"/>
        <v>0</v>
      </c>
      <c r="Z258" s="1306"/>
    </row>
    <row r="259" spans="1:26">
      <c r="A259" s="74"/>
      <c r="B259" s="24"/>
      <c r="C259" s="14">
        <f t="shared" si="54"/>
        <v>1</v>
      </c>
      <c r="D259" s="706"/>
      <c r="E259" s="14">
        <f t="shared" si="55"/>
        <v>1</v>
      </c>
      <c r="F259" s="706"/>
      <c r="G259" s="14">
        <f t="shared" si="56"/>
        <v>1</v>
      </c>
      <c r="H259" s="706"/>
      <c r="I259" s="14">
        <f t="shared" si="57"/>
        <v>1</v>
      </c>
      <c r="J259" s="706"/>
      <c r="K259" s="14">
        <f t="shared" si="58"/>
        <v>1</v>
      </c>
      <c r="L259" s="706"/>
      <c r="M259" s="14">
        <f t="shared" si="59"/>
        <v>1</v>
      </c>
      <c r="N259" s="706"/>
      <c r="O259" s="14">
        <f t="shared" si="60"/>
        <v>1</v>
      </c>
      <c r="P259" s="706"/>
      <c r="Q259" s="14">
        <f t="shared" si="61"/>
        <v>1</v>
      </c>
      <c r="R259" s="702">
        <f t="shared" si="66"/>
        <v>0</v>
      </c>
      <c r="S259" s="333">
        <f t="shared" si="67"/>
        <v>0</v>
      </c>
      <c r="T259" s="1177">
        <f t="shared" si="68"/>
        <v>0</v>
      </c>
      <c r="U259" s="1309">
        <f t="shared" si="62"/>
        <v>0</v>
      </c>
      <c r="V259" s="1309">
        <f t="shared" si="63"/>
        <v>0</v>
      </c>
      <c r="W259" s="1306"/>
      <c r="X259" s="1309">
        <f t="shared" si="64"/>
        <v>0</v>
      </c>
      <c r="Y259" s="1309">
        <f t="shared" si="65"/>
        <v>0</v>
      </c>
      <c r="Z259" s="1306"/>
    </row>
    <row r="260" spans="1:26">
      <c r="A260" s="74"/>
      <c r="B260" s="24"/>
      <c r="C260" s="14">
        <f t="shared" si="54"/>
        <v>1</v>
      </c>
      <c r="D260" s="706"/>
      <c r="E260" s="14">
        <f t="shared" si="55"/>
        <v>1</v>
      </c>
      <c r="F260" s="706"/>
      <c r="G260" s="14">
        <f t="shared" si="56"/>
        <v>1</v>
      </c>
      <c r="H260" s="706"/>
      <c r="I260" s="14">
        <f t="shared" si="57"/>
        <v>1</v>
      </c>
      <c r="J260" s="706"/>
      <c r="K260" s="14">
        <f t="shared" si="58"/>
        <v>1</v>
      </c>
      <c r="L260" s="706"/>
      <c r="M260" s="14">
        <f t="shared" si="59"/>
        <v>1</v>
      </c>
      <c r="N260" s="706"/>
      <c r="O260" s="14">
        <f t="shared" si="60"/>
        <v>1</v>
      </c>
      <c r="P260" s="706"/>
      <c r="Q260" s="14">
        <f t="shared" si="61"/>
        <v>1</v>
      </c>
      <c r="R260" s="702">
        <f t="shared" si="66"/>
        <v>0</v>
      </c>
      <c r="S260" s="333">
        <f t="shared" si="67"/>
        <v>0</v>
      </c>
      <c r="T260" s="1177">
        <f t="shared" si="68"/>
        <v>0</v>
      </c>
      <c r="U260" s="1309">
        <f t="shared" si="62"/>
        <v>0</v>
      </c>
      <c r="V260" s="1309">
        <f t="shared" si="63"/>
        <v>0</v>
      </c>
      <c r="W260" s="1306"/>
      <c r="X260" s="1309">
        <f t="shared" si="64"/>
        <v>0</v>
      </c>
      <c r="Y260" s="1309">
        <f t="shared" si="65"/>
        <v>0</v>
      </c>
      <c r="Z260" s="1306"/>
    </row>
    <row r="261" spans="1:26">
      <c r="A261" s="74"/>
      <c r="B261" s="24"/>
      <c r="C261" s="14">
        <f t="shared" si="54"/>
        <v>1</v>
      </c>
      <c r="D261" s="706"/>
      <c r="E261" s="14">
        <f t="shared" si="55"/>
        <v>1</v>
      </c>
      <c r="F261" s="706"/>
      <c r="G261" s="14">
        <f t="shared" si="56"/>
        <v>1</v>
      </c>
      <c r="H261" s="706"/>
      <c r="I261" s="14">
        <f t="shared" si="57"/>
        <v>1</v>
      </c>
      <c r="J261" s="706"/>
      <c r="K261" s="14">
        <f t="shared" si="58"/>
        <v>1</v>
      </c>
      <c r="L261" s="706"/>
      <c r="M261" s="14">
        <f t="shared" si="59"/>
        <v>1</v>
      </c>
      <c r="N261" s="706"/>
      <c r="O261" s="14">
        <f t="shared" si="60"/>
        <v>1</v>
      </c>
      <c r="P261" s="706"/>
      <c r="Q261" s="14">
        <f t="shared" si="61"/>
        <v>1</v>
      </c>
      <c r="R261" s="702">
        <f t="shared" si="66"/>
        <v>0</v>
      </c>
      <c r="S261" s="333">
        <f t="shared" si="67"/>
        <v>0</v>
      </c>
      <c r="T261" s="1177">
        <f t="shared" si="68"/>
        <v>0</v>
      </c>
      <c r="U261" s="1309">
        <f t="shared" si="62"/>
        <v>0</v>
      </c>
      <c r="V261" s="1309">
        <f t="shared" si="63"/>
        <v>0</v>
      </c>
      <c r="W261" s="1306"/>
      <c r="X261" s="1309">
        <f t="shared" si="64"/>
        <v>0</v>
      </c>
      <c r="Y261" s="1309">
        <f t="shared" si="65"/>
        <v>0</v>
      </c>
      <c r="Z261" s="1306"/>
    </row>
    <row r="262" spans="1:26">
      <c r="A262" s="74"/>
      <c r="B262" s="24"/>
      <c r="C262" s="14">
        <f t="shared" si="54"/>
        <v>1</v>
      </c>
      <c r="D262" s="706"/>
      <c r="E262" s="14">
        <f t="shared" si="55"/>
        <v>1</v>
      </c>
      <c r="F262" s="706"/>
      <c r="G262" s="14">
        <f t="shared" si="56"/>
        <v>1</v>
      </c>
      <c r="H262" s="706"/>
      <c r="I262" s="14">
        <f t="shared" si="57"/>
        <v>1</v>
      </c>
      <c r="J262" s="706"/>
      <c r="K262" s="14">
        <f t="shared" si="58"/>
        <v>1</v>
      </c>
      <c r="L262" s="706"/>
      <c r="M262" s="14">
        <f t="shared" si="59"/>
        <v>1</v>
      </c>
      <c r="N262" s="706"/>
      <c r="O262" s="14">
        <f t="shared" si="60"/>
        <v>1</v>
      </c>
      <c r="P262" s="706"/>
      <c r="Q262" s="14">
        <f t="shared" si="61"/>
        <v>1</v>
      </c>
      <c r="R262" s="702">
        <f t="shared" si="66"/>
        <v>0</v>
      </c>
      <c r="S262" s="333">
        <f t="shared" si="67"/>
        <v>0</v>
      </c>
      <c r="T262" s="1177">
        <f t="shared" si="68"/>
        <v>0</v>
      </c>
      <c r="U262" s="1309">
        <f t="shared" si="62"/>
        <v>0</v>
      </c>
      <c r="V262" s="1309">
        <f t="shared" si="63"/>
        <v>0</v>
      </c>
      <c r="W262" s="1306"/>
      <c r="X262" s="1309">
        <f t="shared" si="64"/>
        <v>0</v>
      </c>
      <c r="Y262" s="1309">
        <f t="shared" si="65"/>
        <v>0</v>
      </c>
      <c r="Z262" s="1306"/>
    </row>
    <row r="263" spans="1:26">
      <c r="A263" s="74"/>
      <c r="B263" s="24"/>
      <c r="C263" s="14">
        <f t="shared" si="54"/>
        <v>1</v>
      </c>
      <c r="D263" s="706"/>
      <c r="E263" s="14">
        <f t="shared" si="55"/>
        <v>1</v>
      </c>
      <c r="F263" s="706"/>
      <c r="G263" s="14">
        <f t="shared" si="56"/>
        <v>1</v>
      </c>
      <c r="H263" s="706"/>
      <c r="I263" s="14">
        <f t="shared" si="57"/>
        <v>1</v>
      </c>
      <c r="J263" s="706"/>
      <c r="K263" s="14">
        <f t="shared" si="58"/>
        <v>1</v>
      </c>
      <c r="L263" s="706"/>
      <c r="M263" s="14">
        <f t="shared" si="59"/>
        <v>1</v>
      </c>
      <c r="N263" s="706"/>
      <c r="O263" s="14">
        <f t="shared" si="60"/>
        <v>1</v>
      </c>
      <c r="P263" s="706"/>
      <c r="Q263" s="14">
        <f t="shared" si="61"/>
        <v>1</v>
      </c>
      <c r="R263" s="702">
        <f t="shared" si="66"/>
        <v>0</v>
      </c>
      <c r="S263" s="333">
        <f t="shared" si="67"/>
        <v>0</v>
      </c>
      <c r="T263" s="1177">
        <f t="shared" si="68"/>
        <v>0</v>
      </c>
      <c r="U263" s="1309">
        <f t="shared" si="62"/>
        <v>0</v>
      </c>
      <c r="V263" s="1309">
        <f t="shared" si="63"/>
        <v>0</v>
      </c>
      <c r="W263" s="1306"/>
      <c r="X263" s="1309">
        <f t="shared" si="64"/>
        <v>0</v>
      </c>
      <c r="Y263" s="1309">
        <f t="shared" si="65"/>
        <v>0</v>
      </c>
      <c r="Z263" s="1306"/>
    </row>
    <row r="264" spans="1:26">
      <c r="A264" s="74"/>
      <c r="B264" s="24"/>
      <c r="C264" s="14">
        <f t="shared" si="54"/>
        <v>1</v>
      </c>
      <c r="D264" s="706"/>
      <c r="E264" s="14">
        <f t="shared" si="55"/>
        <v>1</v>
      </c>
      <c r="F264" s="706"/>
      <c r="G264" s="14">
        <f t="shared" si="56"/>
        <v>1</v>
      </c>
      <c r="H264" s="706"/>
      <c r="I264" s="14">
        <f t="shared" si="57"/>
        <v>1</v>
      </c>
      <c r="J264" s="706"/>
      <c r="K264" s="14">
        <f t="shared" si="58"/>
        <v>1</v>
      </c>
      <c r="L264" s="706"/>
      <c r="M264" s="14">
        <f t="shared" si="59"/>
        <v>1</v>
      </c>
      <c r="N264" s="706"/>
      <c r="O264" s="14">
        <f t="shared" si="60"/>
        <v>1</v>
      </c>
      <c r="P264" s="706"/>
      <c r="Q264" s="14">
        <f t="shared" si="61"/>
        <v>1</v>
      </c>
      <c r="R264" s="702">
        <f t="shared" si="66"/>
        <v>0</v>
      </c>
      <c r="S264" s="333">
        <f t="shared" si="67"/>
        <v>0</v>
      </c>
      <c r="T264" s="1177">
        <f t="shared" si="68"/>
        <v>0</v>
      </c>
      <c r="U264" s="1309">
        <f t="shared" si="62"/>
        <v>0</v>
      </c>
      <c r="V264" s="1309">
        <f t="shared" si="63"/>
        <v>0</v>
      </c>
      <c r="W264" s="1306"/>
      <c r="X264" s="1309">
        <f t="shared" si="64"/>
        <v>0</v>
      </c>
      <c r="Y264" s="1309">
        <f t="shared" si="65"/>
        <v>0</v>
      </c>
      <c r="Z264" s="1306"/>
    </row>
    <row r="265" spans="1:26">
      <c r="A265" s="74"/>
      <c r="B265" s="24"/>
      <c r="C265" s="14">
        <f t="shared" si="54"/>
        <v>1</v>
      </c>
      <c r="D265" s="706"/>
      <c r="E265" s="14">
        <f t="shared" si="55"/>
        <v>1</v>
      </c>
      <c r="F265" s="706"/>
      <c r="G265" s="14">
        <f t="shared" si="56"/>
        <v>1</v>
      </c>
      <c r="H265" s="706"/>
      <c r="I265" s="14">
        <f t="shared" si="57"/>
        <v>1</v>
      </c>
      <c r="J265" s="706"/>
      <c r="K265" s="14">
        <f t="shared" si="58"/>
        <v>1</v>
      </c>
      <c r="L265" s="706"/>
      <c r="M265" s="14">
        <f t="shared" si="59"/>
        <v>1</v>
      </c>
      <c r="N265" s="706"/>
      <c r="O265" s="14">
        <f t="shared" si="60"/>
        <v>1</v>
      </c>
      <c r="P265" s="706"/>
      <c r="Q265" s="14">
        <f t="shared" si="61"/>
        <v>1</v>
      </c>
      <c r="R265" s="702">
        <f t="shared" si="66"/>
        <v>0</v>
      </c>
      <c r="S265" s="333">
        <f t="shared" si="67"/>
        <v>0</v>
      </c>
      <c r="T265" s="1177">
        <f t="shared" si="68"/>
        <v>0</v>
      </c>
      <c r="U265" s="1309">
        <f t="shared" si="62"/>
        <v>0</v>
      </c>
      <c r="V265" s="1309">
        <f t="shared" si="63"/>
        <v>0</v>
      </c>
      <c r="W265" s="1306"/>
      <c r="X265" s="1309">
        <f t="shared" si="64"/>
        <v>0</v>
      </c>
      <c r="Y265" s="1309">
        <f t="shared" si="65"/>
        <v>0</v>
      </c>
      <c r="Z265" s="1306"/>
    </row>
    <row r="266" spans="1:26">
      <c r="A266" s="74"/>
      <c r="B266" s="24"/>
      <c r="C266" s="14">
        <f t="shared" si="54"/>
        <v>1</v>
      </c>
      <c r="D266" s="706"/>
      <c r="E266" s="14">
        <f t="shared" si="55"/>
        <v>1</v>
      </c>
      <c r="F266" s="706"/>
      <c r="G266" s="14">
        <f t="shared" si="56"/>
        <v>1</v>
      </c>
      <c r="H266" s="706"/>
      <c r="I266" s="14">
        <f t="shared" si="57"/>
        <v>1</v>
      </c>
      <c r="J266" s="706"/>
      <c r="K266" s="14">
        <f t="shared" si="58"/>
        <v>1</v>
      </c>
      <c r="L266" s="706"/>
      <c r="M266" s="14">
        <f t="shared" si="59"/>
        <v>1</v>
      </c>
      <c r="N266" s="706"/>
      <c r="O266" s="14">
        <f t="shared" si="60"/>
        <v>1</v>
      </c>
      <c r="P266" s="706"/>
      <c r="Q266" s="14">
        <f t="shared" si="61"/>
        <v>1</v>
      </c>
      <c r="R266" s="702">
        <f t="shared" si="66"/>
        <v>0</v>
      </c>
      <c r="S266" s="333">
        <f t="shared" si="67"/>
        <v>0</v>
      </c>
      <c r="T266" s="1177">
        <f t="shared" si="68"/>
        <v>0</v>
      </c>
      <c r="U266" s="1309">
        <f t="shared" si="62"/>
        <v>0</v>
      </c>
      <c r="V266" s="1309">
        <f t="shared" si="63"/>
        <v>0</v>
      </c>
      <c r="W266" s="1306"/>
      <c r="X266" s="1309">
        <f t="shared" si="64"/>
        <v>0</v>
      </c>
      <c r="Y266" s="1309">
        <f t="shared" si="65"/>
        <v>0</v>
      </c>
      <c r="Z266" s="1306"/>
    </row>
    <row r="267" spans="1:26">
      <c r="A267" s="74"/>
      <c r="B267" s="24"/>
      <c r="C267" s="14">
        <f t="shared" si="54"/>
        <v>1</v>
      </c>
      <c r="D267" s="706"/>
      <c r="E267" s="14">
        <f t="shared" si="55"/>
        <v>1</v>
      </c>
      <c r="F267" s="706"/>
      <c r="G267" s="14">
        <f t="shared" si="56"/>
        <v>1</v>
      </c>
      <c r="H267" s="706"/>
      <c r="I267" s="14">
        <f t="shared" si="57"/>
        <v>1</v>
      </c>
      <c r="J267" s="706"/>
      <c r="K267" s="14">
        <f t="shared" si="58"/>
        <v>1</v>
      </c>
      <c r="L267" s="706"/>
      <c r="M267" s="14">
        <f t="shared" si="59"/>
        <v>1</v>
      </c>
      <c r="N267" s="706"/>
      <c r="O267" s="14">
        <f t="shared" si="60"/>
        <v>1</v>
      </c>
      <c r="P267" s="706"/>
      <c r="Q267" s="14">
        <f t="shared" si="61"/>
        <v>1</v>
      </c>
      <c r="R267" s="702">
        <f t="shared" si="66"/>
        <v>0</v>
      </c>
      <c r="S267" s="333">
        <f t="shared" si="67"/>
        <v>0</v>
      </c>
      <c r="T267" s="1177">
        <f t="shared" si="68"/>
        <v>0</v>
      </c>
      <c r="U267" s="1309">
        <f t="shared" si="62"/>
        <v>0</v>
      </c>
      <c r="V267" s="1309">
        <f t="shared" si="63"/>
        <v>0</v>
      </c>
      <c r="W267" s="1306"/>
      <c r="X267" s="1309">
        <f t="shared" si="64"/>
        <v>0</v>
      </c>
      <c r="Y267" s="1309">
        <f t="shared" si="65"/>
        <v>0</v>
      </c>
      <c r="Z267" s="1306"/>
    </row>
    <row r="268" spans="1:26">
      <c r="A268" s="74"/>
      <c r="B268" s="24"/>
      <c r="C268" s="14">
        <f t="shared" si="54"/>
        <v>1</v>
      </c>
      <c r="D268" s="706"/>
      <c r="E268" s="14">
        <f t="shared" si="55"/>
        <v>1</v>
      </c>
      <c r="F268" s="706"/>
      <c r="G268" s="14">
        <f t="shared" si="56"/>
        <v>1</v>
      </c>
      <c r="H268" s="706"/>
      <c r="I268" s="14">
        <f t="shared" si="57"/>
        <v>1</v>
      </c>
      <c r="J268" s="706"/>
      <c r="K268" s="14">
        <f t="shared" si="58"/>
        <v>1</v>
      </c>
      <c r="L268" s="706"/>
      <c r="M268" s="14">
        <f t="shared" si="59"/>
        <v>1</v>
      </c>
      <c r="N268" s="706"/>
      <c r="O268" s="14">
        <f t="shared" si="60"/>
        <v>1</v>
      </c>
      <c r="P268" s="706"/>
      <c r="Q268" s="14">
        <f t="shared" si="61"/>
        <v>1</v>
      </c>
      <c r="R268" s="702">
        <f t="shared" si="66"/>
        <v>0</v>
      </c>
      <c r="S268" s="333">
        <f t="shared" si="67"/>
        <v>0</v>
      </c>
      <c r="T268" s="1177">
        <f t="shared" si="68"/>
        <v>0</v>
      </c>
      <c r="U268" s="1309">
        <f t="shared" si="62"/>
        <v>0</v>
      </c>
      <c r="V268" s="1309">
        <f t="shared" si="63"/>
        <v>0</v>
      </c>
      <c r="W268" s="1306"/>
      <c r="X268" s="1309">
        <f t="shared" si="64"/>
        <v>0</v>
      </c>
      <c r="Y268" s="1309">
        <f t="shared" si="65"/>
        <v>0</v>
      </c>
      <c r="Z268" s="1306"/>
    </row>
    <row r="269" spans="1:26">
      <c r="A269" s="74"/>
      <c r="B269" s="24"/>
      <c r="C269" s="14">
        <f t="shared" si="54"/>
        <v>1</v>
      </c>
      <c r="D269" s="706"/>
      <c r="E269" s="14">
        <f t="shared" si="55"/>
        <v>1</v>
      </c>
      <c r="F269" s="706"/>
      <c r="G269" s="14">
        <f t="shared" si="56"/>
        <v>1</v>
      </c>
      <c r="H269" s="706"/>
      <c r="I269" s="14">
        <f t="shared" si="57"/>
        <v>1</v>
      </c>
      <c r="J269" s="706"/>
      <c r="K269" s="14">
        <f t="shared" si="58"/>
        <v>1</v>
      </c>
      <c r="L269" s="706"/>
      <c r="M269" s="14">
        <f t="shared" si="59"/>
        <v>1</v>
      </c>
      <c r="N269" s="706"/>
      <c r="O269" s="14">
        <f t="shared" si="60"/>
        <v>1</v>
      </c>
      <c r="P269" s="706"/>
      <c r="Q269" s="14">
        <f t="shared" si="61"/>
        <v>1</v>
      </c>
      <c r="R269" s="702">
        <f t="shared" si="66"/>
        <v>0</v>
      </c>
      <c r="S269" s="333">
        <f t="shared" si="67"/>
        <v>0</v>
      </c>
      <c r="T269" s="1177">
        <f t="shared" si="68"/>
        <v>0</v>
      </c>
      <c r="U269" s="1309">
        <f t="shared" si="62"/>
        <v>0</v>
      </c>
      <c r="V269" s="1309">
        <f t="shared" si="63"/>
        <v>0</v>
      </c>
      <c r="W269" s="1306"/>
      <c r="X269" s="1309">
        <f t="shared" si="64"/>
        <v>0</v>
      </c>
      <c r="Y269" s="1309">
        <f t="shared" si="65"/>
        <v>0</v>
      </c>
      <c r="Z269" s="1306"/>
    </row>
    <row r="270" spans="1:26">
      <c r="A270" s="74"/>
      <c r="B270" s="24"/>
      <c r="C270" s="14">
        <f t="shared" si="54"/>
        <v>1</v>
      </c>
      <c r="D270" s="706"/>
      <c r="E270" s="14">
        <f t="shared" si="55"/>
        <v>1</v>
      </c>
      <c r="F270" s="706"/>
      <c r="G270" s="14">
        <f t="shared" si="56"/>
        <v>1</v>
      </c>
      <c r="H270" s="706"/>
      <c r="I270" s="14">
        <f t="shared" si="57"/>
        <v>1</v>
      </c>
      <c r="J270" s="706"/>
      <c r="K270" s="14">
        <f t="shared" si="58"/>
        <v>1</v>
      </c>
      <c r="L270" s="706"/>
      <c r="M270" s="14">
        <f t="shared" si="59"/>
        <v>1</v>
      </c>
      <c r="N270" s="706"/>
      <c r="O270" s="14">
        <f t="shared" si="60"/>
        <v>1</v>
      </c>
      <c r="P270" s="706"/>
      <c r="Q270" s="14">
        <f t="shared" si="61"/>
        <v>1</v>
      </c>
      <c r="R270" s="702">
        <f t="shared" si="66"/>
        <v>0</v>
      </c>
      <c r="S270" s="333">
        <f t="shared" si="67"/>
        <v>0</v>
      </c>
      <c r="T270" s="1177">
        <f t="shared" si="68"/>
        <v>0</v>
      </c>
      <c r="U270" s="1309">
        <f t="shared" si="62"/>
        <v>0</v>
      </c>
      <c r="V270" s="1309">
        <f t="shared" si="63"/>
        <v>0</v>
      </c>
      <c r="W270" s="1306"/>
      <c r="X270" s="1309">
        <f t="shared" si="64"/>
        <v>0</v>
      </c>
      <c r="Y270" s="1309">
        <f t="shared" si="65"/>
        <v>0</v>
      </c>
      <c r="Z270" s="1306"/>
    </row>
    <row r="271" spans="1:26">
      <c r="A271" s="74"/>
      <c r="B271" s="24"/>
      <c r="C271" s="14">
        <f t="shared" si="54"/>
        <v>1</v>
      </c>
      <c r="D271" s="706"/>
      <c r="E271" s="14">
        <f t="shared" si="55"/>
        <v>1</v>
      </c>
      <c r="F271" s="706"/>
      <c r="G271" s="14">
        <f t="shared" si="56"/>
        <v>1</v>
      </c>
      <c r="H271" s="706"/>
      <c r="I271" s="14">
        <f t="shared" si="57"/>
        <v>1</v>
      </c>
      <c r="J271" s="706"/>
      <c r="K271" s="14">
        <f t="shared" si="58"/>
        <v>1</v>
      </c>
      <c r="L271" s="706"/>
      <c r="M271" s="14">
        <f t="shared" si="59"/>
        <v>1</v>
      </c>
      <c r="N271" s="706"/>
      <c r="O271" s="14">
        <f t="shared" si="60"/>
        <v>1</v>
      </c>
      <c r="P271" s="706"/>
      <c r="Q271" s="14">
        <f t="shared" si="61"/>
        <v>1</v>
      </c>
      <c r="R271" s="702">
        <f t="shared" si="66"/>
        <v>0</v>
      </c>
      <c r="S271" s="333">
        <f t="shared" si="67"/>
        <v>0</v>
      </c>
      <c r="T271" s="1177">
        <f t="shared" si="68"/>
        <v>0</v>
      </c>
      <c r="U271" s="1309">
        <f t="shared" si="62"/>
        <v>0</v>
      </c>
      <c r="V271" s="1309">
        <f t="shared" si="63"/>
        <v>0</v>
      </c>
      <c r="W271" s="1306"/>
      <c r="X271" s="1309">
        <f t="shared" si="64"/>
        <v>0</v>
      </c>
      <c r="Y271" s="1309">
        <f t="shared" si="65"/>
        <v>0</v>
      </c>
      <c r="Z271" s="1306"/>
    </row>
    <row r="272" spans="1:26">
      <c r="A272" s="74"/>
      <c r="B272" s="24"/>
      <c r="C272" s="14">
        <f t="shared" si="54"/>
        <v>1</v>
      </c>
      <c r="D272" s="706"/>
      <c r="E272" s="14">
        <f t="shared" si="55"/>
        <v>1</v>
      </c>
      <c r="F272" s="706"/>
      <c r="G272" s="14">
        <f t="shared" si="56"/>
        <v>1</v>
      </c>
      <c r="H272" s="706"/>
      <c r="I272" s="14">
        <f t="shared" si="57"/>
        <v>1</v>
      </c>
      <c r="J272" s="706"/>
      <c r="K272" s="14">
        <f t="shared" si="58"/>
        <v>1</v>
      </c>
      <c r="L272" s="706"/>
      <c r="M272" s="14">
        <f t="shared" si="59"/>
        <v>1</v>
      </c>
      <c r="N272" s="706"/>
      <c r="O272" s="14">
        <f t="shared" si="60"/>
        <v>1</v>
      </c>
      <c r="P272" s="706"/>
      <c r="Q272" s="14">
        <f t="shared" si="61"/>
        <v>1</v>
      </c>
      <c r="R272" s="702">
        <f t="shared" si="66"/>
        <v>0</v>
      </c>
      <c r="S272" s="333">
        <f t="shared" si="67"/>
        <v>0</v>
      </c>
      <c r="T272" s="1177">
        <f t="shared" si="68"/>
        <v>0</v>
      </c>
      <c r="U272" s="1309">
        <f t="shared" si="62"/>
        <v>0</v>
      </c>
      <c r="V272" s="1309">
        <f t="shared" si="63"/>
        <v>0</v>
      </c>
      <c r="W272" s="1306"/>
      <c r="X272" s="1309">
        <f t="shared" si="64"/>
        <v>0</v>
      </c>
      <c r="Y272" s="1309">
        <f t="shared" si="65"/>
        <v>0</v>
      </c>
      <c r="Z272" s="1306"/>
    </row>
    <row r="273" spans="1:26">
      <c r="A273" s="74"/>
      <c r="B273" s="24"/>
      <c r="C273" s="14">
        <f t="shared" si="54"/>
        <v>1</v>
      </c>
      <c r="D273" s="706"/>
      <c r="E273" s="14">
        <f t="shared" si="55"/>
        <v>1</v>
      </c>
      <c r="F273" s="706"/>
      <c r="G273" s="14">
        <f t="shared" si="56"/>
        <v>1</v>
      </c>
      <c r="H273" s="706"/>
      <c r="I273" s="14">
        <f t="shared" si="57"/>
        <v>1</v>
      </c>
      <c r="J273" s="706"/>
      <c r="K273" s="14">
        <f t="shared" si="58"/>
        <v>1</v>
      </c>
      <c r="L273" s="706"/>
      <c r="M273" s="14">
        <f t="shared" si="59"/>
        <v>1</v>
      </c>
      <c r="N273" s="706"/>
      <c r="O273" s="14">
        <f t="shared" si="60"/>
        <v>1</v>
      </c>
      <c r="P273" s="706"/>
      <c r="Q273" s="14">
        <f t="shared" si="61"/>
        <v>1</v>
      </c>
      <c r="R273" s="702">
        <f t="shared" si="66"/>
        <v>0</v>
      </c>
      <c r="S273" s="333">
        <f t="shared" si="67"/>
        <v>0</v>
      </c>
      <c r="T273" s="1177">
        <f t="shared" si="68"/>
        <v>0</v>
      </c>
      <c r="U273" s="1309">
        <f t="shared" si="62"/>
        <v>0</v>
      </c>
      <c r="V273" s="1309">
        <f t="shared" si="63"/>
        <v>0</v>
      </c>
      <c r="W273" s="1306"/>
      <c r="X273" s="1309">
        <f t="shared" si="64"/>
        <v>0</v>
      </c>
      <c r="Y273" s="1309">
        <f t="shared" si="65"/>
        <v>0</v>
      </c>
      <c r="Z273" s="1306"/>
    </row>
    <row r="274" spans="1:26">
      <c r="A274" s="74"/>
      <c r="B274" s="24"/>
      <c r="C274" s="14">
        <f t="shared" si="54"/>
        <v>1</v>
      </c>
      <c r="D274" s="706"/>
      <c r="E274" s="14">
        <f t="shared" si="55"/>
        <v>1</v>
      </c>
      <c r="F274" s="706"/>
      <c r="G274" s="14">
        <f t="shared" si="56"/>
        <v>1</v>
      </c>
      <c r="H274" s="706"/>
      <c r="I274" s="14">
        <f t="shared" si="57"/>
        <v>1</v>
      </c>
      <c r="J274" s="706"/>
      <c r="K274" s="14">
        <f t="shared" si="58"/>
        <v>1</v>
      </c>
      <c r="L274" s="706"/>
      <c r="M274" s="14">
        <f t="shared" si="59"/>
        <v>1</v>
      </c>
      <c r="N274" s="706"/>
      <c r="O274" s="14">
        <f t="shared" si="60"/>
        <v>1</v>
      </c>
      <c r="P274" s="706"/>
      <c r="Q274" s="14">
        <f t="shared" si="61"/>
        <v>1</v>
      </c>
      <c r="R274" s="702">
        <f t="shared" si="66"/>
        <v>0</v>
      </c>
      <c r="S274" s="333">
        <f t="shared" si="67"/>
        <v>0</v>
      </c>
      <c r="T274" s="1177">
        <f t="shared" si="68"/>
        <v>0</v>
      </c>
      <c r="U274" s="1309">
        <f t="shared" si="62"/>
        <v>0</v>
      </c>
      <c r="V274" s="1309">
        <f t="shared" si="63"/>
        <v>0</v>
      </c>
      <c r="W274" s="1306"/>
      <c r="X274" s="1309">
        <f t="shared" si="64"/>
        <v>0</v>
      </c>
      <c r="Y274" s="1309">
        <f t="shared" si="65"/>
        <v>0</v>
      </c>
      <c r="Z274" s="1306"/>
    </row>
    <row r="275" spans="1:26">
      <c r="A275" s="74"/>
      <c r="B275" s="24"/>
      <c r="C275" s="14">
        <f t="shared" si="54"/>
        <v>1</v>
      </c>
      <c r="D275" s="706"/>
      <c r="E275" s="14">
        <f t="shared" si="55"/>
        <v>1</v>
      </c>
      <c r="F275" s="706"/>
      <c r="G275" s="14">
        <f t="shared" si="56"/>
        <v>1</v>
      </c>
      <c r="H275" s="706"/>
      <c r="I275" s="14">
        <f t="shared" si="57"/>
        <v>1</v>
      </c>
      <c r="J275" s="706"/>
      <c r="K275" s="14">
        <f t="shared" si="58"/>
        <v>1</v>
      </c>
      <c r="L275" s="706"/>
      <c r="M275" s="14">
        <f t="shared" si="59"/>
        <v>1</v>
      </c>
      <c r="N275" s="706"/>
      <c r="O275" s="14">
        <f t="shared" si="60"/>
        <v>1</v>
      </c>
      <c r="P275" s="706"/>
      <c r="Q275" s="14">
        <f t="shared" si="61"/>
        <v>1</v>
      </c>
      <c r="R275" s="702">
        <f t="shared" si="66"/>
        <v>0</v>
      </c>
      <c r="S275" s="333">
        <f t="shared" si="67"/>
        <v>0</v>
      </c>
      <c r="T275" s="1177">
        <f t="shared" si="68"/>
        <v>0</v>
      </c>
      <c r="U275" s="1309">
        <f t="shared" si="62"/>
        <v>0</v>
      </c>
      <c r="V275" s="1309">
        <f t="shared" si="63"/>
        <v>0</v>
      </c>
      <c r="W275" s="1306"/>
      <c r="X275" s="1309">
        <f t="shared" si="64"/>
        <v>0</v>
      </c>
      <c r="Y275" s="1309">
        <f t="shared" si="65"/>
        <v>0</v>
      </c>
      <c r="Z275" s="1306"/>
    </row>
    <row r="276" spans="1:26">
      <c r="A276" s="74"/>
      <c r="B276" s="24"/>
      <c r="C276" s="14">
        <f t="shared" si="54"/>
        <v>1</v>
      </c>
      <c r="D276" s="706"/>
      <c r="E276" s="14">
        <f t="shared" si="55"/>
        <v>1</v>
      </c>
      <c r="F276" s="706"/>
      <c r="G276" s="14">
        <f t="shared" si="56"/>
        <v>1</v>
      </c>
      <c r="H276" s="706"/>
      <c r="I276" s="14">
        <f t="shared" si="57"/>
        <v>1</v>
      </c>
      <c r="J276" s="706"/>
      <c r="K276" s="14">
        <f t="shared" si="58"/>
        <v>1</v>
      </c>
      <c r="L276" s="706"/>
      <c r="M276" s="14">
        <f t="shared" si="59"/>
        <v>1</v>
      </c>
      <c r="N276" s="706"/>
      <c r="O276" s="14">
        <f t="shared" si="60"/>
        <v>1</v>
      </c>
      <c r="P276" s="706"/>
      <c r="Q276" s="14">
        <f t="shared" si="61"/>
        <v>1</v>
      </c>
      <c r="R276" s="702">
        <f t="shared" si="66"/>
        <v>0</v>
      </c>
      <c r="S276" s="333">
        <f t="shared" si="67"/>
        <v>0</v>
      </c>
      <c r="T276" s="1177">
        <f t="shared" si="68"/>
        <v>0</v>
      </c>
      <c r="U276" s="1309">
        <f t="shared" si="62"/>
        <v>0</v>
      </c>
      <c r="V276" s="1309">
        <f t="shared" si="63"/>
        <v>0</v>
      </c>
      <c r="W276" s="1306"/>
      <c r="X276" s="1309">
        <f t="shared" si="64"/>
        <v>0</v>
      </c>
      <c r="Y276" s="1309">
        <f t="shared" si="65"/>
        <v>0</v>
      </c>
      <c r="Z276" s="1306"/>
    </row>
    <row r="277" spans="1:26">
      <c r="A277" s="74"/>
      <c r="B277" s="24"/>
      <c r="C277" s="14">
        <f t="shared" si="54"/>
        <v>1</v>
      </c>
      <c r="D277" s="706"/>
      <c r="E277" s="14">
        <f t="shared" si="55"/>
        <v>1</v>
      </c>
      <c r="F277" s="706"/>
      <c r="G277" s="14">
        <f t="shared" si="56"/>
        <v>1</v>
      </c>
      <c r="H277" s="706"/>
      <c r="I277" s="14">
        <f t="shared" si="57"/>
        <v>1</v>
      </c>
      <c r="J277" s="706"/>
      <c r="K277" s="14">
        <f t="shared" si="58"/>
        <v>1</v>
      </c>
      <c r="L277" s="706"/>
      <c r="M277" s="14">
        <f t="shared" si="59"/>
        <v>1</v>
      </c>
      <c r="N277" s="706"/>
      <c r="O277" s="14">
        <f t="shared" si="60"/>
        <v>1</v>
      </c>
      <c r="P277" s="706"/>
      <c r="Q277" s="14">
        <f t="shared" si="61"/>
        <v>1</v>
      </c>
      <c r="R277" s="702">
        <f t="shared" si="66"/>
        <v>0</v>
      </c>
      <c r="S277" s="333">
        <f t="shared" si="67"/>
        <v>0</v>
      </c>
      <c r="T277" s="1177">
        <f t="shared" si="68"/>
        <v>0</v>
      </c>
      <c r="U277" s="1309">
        <f t="shared" si="62"/>
        <v>0</v>
      </c>
      <c r="V277" s="1309">
        <f t="shared" si="63"/>
        <v>0</v>
      </c>
      <c r="W277" s="1306"/>
      <c r="X277" s="1309">
        <f t="shared" si="64"/>
        <v>0</v>
      </c>
      <c r="Y277" s="1309">
        <f t="shared" si="65"/>
        <v>0</v>
      </c>
      <c r="Z277" s="1306"/>
    </row>
    <row r="278" spans="1:26">
      <c r="A278" s="74"/>
      <c r="B278" s="24"/>
      <c r="C278" s="14">
        <f t="shared" si="54"/>
        <v>1</v>
      </c>
      <c r="D278" s="706"/>
      <c r="E278" s="14">
        <f t="shared" si="55"/>
        <v>1</v>
      </c>
      <c r="F278" s="706"/>
      <c r="G278" s="14">
        <f t="shared" si="56"/>
        <v>1</v>
      </c>
      <c r="H278" s="706"/>
      <c r="I278" s="14">
        <f t="shared" si="57"/>
        <v>1</v>
      </c>
      <c r="J278" s="706"/>
      <c r="K278" s="14">
        <f t="shared" si="58"/>
        <v>1</v>
      </c>
      <c r="L278" s="706"/>
      <c r="M278" s="14">
        <f t="shared" si="59"/>
        <v>1</v>
      </c>
      <c r="N278" s="706"/>
      <c r="O278" s="14">
        <f t="shared" si="60"/>
        <v>1</v>
      </c>
      <c r="P278" s="706"/>
      <c r="Q278" s="14">
        <f t="shared" si="61"/>
        <v>1</v>
      </c>
      <c r="R278" s="702">
        <f t="shared" si="66"/>
        <v>0</v>
      </c>
      <c r="S278" s="333">
        <f t="shared" si="67"/>
        <v>0</v>
      </c>
      <c r="T278" s="1177">
        <f t="shared" si="68"/>
        <v>0</v>
      </c>
      <c r="U278" s="1309">
        <f t="shared" si="62"/>
        <v>0</v>
      </c>
      <c r="V278" s="1309">
        <f t="shared" si="63"/>
        <v>0</v>
      </c>
      <c r="W278" s="1306"/>
      <c r="X278" s="1309">
        <f t="shared" si="64"/>
        <v>0</v>
      </c>
      <c r="Y278" s="1309">
        <f t="shared" si="65"/>
        <v>0</v>
      </c>
      <c r="Z278" s="1306"/>
    </row>
    <row r="279" spans="1:26">
      <c r="A279" s="74"/>
      <c r="B279" s="24"/>
      <c r="C279" s="14">
        <f t="shared" si="54"/>
        <v>1</v>
      </c>
      <c r="D279" s="706"/>
      <c r="E279" s="14">
        <f t="shared" si="55"/>
        <v>1</v>
      </c>
      <c r="F279" s="706"/>
      <c r="G279" s="14">
        <f t="shared" si="56"/>
        <v>1</v>
      </c>
      <c r="H279" s="706"/>
      <c r="I279" s="14">
        <f t="shared" si="57"/>
        <v>1</v>
      </c>
      <c r="J279" s="706"/>
      <c r="K279" s="14">
        <f t="shared" si="58"/>
        <v>1</v>
      </c>
      <c r="L279" s="706"/>
      <c r="M279" s="14">
        <f t="shared" si="59"/>
        <v>1</v>
      </c>
      <c r="N279" s="706"/>
      <c r="O279" s="14">
        <f t="shared" si="60"/>
        <v>1</v>
      </c>
      <c r="P279" s="706"/>
      <c r="Q279" s="14">
        <f t="shared" si="61"/>
        <v>1</v>
      </c>
      <c r="R279" s="702">
        <f t="shared" si="66"/>
        <v>0</v>
      </c>
      <c r="S279" s="333">
        <f t="shared" si="67"/>
        <v>0</v>
      </c>
      <c r="T279" s="1177">
        <f t="shared" si="68"/>
        <v>0</v>
      </c>
      <c r="U279" s="1309">
        <f t="shared" si="62"/>
        <v>0</v>
      </c>
      <c r="V279" s="1309">
        <f t="shared" si="63"/>
        <v>0</v>
      </c>
      <c r="W279" s="1306"/>
      <c r="X279" s="1309">
        <f t="shared" si="64"/>
        <v>0</v>
      </c>
      <c r="Y279" s="1309">
        <f t="shared" si="65"/>
        <v>0</v>
      </c>
      <c r="Z279" s="1306"/>
    </row>
    <row r="280" spans="1:26">
      <c r="A280" s="74"/>
      <c r="B280" s="24"/>
      <c r="C280" s="14">
        <f t="shared" si="54"/>
        <v>1</v>
      </c>
      <c r="D280" s="706"/>
      <c r="E280" s="14">
        <f t="shared" si="55"/>
        <v>1</v>
      </c>
      <c r="F280" s="706"/>
      <c r="G280" s="14">
        <f t="shared" si="56"/>
        <v>1</v>
      </c>
      <c r="H280" s="706"/>
      <c r="I280" s="14">
        <f t="shared" si="57"/>
        <v>1</v>
      </c>
      <c r="J280" s="706"/>
      <c r="K280" s="14">
        <f t="shared" si="58"/>
        <v>1</v>
      </c>
      <c r="L280" s="706"/>
      <c r="M280" s="14">
        <f t="shared" si="59"/>
        <v>1</v>
      </c>
      <c r="N280" s="706"/>
      <c r="O280" s="14">
        <f t="shared" si="60"/>
        <v>1</v>
      </c>
      <c r="P280" s="706"/>
      <c r="Q280" s="14">
        <f t="shared" si="61"/>
        <v>1</v>
      </c>
      <c r="R280" s="702">
        <f t="shared" si="66"/>
        <v>0</v>
      </c>
      <c r="S280" s="333">
        <f t="shared" si="67"/>
        <v>0</v>
      </c>
      <c r="T280" s="1177">
        <f t="shared" si="68"/>
        <v>0</v>
      </c>
      <c r="U280" s="1309">
        <f t="shared" si="62"/>
        <v>0</v>
      </c>
      <c r="V280" s="1309">
        <f t="shared" si="63"/>
        <v>0</v>
      </c>
      <c r="W280" s="1306"/>
      <c r="X280" s="1309">
        <f t="shared" si="64"/>
        <v>0</v>
      </c>
      <c r="Y280" s="1309">
        <f t="shared" si="65"/>
        <v>0</v>
      </c>
      <c r="Z280" s="1306"/>
    </row>
    <row r="281" spans="1:26">
      <c r="A281" s="74"/>
      <c r="B281" s="24"/>
      <c r="C281" s="14">
        <f t="shared" si="54"/>
        <v>1</v>
      </c>
      <c r="D281" s="706"/>
      <c r="E281" s="14">
        <f t="shared" si="55"/>
        <v>1</v>
      </c>
      <c r="F281" s="706"/>
      <c r="G281" s="14">
        <f t="shared" si="56"/>
        <v>1</v>
      </c>
      <c r="H281" s="706"/>
      <c r="I281" s="14">
        <f t="shared" si="57"/>
        <v>1</v>
      </c>
      <c r="J281" s="706"/>
      <c r="K281" s="14">
        <f t="shared" si="58"/>
        <v>1</v>
      </c>
      <c r="L281" s="706"/>
      <c r="M281" s="14">
        <f t="shared" si="59"/>
        <v>1</v>
      </c>
      <c r="N281" s="706"/>
      <c r="O281" s="14">
        <f t="shared" si="60"/>
        <v>1</v>
      </c>
      <c r="P281" s="706"/>
      <c r="Q281" s="14">
        <f t="shared" si="61"/>
        <v>1</v>
      </c>
      <c r="R281" s="702">
        <f t="shared" si="66"/>
        <v>0</v>
      </c>
      <c r="S281" s="333">
        <f t="shared" si="67"/>
        <v>0</v>
      </c>
      <c r="T281" s="1177">
        <f t="shared" si="68"/>
        <v>0</v>
      </c>
      <c r="U281" s="1309">
        <f t="shared" si="62"/>
        <v>0</v>
      </c>
      <c r="V281" s="1309">
        <f t="shared" si="63"/>
        <v>0</v>
      </c>
      <c r="W281" s="1306"/>
      <c r="X281" s="1309">
        <f t="shared" si="64"/>
        <v>0</v>
      </c>
      <c r="Y281" s="1309">
        <f t="shared" si="65"/>
        <v>0</v>
      </c>
      <c r="Z281" s="1306"/>
    </row>
    <row r="282" spans="1:26">
      <c r="A282" s="74"/>
      <c r="B282" s="24"/>
      <c r="C282" s="14">
        <f t="shared" si="54"/>
        <v>1</v>
      </c>
      <c r="D282" s="706"/>
      <c r="E282" s="14">
        <f t="shared" si="55"/>
        <v>1</v>
      </c>
      <c r="F282" s="706"/>
      <c r="G282" s="14">
        <f t="shared" si="56"/>
        <v>1</v>
      </c>
      <c r="H282" s="706"/>
      <c r="I282" s="14">
        <f t="shared" si="57"/>
        <v>1</v>
      </c>
      <c r="J282" s="706"/>
      <c r="K282" s="14">
        <f t="shared" si="58"/>
        <v>1</v>
      </c>
      <c r="L282" s="706"/>
      <c r="M282" s="14">
        <f t="shared" si="59"/>
        <v>1</v>
      </c>
      <c r="N282" s="706"/>
      <c r="O282" s="14">
        <f t="shared" si="60"/>
        <v>1</v>
      </c>
      <c r="P282" s="706"/>
      <c r="Q282" s="14">
        <f t="shared" si="61"/>
        <v>1</v>
      </c>
      <c r="R282" s="702">
        <f t="shared" si="66"/>
        <v>0</v>
      </c>
      <c r="S282" s="333">
        <f t="shared" si="67"/>
        <v>0</v>
      </c>
      <c r="T282" s="1177">
        <f t="shared" si="68"/>
        <v>0</v>
      </c>
      <c r="U282" s="1309">
        <f t="shared" si="62"/>
        <v>0</v>
      </c>
      <c r="V282" s="1309">
        <f t="shared" si="63"/>
        <v>0</v>
      </c>
      <c r="W282" s="1306"/>
      <c r="X282" s="1309">
        <f t="shared" si="64"/>
        <v>0</v>
      </c>
      <c r="Y282" s="1309">
        <f t="shared" si="65"/>
        <v>0</v>
      </c>
      <c r="Z282" s="1306"/>
    </row>
    <row r="283" spans="1:26">
      <c r="A283" s="74"/>
      <c r="B283" s="24"/>
      <c r="C283" s="14">
        <f t="shared" si="54"/>
        <v>1</v>
      </c>
      <c r="D283" s="706"/>
      <c r="E283" s="14">
        <f t="shared" si="55"/>
        <v>1</v>
      </c>
      <c r="F283" s="706"/>
      <c r="G283" s="14">
        <f t="shared" si="56"/>
        <v>1</v>
      </c>
      <c r="H283" s="706"/>
      <c r="I283" s="14">
        <f t="shared" si="57"/>
        <v>1</v>
      </c>
      <c r="J283" s="706"/>
      <c r="K283" s="14">
        <f t="shared" si="58"/>
        <v>1</v>
      </c>
      <c r="L283" s="706"/>
      <c r="M283" s="14">
        <f t="shared" si="59"/>
        <v>1</v>
      </c>
      <c r="N283" s="706"/>
      <c r="O283" s="14">
        <f t="shared" si="60"/>
        <v>1</v>
      </c>
      <c r="P283" s="706"/>
      <c r="Q283" s="14">
        <f t="shared" si="61"/>
        <v>1</v>
      </c>
      <c r="R283" s="702">
        <f t="shared" si="66"/>
        <v>0</v>
      </c>
      <c r="S283" s="333">
        <f t="shared" si="67"/>
        <v>0</v>
      </c>
      <c r="T283" s="1177">
        <f t="shared" si="68"/>
        <v>0</v>
      </c>
      <c r="U283" s="1309">
        <f t="shared" si="62"/>
        <v>0</v>
      </c>
      <c r="V283" s="1309">
        <f t="shared" si="63"/>
        <v>0</v>
      </c>
      <c r="W283" s="1306"/>
      <c r="X283" s="1309">
        <f t="shared" si="64"/>
        <v>0</v>
      </c>
      <c r="Y283" s="1309">
        <f t="shared" si="65"/>
        <v>0</v>
      </c>
      <c r="Z283" s="1306"/>
    </row>
    <row r="284" spans="1:26">
      <c r="A284" s="74"/>
      <c r="B284" s="24"/>
      <c r="C284" s="14">
        <f t="shared" ref="C284:C347" si="69">IF(B284="",1,(LOOKUP(B284,$6:$6,$7:$7)-LOOKUP($B$27,$6:$6,$7:$7)+100)/100)</f>
        <v>1</v>
      </c>
      <c r="D284" s="706"/>
      <c r="E284" s="14">
        <f t="shared" ref="E284:E347" si="70">(SUMIF($8:$8,D284,$9:$9)-SUMIF($8:$8,$D$27,$9:$9)+100)/100</f>
        <v>1</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1</v>
      </c>
      <c r="R284" s="702">
        <f t="shared" si="66"/>
        <v>0</v>
      </c>
      <c r="S284" s="333">
        <f t="shared" si="67"/>
        <v>0</v>
      </c>
      <c r="T284" s="1177">
        <f t="shared" si="68"/>
        <v>0</v>
      </c>
      <c r="U284" s="1309">
        <f t="shared" ref="U284:U347" si="77">ROUND(W284*B284,0)</f>
        <v>0</v>
      </c>
      <c r="V284" s="1309">
        <f t="shared" ref="V284:V347" si="78">ROUND(W284*B284/10000,0)</f>
        <v>0</v>
      </c>
      <c r="W284" s="1306"/>
      <c r="X284" s="1309">
        <f t="shared" ref="X284:X347" si="79">ROUND(Z284*B284,0)</f>
        <v>0</v>
      </c>
      <c r="Y284" s="1309">
        <f t="shared" ref="Y284:Y347" si="80">ROUND(Z284*B284/10000,0)</f>
        <v>0</v>
      </c>
      <c r="Z284" s="1306"/>
    </row>
    <row r="285" spans="1:26">
      <c r="A285" s="74"/>
      <c r="B285" s="24"/>
      <c r="C285" s="14">
        <f t="shared" si="69"/>
        <v>1</v>
      </c>
      <c r="D285" s="706"/>
      <c r="E285" s="14">
        <f t="shared" si="70"/>
        <v>1</v>
      </c>
      <c r="F285" s="706"/>
      <c r="G285" s="14">
        <f t="shared" si="71"/>
        <v>1</v>
      </c>
      <c r="H285" s="706"/>
      <c r="I285" s="14">
        <f t="shared" si="72"/>
        <v>1</v>
      </c>
      <c r="J285" s="706"/>
      <c r="K285" s="14">
        <f t="shared" si="73"/>
        <v>1</v>
      </c>
      <c r="L285" s="706"/>
      <c r="M285" s="14">
        <f t="shared" si="74"/>
        <v>1</v>
      </c>
      <c r="N285" s="706"/>
      <c r="O285" s="14">
        <f t="shared" si="75"/>
        <v>1</v>
      </c>
      <c r="P285" s="706"/>
      <c r="Q285" s="14">
        <f t="shared" si="76"/>
        <v>1</v>
      </c>
      <c r="R285" s="702">
        <f t="shared" ref="R285:R348" si="81">IF(B285="",0,ROUND($R$27*C285*E285*G285*I285*K285*M285*O285*Q285,0))</f>
        <v>0</v>
      </c>
      <c r="S285" s="333">
        <f t="shared" ref="S285:S348" si="82">ROUND(R285*B285,0)</f>
        <v>0</v>
      </c>
      <c r="T285" s="1177">
        <f t="shared" ref="T285:T348" si="83">ROUND(R285*B285/10000,0)</f>
        <v>0</v>
      </c>
      <c r="U285" s="1309">
        <f t="shared" si="77"/>
        <v>0</v>
      </c>
      <c r="V285" s="1309">
        <f t="shared" si="78"/>
        <v>0</v>
      </c>
      <c r="W285" s="1306"/>
      <c r="X285" s="1309">
        <f t="shared" si="79"/>
        <v>0</v>
      </c>
      <c r="Y285" s="1309">
        <f t="shared" si="80"/>
        <v>0</v>
      </c>
      <c r="Z285" s="1306"/>
    </row>
    <row r="286" spans="1:26">
      <c r="A286" s="74"/>
      <c r="B286" s="24"/>
      <c r="C286" s="14">
        <f t="shared" si="69"/>
        <v>1</v>
      </c>
      <c r="D286" s="706"/>
      <c r="E286" s="14">
        <f t="shared" si="70"/>
        <v>1</v>
      </c>
      <c r="F286" s="706"/>
      <c r="G286" s="14">
        <f t="shared" si="71"/>
        <v>1</v>
      </c>
      <c r="H286" s="706"/>
      <c r="I286" s="14">
        <f t="shared" si="72"/>
        <v>1</v>
      </c>
      <c r="J286" s="706"/>
      <c r="K286" s="14">
        <f t="shared" si="73"/>
        <v>1</v>
      </c>
      <c r="L286" s="706"/>
      <c r="M286" s="14">
        <f t="shared" si="74"/>
        <v>1</v>
      </c>
      <c r="N286" s="706"/>
      <c r="O286" s="14">
        <f t="shared" si="75"/>
        <v>1</v>
      </c>
      <c r="P286" s="706"/>
      <c r="Q286" s="14">
        <f t="shared" si="76"/>
        <v>1</v>
      </c>
      <c r="R286" s="702">
        <f t="shared" si="81"/>
        <v>0</v>
      </c>
      <c r="S286" s="333">
        <f t="shared" si="82"/>
        <v>0</v>
      </c>
      <c r="T286" s="1177">
        <f t="shared" si="83"/>
        <v>0</v>
      </c>
      <c r="U286" s="1309">
        <f t="shared" si="77"/>
        <v>0</v>
      </c>
      <c r="V286" s="1309">
        <f t="shared" si="78"/>
        <v>0</v>
      </c>
      <c r="W286" s="1306"/>
      <c r="X286" s="1309">
        <f t="shared" si="79"/>
        <v>0</v>
      </c>
      <c r="Y286" s="1309">
        <f t="shared" si="80"/>
        <v>0</v>
      </c>
      <c r="Z286" s="1306"/>
    </row>
    <row r="287" spans="1:26">
      <c r="A287" s="74"/>
      <c r="B287" s="24"/>
      <c r="C287" s="14">
        <f t="shared" si="69"/>
        <v>1</v>
      </c>
      <c r="D287" s="706"/>
      <c r="E287" s="14">
        <f t="shared" si="70"/>
        <v>1</v>
      </c>
      <c r="F287" s="706"/>
      <c r="G287" s="14">
        <f t="shared" si="71"/>
        <v>1</v>
      </c>
      <c r="H287" s="706"/>
      <c r="I287" s="14">
        <f t="shared" si="72"/>
        <v>1</v>
      </c>
      <c r="J287" s="706"/>
      <c r="K287" s="14">
        <f t="shared" si="73"/>
        <v>1</v>
      </c>
      <c r="L287" s="706"/>
      <c r="M287" s="14">
        <f t="shared" si="74"/>
        <v>1</v>
      </c>
      <c r="N287" s="706"/>
      <c r="O287" s="14">
        <f t="shared" si="75"/>
        <v>1</v>
      </c>
      <c r="P287" s="706"/>
      <c r="Q287" s="14">
        <f t="shared" si="76"/>
        <v>1</v>
      </c>
      <c r="R287" s="702">
        <f t="shared" si="81"/>
        <v>0</v>
      </c>
      <c r="S287" s="333">
        <f t="shared" si="82"/>
        <v>0</v>
      </c>
      <c r="T287" s="1177">
        <f t="shared" si="83"/>
        <v>0</v>
      </c>
      <c r="U287" s="1309">
        <f t="shared" si="77"/>
        <v>0</v>
      </c>
      <c r="V287" s="1309">
        <f t="shared" si="78"/>
        <v>0</v>
      </c>
      <c r="W287" s="1306"/>
      <c r="X287" s="1309">
        <f t="shared" si="79"/>
        <v>0</v>
      </c>
      <c r="Y287" s="1309">
        <f t="shared" si="80"/>
        <v>0</v>
      </c>
      <c r="Z287" s="1306"/>
    </row>
    <row r="288" spans="1:26">
      <c r="A288" s="74"/>
      <c r="B288" s="24"/>
      <c r="C288" s="14">
        <f t="shared" si="69"/>
        <v>1</v>
      </c>
      <c r="D288" s="706"/>
      <c r="E288" s="14">
        <f t="shared" si="70"/>
        <v>1</v>
      </c>
      <c r="F288" s="706"/>
      <c r="G288" s="14">
        <f t="shared" si="71"/>
        <v>1</v>
      </c>
      <c r="H288" s="706"/>
      <c r="I288" s="14">
        <f t="shared" si="72"/>
        <v>1</v>
      </c>
      <c r="J288" s="706"/>
      <c r="K288" s="14">
        <f t="shared" si="73"/>
        <v>1</v>
      </c>
      <c r="L288" s="706"/>
      <c r="M288" s="14">
        <f t="shared" si="74"/>
        <v>1</v>
      </c>
      <c r="N288" s="706"/>
      <c r="O288" s="14">
        <f t="shared" si="75"/>
        <v>1</v>
      </c>
      <c r="P288" s="706"/>
      <c r="Q288" s="14">
        <f t="shared" si="76"/>
        <v>1</v>
      </c>
      <c r="R288" s="702">
        <f t="shared" si="81"/>
        <v>0</v>
      </c>
      <c r="S288" s="333">
        <f t="shared" si="82"/>
        <v>0</v>
      </c>
      <c r="T288" s="1177">
        <f t="shared" si="83"/>
        <v>0</v>
      </c>
      <c r="U288" s="1309">
        <f t="shared" si="77"/>
        <v>0</v>
      </c>
      <c r="V288" s="1309">
        <f t="shared" si="78"/>
        <v>0</v>
      </c>
      <c r="W288" s="1306"/>
      <c r="X288" s="1309">
        <f t="shared" si="79"/>
        <v>0</v>
      </c>
      <c r="Y288" s="1309">
        <f t="shared" si="80"/>
        <v>0</v>
      </c>
      <c r="Z288" s="1306"/>
    </row>
    <row r="289" spans="1:26">
      <c r="A289" s="74"/>
      <c r="B289" s="24"/>
      <c r="C289" s="14">
        <f t="shared" si="69"/>
        <v>1</v>
      </c>
      <c r="D289" s="706"/>
      <c r="E289" s="14">
        <f t="shared" si="70"/>
        <v>1</v>
      </c>
      <c r="F289" s="706"/>
      <c r="G289" s="14">
        <f t="shared" si="71"/>
        <v>1</v>
      </c>
      <c r="H289" s="706"/>
      <c r="I289" s="14">
        <f t="shared" si="72"/>
        <v>1</v>
      </c>
      <c r="J289" s="706"/>
      <c r="K289" s="14">
        <f t="shared" si="73"/>
        <v>1</v>
      </c>
      <c r="L289" s="706"/>
      <c r="M289" s="14">
        <f t="shared" si="74"/>
        <v>1</v>
      </c>
      <c r="N289" s="706"/>
      <c r="O289" s="14">
        <f t="shared" si="75"/>
        <v>1</v>
      </c>
      <c r="P289" s="706"/>
      <c r="Q289" s="14">
        <f t="shared" si="76"/>
        <v>1</v>
      </c>
      <c r="R289" s="702">
        <f t="shared" si="81"/>
        <v>0</v>
      </c>
      <c r="S289" s="333">
        <f t="shared" si="82"/>
        <v>0</v>
      </c>
      <c r="T289" s="1177">
        <f t="shared" si="83"/>
        <v>0</v>
      </c>
      <c r="U289" s="1309">
        <f t="shared" si="77"/>
        <v>0</v>
      </c>
      <c r="V289" s="1309">
        <f t="shared" si="78"/>
        <v>0</v>
      </c>
      <c r="W289" s="1306"/>
      <c r="X289" s="1309">
        <f t="shared" si="79"/>
        <v>0</v>
      </c>
      <c r="Y289" s="1309">
        <f t="shared" si="80"/>
        <v>0</v>
      </c>
      <c r="Z289" s="1306"/>
    </row>
    <row r="290" spans="1:26">
      <c r="A290" s="74"/>
      <c r="B290" s="24"/>
      <c r="C290" s="14">
        <f t="shared" si="69"/>
        <v>1</v>
      </c>
      <c r="D290" s="706"/>
      <c r="E290" s="14">
        <f t="shared" si="70"/>
        <v>1</v>
      </c>
      <c r="F290" s="706"/>
      <c r="G290" s="14">
        <f t="shared" si="71"/>
        <v>1</v>
      </c>
      <c r="H290" s="706"/>
      <c r="I290" s="14">
        <f t="shared" si="72"/>
        <v>1</v>
      </c>
      <c r="J290" s="706"/>
      <c r="K290" s="14">
        <f t="shared" si="73"/>
        <v>1</v>
      </c>
      <c r="L290" s="706"/>
      <c r="M290" s="14">
        <f t="shared" si="74"/>
        <v>1</v>
      </c>
      <c r="N290" s="706"/>
      <c r="O290" s="14">
        <f t="shared" si="75"/>
        <v>1</v>
      </c>
      <c r="P290" s="706"/>
      <c r="Q290" s="14">
        <f t="shared" si="76"/>
        <v>1</v>
      </c>
      <c r="R290" s="702">
        <f t="shared" si="81"/>
        <v>0</v>
      </c>
      <c r="S290" s="333">
        <f t="shared" si="82"/>
        <v>0</v>
      </c>
      <c r="T290" s="1177">
        <f t="shared" si="83"/>
        <v>0</v>
      </c>
      <c r="U290" s="1309">
        <f t="shared" si="77"/>
        <v>0</v>
      </c>
      <c r="V290" s="1309">
        <f t="shared" si="78"/>
        <v>0</v>
      </c>
      <c r="W290" s="1306"/>
      <c r="X290" s="1309">
        <f t="shared" si="79"/>
        <v>0</v>
      </c>
      <c r="Y290" s="1309">
        <f t="shared" si="80"/>
        <v>0</v>
      </c>
      <c r="Z290" s="1306"/>
    </row>
    <row r="291" spans="1:26">
      <c r="A291" s="74"/>
      <c r="B291" s="24"/>
      <c r="C291" s="14">
        <f t="shared" si="69"/>
        <v>1</v>
      </c>
      <c r="D291" s="706"/>
      <c r="E291" s="14">
        <f t="shared" si="70"/>
        <v>1</v>
      </c>
      <c r="F291" s="706"/>
      <c r="G291" s="14">
        <f t="shared" si="71"/>
        <v>1</v>
      </c>
      <c r="H291" s="706"/>
      <c r="I291" s="14">
        <f t="shared" si="72"/>
        <v>1</v>
      </c>
      <c r="J291" s="706"/>
      <c r="K291" s="14">
        <f t="shared" si="73"/>
        <v>1</v>
      </c>
      <c r="L291" s="706"/>
      <c r="M291" s="14">
        <f t="shared" si="74"/>
        <v>1</v>
      </c>
      <c r="N291" s="706"/>
      <c r="O291" s="14">
        <f t="shared" si="75"/>
        <v>1</v>
      </c>
      <c r="P291" s="706"/>
      <c r="Q291" s="14">
        <f t="shared" si="76"/>
        <v>1</v>
      </c>
      <c r="R291" s="702">
        <f t="shared" si="81"/>
        <v>0</v>
      </c>
      <c r="S291" s="333">
        <f t="shared" si="82"/>
        <v>0</v>
      </c>
      <c r="T291" s="1177">
        <f t="shared" si="83"/>
        <v>0</v>
      </c>
      <c r="U291" s="1309">
        <f t="shared" si="77"/>
        <v>0</v>
      </c>
      <c r="V291" s="1309">
        <f t="shared" si="78"/>
        <v>0</v>
      </c>
      <c r="W291" s="1306"/>
      <c r="X291" s="1309">
        <f t="shared" si="79"/>
        <v>0</v>
      </c>
      <c r="Y291" s="1309">
        <f t="shared" si="80"/>
        <v>0</v>
      </c>
      <c r="Z291" s="1306"/>
    </row>
    <row r="292" spans="1:26">
      <c r="A292" s="74"/>
      <c r="B292" s="24"/>
      <c r="C292" s="14">
        <f t="shared" si="69"/>
        <v>1</v>
      </c>
      <c r="D292" s="706"/>
      <c r="E292" s="14">
        <f t="shared" si="70"/>
        <v>1</v>
      </c>
      <c r="F292" s="706"/>
      <c r="G292" s="14">
        <f t="shared" si="71"/>
        <v>1</v>
      </c>
      <c r="H292" s="706"/>
      <c r="I292" s="14">
        <f t="shared" si="72"/>
        <v>1</v>
      </c>
      <c r="J292" s="706"/>
      <c r="K292" s="14">
        <f t="shared" si="73"/>
        <v>1</v>
      </c>
      <c r="L292" s="706"/>
      <c r="M292" s="14">
        <f t="shared" si="74"/>
        <v>1</v>
      </c>
      <c r="N292" s="706"/>
      <c r="O292" s="14">
        <f t="shared" si="75"/>
        <v>1</v>
      </c>
      <c r="P292" s="706"/>
      <c r="Q292" s="14">
        <f t="shared" si="76"/>
        <v>1</v>
      </c>
      <c r="R292" s="702">
        <f t="shared" si="81"/>
        <v>0</v>
      </c>
      <c r="S292" s="333">
        <f t="shared" si="82"/>
        <v>0</v>
      </c>
      <c r="T292" s="1177">
        <f t="shared" si="83"/>
        <v>0</v>
      </c>
      <c r="U292" s="1309">
        <f t="shared" si="77"/>
        <v>0</v>
      </c>
      <c r="V292" s="1309">
        <f t="shared" si="78"/>
        <v>0</v>
      </c>
      <c r="W292" s="1306"/>
      <c r="X292" s="1309">
        <f t="shared" si="79"/>
        <v>0</v>
      </c>
      <c r="Y292" s="1309">
        <f t="shared" si="80"/>
        <v>0</v>
      </c>
      <c r="Z292" s="1306"/>
    </row>
    <row r="293" spans="1:26">
      <c r="A293" s="74"/>
      <c r="B293" s="24"/>
      <c r="C293" s="14">
        <f t="shared" si="69"/>
        <v>1</v>
      </c>
      <c r="D293" s="706"/>
      <c r="E293" s="14">
        <f t="shared" si="70"/>
        <v>1</v>
      </c>
      <c r="F293" s="706"/>
      <c r="G293" s="14">
        <f t="shared" si="71"/>
        <v>1</v>
      </c>
      <c r="H293" s="706"/>
      <c r="I293" s="14">
        <f t="shared" si="72"/>
        <v>1</v>
      </c>
      <c r="J293" s="706"/>
      <c r="K293" s="14">
        <f t="shared" si="73"/>
        <v>1</v>
      </c>
      <c r="L293" s="706"/>
      <c r="M293" s="14">
        <f t="shared" si="74"/>
        <v>1</v>
      </c>
      <c r="N293" s="706"/>
      <c r="O293" s="14">
        <f t="shared" si="75"/>
        <v>1</v>
      </c>
      <c r="P293" s="706"/>
      <c r="Q293" s="14">
        <f t="shared" si="76"/>
        <v>1</v>
      </c>
      <c r="R293" s="702">
        <f t="shared" si="81"/>
        <v>0</v>
      </c>
      <c r="S293" s="333">
        <f t="shared" si="82"/>
        <v>0</v>
      </c>
      <c r="T293" s="1177">
        <f t="shared" si="83"/>
        <v>0</v>
      </c>
      <c r="U293" s="1309">
        <f t="shared" si="77"/>
        <v>0</v>
      </c>
      <c r="V293" s="1309">
        <f t="shared" si="78"/>
        <v>0</v>
      </c>
      <c r="W293" s="1306"/>
      <c r="X293" s="1309">
        <f t="shared" si="79"/>
        <v>0</v>
      </c>
      <c r="Y293" s="1309">
        <f t="shared" si="80"/>
        <v>0</v>
      </c>
      <c r="Z293" s="1306"/>
    </row>
    <row r="294" spans="1:26">
      <c r="A294" s="74"/>
      <c r="B294" s="24"/>
      <c r="C294" s="14">
        <f t="shared" si="69"/>
        <v>1</v>
      </c>
      <c r="D294" s="706"/>
      <c r="E294" s="14">
        <f t="shared" si="70"/>
        <v>1</v>
      </c>
      <c r="F294" s="706"/>
      <c r="G294" s="14">
        <f t="shared" si="71"/>
        <v>1</v>
      </c>
      <c r="H294" s="706"/>
      <c r="I294" s="14">
        <f t="shared" si="72"/>
        <v>1</v>
      </c>
      <c r="J294" s="706"/>
      <c r="K294" s="14">
        <f t="shared" si="73"/>
        <v>1</v>
      </c>
      <c r="L294" s="706"/>
      <c r="M294" s="14">
        <f t="shared" si="74"/>
        <v>1</v>
      </c>
      <c r="N294" s="706"/>
      <c r="O294" s="14">
        <f t="shared" si="75"/>
        <v>1</v>
      </c>
      <c r="P294" s="706"/>
      <c r="Q294" s="14">
        <f t="shared" si="76"/>
        <v>1</v>
      </c>
      <c r="R294" s="702">
        <f t="shared" si="81"/>
        <v>0</v>
      </c>
      <c r="S294" s="333">
        <f t="shared" si="82"/>
        <v>0</v>
      </c>
      <c r="T294" s="1177">
        <f t="shared" si="83"/>
        <v>0</v>
      </c>
      <c r="U294" s="1309">
        <f t="shared" si="77"/>
        <v>0</v>
      </c>
      <c r="V294" s="1309">
        <f t="shared" si="78"/>
        <v>0</v>
      </c>
      <c r="W294" s="1306"/>
      <c r="X294" s="1309">
        <f t="shared" si="79"/>
        <v>0</v>
      </c>
      <c r="Y294" s="1309">
        <f t="shared" si="80"/>
        <v>0</v>
      </c>
      <c r="Z294" s="1306"/>
    </row>
    <row r="295" spans="1:26">
      <c r="A295" s="74"/>
      <c r="B295" s="24"/>
      <c r="C295" s="14">
        <f t="shared" si="69"/>
        <v>1</v>
      </c>
      <c r="D295" s="706"/>
      <c r="E295" s="14">
        <f t="shared" si="70"/>
        <v>1</v>
      </c>
      <c r="F295" s="706"/>
      <c r="G295" s="14">
        <f t="shared" si="71"/>
        <v>1</v>
      </c>
      <c r="H295" s="706"/>
      <c r="I295" s="14">
        <f t="shared" si="72"/>
        <v>1</v>
      </c>
      <c r="J295" s="706"/>
      <c r="K295" s="14">
        <f t="shared" si="73"/>
        <v>1</v>
      </c>
      <c r="L295" s="706"/>
      <c r="M295" s="14">
        <f t="shared" si="74"/>
        <v>1</v>
      </c>
      <c r="N295" s="706"/>
      <c r="O295" s="14">
        <f t="shared" si="75"/>
        <v>1</v>
      </c>
      <c r="P295" s="706"/>
      <c r="Q295" s="14">
        <f t="shared" si="76"/>
        <v>1</v>
      </c>
      <c r="R295" s="702">
        <f t="shared" si="81"/>
        <v>0</v>
      </c>
      <c r="S295" s="333">
        <f t="shared" si="82"/>
        <v>0</v>
      </c>
      <c r="T295" s="1177">
        <f t="shared" si="83"/>
        <v>0</v>
      </c>
      <c r="U295" s="1309">
        <f t="shared" si="77"/>
        <v>0</v>
      </c>
      <c r="V295" s="1309">
        <f t="shared" si="78"/>
        <v>0</v>
      </c>
      <c r="W295" s="1306"/>
      <c r="X295" s="1309">
        <f t="shared" si="79"/>
        <v>0</v>
      </c>
      <c r="Y295" s="1309">
        <f t="shared" si="80"/>
        <v>0</v>
      </c>
      <c r="Z295" s="1306"/>
    </row>
    <row r="296" spans="1:26">
      <c r="A296" s="74"/>
      <c r="B296" s="24"/>
      <c r="C296" s="14">
        <f t="shared" si="69"/>
        <v>1</v>
      </c>
      <c r="D296" s="706"/>
      <c r="E296" s="14">
        <f t="shared" si="70"/>
        <v>1</v>
      </c>
      <c r="F296" s="706"/>
      <c r="G296" s="14">
        <f t="shared" si="71"/>
        <v>1</v>
      </c>
      <c r="H296" s="706"/>
      <c r="I296" s="14">
        <f t="shared" si="72"/>
        <v>1</v>
      </c>
      <c r="J296" s="706"/>
      <c r="K296" s="14">
        <f t="shared" si="73"/>
        <v>1</v>
      </c>
      <c r="L296" s="706"/>
      <c r="M296" s="14">
        <f t="shared" si="74"/>
        <v>1</v>
      </c>
      <c r="N296" s="706"/>
      <c r="O296" s="14">
        <f t="shared" si="75"/>
        <v>1</v>
      </c>
      <c r="P296" s="706"/>
      <c r="Q296" s="14">
        <f t="shared" si="76"/>
        <v>1</v>
      </c>
      <c r="R296" s="702">
        <f t="shared" si="81"/>
        <v>0</v>
      </c>
      <c r="S296" s="333">
        <f t="shared" si="82"/>
        <v>0</v>
      </c>
      <c r="T296" s="1177">
        <f t="shared" si="83"/>
        <v>0</v>
      </c>
      <c r="U296" s="1309">
        <f t="shared" si="77"/>
        <v>0</v>
      </c>
      <c r="V296" s="1309">
        <f t="shared" si="78"/>
        <v>0</v>
      </c>
      <c r="W296" s="1306"/>
      <c r="X296" s="1309">
        <f t="shared" si="79"/>
        <v>0</v>
      </c>
      <c r="Y296" s="1309">
        <f t="shared" si="80"/>
        <v>0</v>
      </c>
      <c r="Z296" s="1306"/>
    </row>
    <row r="297" spans="1:26">
      <c r="A297" s="74"/>
      <c r="B297" s="24"/>
      <c r="C297" s="14">
        <f t="shared" si="69"/>
        <v>1</v>
      </c>
      <c r="D297" s="706"/>
      <c r="E297" s="14">
        <f t="shared" si="70"/>
        <v>1</v>
      </c>
      <c r="F297" s="706"/>
      <c r="G297" s="14">
        <f t="shared" si="71"/>
        <v>1</v>
      </c>
      <c r="H297" s="706"/>
      <c r="I297" s="14">
        <f t="shared" si="72"/>
        <v>1</v>
      </c>
      <c r="J297" s="706"/>
      <c r="K297" s="14">
        <f t="shared" si="73"/>
        <v>1</v>
      </c>
      <c r="L297" s="706"/>
      <c r="M297" s="14">
        <f t="shared" si="74"/>
        <v>1</v>
      </c>
      <c r="N297" s="706"/>
      <c r="O297" s="14">
        <f t="shared" si="75"/>
        <v>1</v>
      </c>
      <c r="P297" s="706"/>
      <c r="Q297" s="14">
        <f t="shared" si="76"/>
        <v>1</v>
      </c>
      <c r="R297" s="702">
        <f t="shared" si="81"/>
        <v>0</v>
      </c>
      <c r="S297" s="333">
        <f t="shared" si="82"/>
        <v>0</v>
      </c>
      <c r="T297" s="1177">
        <f t="shared" si="83"/>
        <v>0</v>
      </c>
      <c r="U297" s="1309">
        <f t="shared" si="77"/>
        <v>0</v>
      </c>
      <c r="V297" s="1309">
        <f t="shared" si="78"/>
        <v>0</v>
      </c>
      <c r="W297" s="1306"/>
      <c r="X297" s="1309">
        <f t="shared" si="79"/>
        <v>0</v>
      </c>
      <c r="Y297" s="1309">
        <f t="shared" si="80"/>
        <v>0</v>
      </c>
      <c r="Z297" s="1306"/>
    </row>
    <row r="298" spans="1:26">
      <c r="A298" s="74"/>
      <c r="B298" s="24"/>
      <c r="C298" s="14">
        <f t="shared" si="69"/>
        <v>1</v>
      </c>
      <c r="D298" s="706"/>
      <c r="E298" s="14">
        <f t="shared" si="70"/>
        <v>1</v>
      </c>
      <c r="F298" s="706"/>
      <c r="G298" s="14">
        <f t="shared" si="71"/>
        <v>1</v>
      </c>
      <c r="H298" s="706"/>
      <c r="I298" s="14">
        <f t="shared" si="72"/>
        <v>1</v>
      </c>
      <c r="J298" s="706"/>
      <c r="K298" s="14">
        <f t="shared" si="73"/>
        <v>1</v>
      </c>
      <c r="L298" s="706"/>
      <c r="M298" s="14">
        <f t="shared" si="74"/>
        <v>1</v>
      </c>
      <c r="N298" s="706"/>
      <c r="O298" s="14">
        <f t="shared" si="75"/>
        <v>1</v>
      </c>
      <c r="P298" s="706"/>
      <c r="Q298" s="14">
        <f t="shared" si="76"/>
        <v>1</v>
      </c>
      <c r="R298" s="702">
        <f t="shared" si="81"/>
        <v>0</v>
      </c>
      <c r="S298" s="333">
        <f t="shared" si="82"/>
        <v>0</v>
      </c>
      <c r="T298" s="1177">
        <f t="shared" si="83"/>
        <v>0</v>
      </c>
      <c r="U298" s="1309">
        <f t="shared" si="77"/>
        <v>0</v>
      </c>
      <c r="V298" s="1309">
        <f t="shared" si="78"/>
        <v>0</v>
      </c>
      <c r="W298" s="1306"/>
      <c r="X298" s="1309">
        <f t="shared" si="79"/>
        <v>0</v>
      </c>
      <c r="Y298" s="1309">
        <f t="shared" si="80"/>
        <v>0</v>
      </c>
      <c r="Z298" s="1306"/>
    </row>
    <row r="299" spans="1:26">
      <c r="A299" s="74"/>
      <c r="B299" s="24"/>
      <c r="C299" s="14">
        <f t="shared" si="69"/>
        <v>1</v>
      </c>
      <c r="D299" s="706"/>
      <c r="E299" s="14">
        <f t="shared" si="70"/>
        <v>1</v>
      </c>
      <c r="F299" s="706"/>
      <c r="G299" s="14">
        <f t="shared" si="71"/>
        <v>1</v>
      </c>
      <c r="H299" s="706"/>
      <c r="I299" s="14">
        <f t="shared" si="72"/>
        <v>1</v>
      </c>
      <c r="J299" s="706"/>
      <c r="K299" s="14">
        <f t="shared" si="73"/>
        <v>1</v>
      </c>
      <c r="L299" s="706"/>
      <c r="M299" s="14">
        <f t="shared" si="74"/>
        <v>1</v>
      </c>
      <c r="N299" s="706"/>
      <c r="O299" s="14">
        <f t="shared" si="75"/>
        <v>1</v>
      </c>
      <c r="P299" s="706"/>
      <c r="Q299" s="14">
        <f t="shared" si="76"/>
        <v>1</v>
      </c>
      <c r="R299" s="702">
        <f t="shared" si="81"/>
        <v>0</v>
      </c>
      <c r="S299" s="333">
        <f t="shared" si="82"/>
        <v>0</v>
      </c>
      <c r="T299" s="1177">
        <f t="shared" si="83"/>
        <v>0</v>
      </c>
      <c r="U299" s="1309">
        <f t="shared" si="77"/>
        <v>0</v>
      </c>
      <c r="V299" s="1309">
        <f t="shared" si="78"/>
        <v>0</v>
      </c>
      <c r="W299" s="1306"/>
      <c r="X299" s="1309">
        <f t="shared" si="79"/>
        <v>0</v>
      </c>
      <c r="Y299" s="1309">
        <f t="shared" si="80"/>
        <v>0</v>
      </c>
      <c r="Z299" s="1306"/>
    </row>
    <row r="300" spans="1:26">
      <c r="A300" s="74"/>
      <c r="B300" s="24"/>
      <c r="C300" s="14">
        <f t="shared" si="69"/>
        <v>1</v>
      </c>
      <c r="D300" s="706"/>
      <c r="E300" s="14">
        <f t="shared" si="70"/>
        <v>1</v>
      </c>
      <c r="F300" s="706"/>
      <c r="G300" s="14">
        <f t="shared" si="71"/>
        <v>1</v>
      </c>
      <c r="H300" s="706"/>
      <c r="I300" s="14">
        <f t="shared" si="72"/>
        <v>1</v>
      </c>
      <c r="J300" s="706"/>
      <c r="K300" s="14">
        <f t="shared" si="73"/>
        <v>1</v>
      </c>
      <c r="L300" s="706"/>
      <c r="M300" s="14">
        <f t="shared" si="74"/>
        <v>1</v>
      </c>
      <c r="N300" s="706"/>
      <c r="O300" s="14">
        <f t="shared" si="75"/>
        <v>1</v>
      </c>
      <c r="P300" s="706"/>
      <c r="Q300" s="14">
        <f t="shared" si="76"/>
        <v>1</v>
      </c>
      <c r="R300" s="702">
        <f t="shared" si="81"/>
        <v>0</v>
      </c>
      <c r="S300" s="333">
        <f t="shared" si="82"/>
        <v>0</v>
      </c>
      <c r="T300" s="1177">
        <f t="shared" si="83"/>
        <v>0</v>
      </c>
      <c r="U300" s="1309">
        <f t="shared" si="77"/>
        <v>0</v>
      </c>
      <c r="V300" s="1309">
        <f t="shared" si="78"/>
        <v>0</v>
      </c>
      <c r="W300" s="1306"/>
      <c r="X300" s="1309">
        <f t="shared" si="79"/>
        <v>0</v>
      </c>
      <c r="Y300" s="1309">
        <f t="shared" si="80"/>
        <v>0</v>
      </c>
      <c r="Z300" s="1306"/>
    </row>
    <row r="301" spans="1:26">
      <c r="A301" s="74"/>
      <c r="B301" s="24"/>
      <c r="C301" s="14">
        <f t="shared" si="69"/>
        <v>1</v>
      </c>
      <c r="D301" s="706"/>
      <c r="E301" s="14">
        <f t="shared" si="70"/>
        <v>1</v>
      </c>
      <c r="F301" s="706"/>
      <c r="G301" s="14">
        <f t="shared" si="71"/>
        <v>1</v>
      </c>
      <c r="H301" s="706"/>
      <c r="I301" s="14">
        <f t="shared" si="72"/>
        <v>1</v>
      </c>
      <c r="J301" s="706"/>
      <c r="K301" s="14">
        <f t="shared" si="73"/>
        <v>1</v>
      </c>
      <c r="L301" s="706"/>
      <c r="M301" s="14">
        <f t="shared" si="74"/>
        <v>1</v>
      </c>
      <c r="N301" s="706"/>
      <c r="O301" s="14">
        <f t="shared" si="75"/>
        <v>1</v>
      </c>
      <c r="P301" s="706"/>
      <c r="Q301" s="14">
        <f t="shared" si="76"/>
        <v>1</v>
      </c>
      <c r="R301" s="702">
        <f t="shared" si="81"/>
        <v>0</v>
      </c>
      <c r="S301" s="333">
        <f t="shared" si="82"/>
        <v>0</v>
      </c>
      <c r="T301" s="1177">
        <f t="shared" si="83"/>
        <v>0</v>
      </c>
      <c r="U301" s="1309">
        <f t="shared" si="77"/>
        <v>0</v>
      </c>
      <c r="V301" s="1309">
        <f t="shared" si="78"/>
        <v>0</v>
      </c>
      <c r="W301" s="1306"/>
      <c r="X301" s="1309">
        <f t="shared" si="79"/>
        <v>0</v>
      </c>
      <c r="Y301" s="1309">
        <f t="shared" si="80"/>
        <v>0</v>
      </c>
      <c r="Z301" s="1306"/>
    </row>
    <row r="302" spans="1:26">
      <c r="A302" s="74"/>
      <c r="B302" s="24"/>
      <c r="C302" s="14">
        <f t="shared" si="69"/>
        <v>1</v>
      </c>
      <c r="D302" s="706"/>
      <c r="E302" s="14">
        <f t="shared" si="70"/>
        <v>1</v>
      </c>
      <c r="F302" s="706"/>
      <c r="G302" s="14">
        <f t="shared" si="71"/>
        <v>1</v>
      </c>
      <c r="H302" s="706"/>
      <c r="I302" s="14">
        <f t="shared" si="72"/>
        <v>1</v>
      </c>
      <c r="J302" s="706"/>
      <c r="K302" s="14">
        <f t="shared" si="73"/>
        <v>1</v>
      </c>
      <c r="L302" s="706"/>
      <c r="M302" s="14">
        <f t="shared" si="74"/>
        <v>1</v>
      </c>
      <c r="N302" s="706"/>
      <c r="O302" s="14">
        <f t="shared" si="75"/>
        <v>1</v>
      </c>
      <c r="P302" s="706"/>
      <c r="Q302" s="14">
        <f t="shared" si="76"/>
        <v>1</v>
      </c>
      <c r="R302" s="702">
        <f t="shared" si="81"/>
        <v>0</v>
      </c>
      <c r="S302" s="333">
        <f t="shared" si="82"/>
        <v>0</v>
      </c>
      <c r="T302" s="1177">
        <f t="shared" si="83"/>
        <v>0</v>
      </c>
      <c r="U302" s="1309">
        <f t="shared" si="77"/>
        <v>0</v>
      </c>
      <c r="V302" s="1309">
        <f t="shared" si="78"/>
        <v>0</v>
      </c>
      <c r="W302" s="1306"/>
      <c r="X302" s="1309">
        <f t="shared" si="79"/>
        <v>0</v>
      </c>
      <c r="Y302" s="1309">
        <f t="shared" si="80"/>
        <v>0</v>
      </c>
      <c r="Z302" s="1306"/>
    </row>
    <row r="303" spans="1:26">
      <c r="A303" s="74"/>
      <c r="B303" s="24"/>
      <c r="C303" s="14">
        <f t="shared" si="69"/>
        <v>1</v>
      </c>
      <c r="D303" s="706"/>
      <c r="E303" s="14">
        <f t="shared" si="70"/>
        <v>1</v>
      </c>
      <c r="F303" s="706"/>
      <c r="G303" s="14">
        <f t="shared" si="71"/>
        <v>1</v>
      </c>
      <c r="H303" s="706"/>
      <c r="I303" s="14">
        <f t="shared" si="72"/>
        <v>1</v>
      </c>
      <c r="J303" s="706"/>
      <c r="K303" s="14">
        <f t="shared" si="73"/>
        <v>1</v>
      </c>
      <c r="L303" s="706"/>
      <c r="M303" s="14">
        <f t="shared" si="74"/>
        <v>1</v>
      </c>
      <c r="N303" s="706"/>
      <c r="O303" s="14">
        <f t="shared" si="75"/>
        <v>1</v>
      </c>
      <c r="P303" s="706"/>
      <c r="Q303" s="14">
        <f t="shared" si="76"/>
        <v>1</v>
      </c>
      <c r="R303" s="702">
        <f t="shared" si="81"/>
        <v>0</v>
      </c>
      <c r="S303" s="333">
        <f t="shared" si="82"/>
        <v>0</v>
      </c>
      <c r="T303" s="1177">
        <f t="shared" si="83"/>
        <v>0</v>
      </c>
      <c r="U303" s="1309">
        <f t="shared" si="77"/>
        <v>0</v>
      </c>
      <c r="V303" s="1309">
        <f t="shared" si="78"/>
        <v>0</v>
      </c>
      <c r="W303" s="1306"/>
      <c r="X303" s="1309">
        <f t="shared" si="79"/>
        <v>0</v>
      </c>
      <c r="Y303" s="1309">
        <f t="shared" si="80"/>
        <v>0</v>
      </c>
      <c r="Z303" s="1306"/>
    </row>
    <row r="304" spans="1:26">
      <c r="A304" s="74"/>
      <c r="B304" s="24"/>
      <c r="C304" s="14">
        <f t="shared" si="69"/>
        <v>1</v>
      </c>
      <c r="D304" s="706"/>
      <c r="E304" s="14">
        <f t="shared" si="70"/>
        <v>1</v>
      </c>
      <c r="F304" s="706"/>
      <c r="G304" s="14">
        <f t="shared" si="71"/>
        <v>1</v>
      </c>
      <c r="H304" s="706"/>
      <c r="I304" s="14">
        <f t="shared" si="72"/>
        <v>1</v>
      </c>
      <c r="J304" s="706"/>
      <c r="K304" s="14">
        <f t="shared" si="73"/>
        <v>1</v>
      </c>
      <c r="L304" s="706"/>
      <c r="M304" s="14">
        <f t="shared" si="74"/>
        <v>1</v>
      </c>
      <c r="N304" s="706"/>
      <c r="O304" s="14">
        <f t="shared" si="75"/>
        <v>1</v>
      </c>
      <c r="P304" s="706"/>
      <c r="Q304" s="14">
        <f t="shared" si="76"/>
        <v>1</v>
      </c>
      <c r="R304" s="702">
        <f t="shared" si="81"/>
        <v>0</v>
      </c>
      <c r="S304" s="333">
        <f t="shared" si="82"/>
        <v>0</v>
      </c>
      <c r="T304" s="1177">
        <f t="shared" si="83"/>
        <v>0</v>
      </c>
      <c r="U304" s="1309">
        <f t="shared" si="77"/>
        <v>0</v>
      </c>
      <c r="V304" s="1309">
        <f t="shared" si="78"/>
        <v>0</v>
      </c>
      <c r="W304" s="1306"/>
      <c r="X304" s="1309">
        <f t="shared" si="79"/>
        <v>0</v>
      </c>
      <c r="Y304" s="1309">
        <f t="shared" si="80"/>
        <v>0</v>
      </c>
      <c r="Z304" s="1306"/>
    </row>
    <row r="305" spans="1:26">
      <c r="A305" s="74"/>
      <c r="B305" s="24"/>
      <c r="C305" s="14">
        <f t="shared" si="69"/>
        <v>1</v>
      </c>
      <c r="D305" s="706"/>
      <c r="E305" s="14">
        <f t="shared" si="70"/>
        <v>1</v>
      </c>
      <c r="F305" s="706"/>
      <c r="G305" s="14">
        <f t="shared" si="71"/>
        <v>1</v>
      </c>
      <c r="H305" s="706"/>
      <c r="I305" s="14">
        <f t="shared" si="72"/>
        <v>1</v>
      </c>
      <c r="J305" s="706"/>
      <c r="K305" s="14">
        <f t="shared" si="73"/>
        <v>1</v>
      </c>
      <c r="L305" s="706"/>
      <c r="M305" s="14">
        <f t="shared" si="74"/>
        <v>1</v>
      </c>
      <c r="N305" s="706"/>
      <c r="O305" s="14">
        <f t="shared" si="75"/>
        <v>1</v>
      </c>
      <c r="P305" s="706"/>
      <c r="Q305" s="14">
        <f t="shared" si="76"/>
        <v>1</v>
      </c>
      <c r="R305" s="702">
        <f t="shared" si="81"/>
        <v>0</v>
      </c>
      <c r="S305" s="333">
        <f t="shared" si="82"/>
        <v>0</v>
      </c>
      <c r="T305" s="1177">
        <f t="shared" si="83"/>
        <v>0</v>
      </c>
      <c r="U305" s="1309">
        <f t="shared" si="77"/>
        <v>0</v>
      </c>
      <c r="V305" s="1309">
        <f t="shared" si="78"/>
        <v>0</v>
      </c>
      <c r="W305" s="1306"/>
      <c r="X305" s="1309">
        <f t="shared" si="79"/>
        <v>0</v>
      </c>
      <c r="Y305" s="1309">
        <f t="shared" si="80"/>
        <v>0</v>
      </c>
      <c r="Z305" s="1306"/>
    </row>
    <row r="306" spans="1:26">
      <c r="A306" s="74"/>
      <c r="B306" s="24"/>
      <c r="C306" s="14">
        <f t="shared" si="69"/>
        <v>1</v>
      </c>
      <c r="D306" s="706"/>
      <c r="E306" s="14">
        <f t="shared" si="70"/>
        <v>1</v>
      </c>
      <c r="F306" s="706"/>
      <c r="G306" s="14">
        <f t="shared" si="71"/>
        <v>1</v>
      </c>
      <c r="H306" s="706"/>
      <c r="I306" s="14">
        <f t="shared" si="72"/>
        <v>1</v>
      </c>
      <c r="J306" s="706"/>
      <c r="K306" s="14">
        <f t="shared" si="73"/>
        <v>1</v>
      </c>
      <c r="L306" s="706"/>
      <c r="M306" s="14">
        <f t="shared" si="74"/>
        <v>1</v>
      </c>
      <c r="N306" s="706"/>
      <c r="O306" s="14">
        <f t="shared" si="75"/>
        <v>1</v>
      </c>
      <c r="P306" s="706"/>
      <c r="Q306" s="14">
        <f t="shared" si="76"/>
        <v>1</v>
      </c>
      <c r="R306" s="702">
        <f t="shared" si="81"/>
        <v>0</v>
      </c>
      <c r="S306" s="333">
        <f t="shared" si="82"/>
        <v>0</v>
      </c>
      <c r="T306" s="1177">
        <f t="shared" si="83"/>
        <v>0</v>
      </c>
      <c r="U306" s="1309">
        <f t="shared" si="77"/>
        <v>0</v>
      </c>
      <c r="V306" s="1309">
        <f t="shared" si="78"/>
        <v>0</v>
      </c>
      <c r="W306" s="1306"/>
      <c r="X306" s="1309">
        <f t="shared" si="79"/>
        <v>0</v>
      </c>
      <c r="Y306" s="1309">
        <f t="shared" si="80"/>
        <v>0</v>
      </c>
      <c r="Z306" s="1306"/>
    </row>
    <row r="307" spans="1:26">
      <c r="A307" s="74"/>
      <c r="B307" s="24"/>
      <c r="C307" s="14">
        <f t="shared" si="69"/>
        <v>1</v>
      </c>
      <c r="D307" s="706"/>
      <c r="E307" s="14">
        <f t="shared" si="70"/>
        <v>1</v>
      </c>
      <c r="F307" s="706"/>
      <c r="G307" s="14">
        <f t="shared" si="71"/>
        <v>1</v>
      </c>
      <c r="H307" s="706"/>
      <c r="I307" s="14">
        <f t="shared" si="72"/>
        <v>1</v>
      </c>
      <c r="J307" s="706"/>
      <c r="K307" s="14">
        <f t="shared" si="73"/>
        <v>1</v>
      </c>
      <c r="L307" s="706"/>
      <c r="M307" s="14">
        <f t="shared" si="74"/>
        <v>1</v>
      </c>
      <c r="N307" s="706"/>
      <c r="O307" s="14">
        <f t="shared" si="75"/>
        <v>1</v>
      </c>
      <c r="P307" s="706"/>
      <c r="Q307" s="14">
        <f t="shared" si="76"/>
        <v>1</v>
      </c>
      <c r="R307" s="702">
        <f t="shared" si="81"/>
        <v>0</v>
      </c>
      <c r="S307" s="333">
        <f t="shared" si="82"/>
        <v>0</v>
      </c>
      <c r="T307" s="1177">
        <f t="shared" si="83"/>
        <v>0</v>
      </c>
      <c r="U307" s="1309">
        <f t="shared" si="77"/>
        <v>0</v>
      </c>
      <c r="V307" s="1309">
        <f t="shared" si="78"/>
        <v>0</v>
      </c>
      <c r="W307" s="1306"/>
      <c r="X307" s="1309">
        <f t="shared" si="79"/>
        <v>0</v>
      </c>
      <c r="Y307" s="1309">
        <f t="shared" si="80"/>
        <v>0</v>
      </c>
      <c r="Z307" s="1306"/>
    </row>
    <row r="308" spans="1:26">
      <c r="A308" s="74"/>
      <c r="B308" s="24"/>
      <c r="C308" s="14">
        <f t="shared" si="69"/>
        <v>1</v>
      </c>
      <c r="D308" s="706"/>
      <c r="E308" s="14">
        <f t="shared" si="70"/>
        <v>1</v>
      </c>
      <c r="F308" s="706"/>
      <c r="G308" s="14">
        <f t="shared" si="71"/>
        <v>1</v>
      </c>
      <c r="H308" s="706"/>
      <c r="I308" s="14">
        <f t="shared" si="72"/>
        <v>1</v>
      </c>
      <c r="J308" s="706"/>
      <c r="K308" s="14">
        <f t="shared" si="73"/>
        <v>1</v>
      </c>
      <c r="L308" s="706"/>
      <c r="M308" s="14">
        <f t="shared" si="74"/>
        <v>1</v>
      </c>
      <c r="N308" s="706"/>
      <c r="O308" s="14">
        <f t="shared" si="75"/>
        <v>1</v>
      </c>
      <c r="P308" s="706"/>
      <c r="Q308" s="14">
        <f t="shared" si="76"/>
        <v>1</v>
      </c>
      <c r="R308" s="702">
        <f t="shared" si="81"/>
        <v>0</v>
      </c>
      <c r="S308" s="333">
        <f t="shared" si="82"/>
        <v>0</v>
      </c>
      <c r="T308" s="1177">
        <f t="shared" si="83"/>
        <v>0</v>
      </c>
      <c r="U308" s="1309">
        <f t="shared" si="77"/>
        <v>0</v>
      </c>
      <c r="V308" s="1309">
        <f t="shared" si="78"/>
        <v>0</v>
      </c>
      <c r="W308" s="1306"/>
      <c r="X308" s="1309">
        <f t="shared" si="79"/>
        <v>0</v>
      </c>
      <c r="Y308" s="1309">
        <f t="shared" si="80"/>
        <v>0</v>
      </c>
      <c r="Z308" s="1306"/>
    </row>
    <row r="309" spans="1:26">
      <c r="A309" s="74"/>
      <c r="B309" s="24"/>
      <c r="C309" s="14">
        <f t="shared" si="69"/>
        <v>1</v>
      </c>
      <c r="D309" s="706"/>
      <c r="E309" s="14">
        <f t="shared" si="70"/>
        <v>1</v>
      </c>
      <c r="F309" s="706"/>
      <c r="G309" s="14">
        <f t="shared" si="71"/>
        <v>1</v>
      </c>
      <c r="H309" s="706"/>
      <c r="I309" s="14">
        <f t="shared" si="72"/>
        <v>1</v>
      </c>
      <c r="J309" s="706"/>
      <c r="K309" s="14">
        <f t="shared" si="73"/>
        <v>1</v>
      </c>
      <c r="L309" s="706"/>
      <c r="M309" s="14">
        <f t="shared" si="74"/>
        <v>1</v>
      </c>
      <c r="N309" s="706"/>
      <c r="O309" s="14">
        <f t="shared" si="75"/>
        <v>1</v>
      </c>
      <c r="P309" s="706"/>
      <c r="Q309" s="14">
        <f t="shared" si="76"/>
        <v>1</v>
      </c>
      <c r="R309" s="702">
        <f t="shared" si="81"/>
        <v>0</v>
      </c>
      <c r="S309" s="333">
        <f t="shared" si="82"/>
        <v>0</v>
      </c>
      <c r="T309" s="1177">
        <f t="shared" si="83"/>
        <v>0</v>
      </c>
      <c r="U309" s="1309">
        <f t="shared" si="77"/>
        <v>0</v>
      </c>
      <c r="V309" s="1309">
        <f t="shared" si="78"/>
        <v>0</v>
      </c>
      <c r="W309" s="1306"/>
      <c r="X309" s="1309">
        <f t="shared" si="79"/>
        <v>0</v>
      </c>
      <c r="Y309" s="1309">
        <f t="shared" si="80"/>
        <v>0</v>
      </c>
      <c r="Z309" s="1306"/>
    </row>
    <row r="310" spans="1:26">
      <c r="A310" s="74"/>
      <c r="B310" s="24"/>
      <c r="C310" s="14">
        <f t="shared" si="69"/>
        <v>1</v>
      </c>
      <c r="D310" s="706"/>
      <c r="E310" s="14">
        <f t="shared" si="70"/>
        <v>1</v>
      </c>
      <c r="F310" s="706"/>
      <c r="G310" s="14">
        <f t="shared" si="71"/>
        <v>1</v>
      </c>
      <c r="H310" s="706"/>
      <c r="I310" s="14">
        <f t="shared" si="72"/>
        <v>1</v>
      </c>
      <c r="J310" s="706"/>
      <c r="K310" s="14">
        <f t="shared" si="73"/>
        <v>1</v>
      </c>
      <c r="L310" s="706"/>
      <c r="M310" s="14">
        <f t="shared" si="74"/>
        <v>1</v>
      </c>
      <c r="N310" s="706"/>
      <c r="O310" s="14">
        <f t="shared" si="75"/>
        <v>1</v>
      </c>
      <c r="P310" s="706"/>
      <c r="Q310" s="14">
        <f t="shared" si="76"/>
        <v>1</v>
      </c>
      <c r="R310" s="702">
        <f t="shared" si="81"/>
        <v>0</v>
      </c>
      <c r="S310" s="333">
        <f t="shared" si="82"/>
        <v>0</v>
      </c>
      <c r="T310" s="1177">
        <f t="shared" si="83"/>
        <v>0</v>
      </c>
      <c r="U310" s="1309">
        <f t="shared" si="77"/>
        <v>0</v>
      </c>
      <c r="V310" s="1309">
        <f t="shared" si="78"/>
        <v>0</v>
      </c>
      <c r="W310" s="1306"/>
      <c r="X310" s="1309">
        <f t="shared" si="79"/>
        <v>0</v>
      </c>
      <c r="Y310" s="1309">
        <f t="shared" si="80"/>
        <v>0</v>
      </c>
      <c r="Z310" s="1306"/>
    </row>
    <row r="311" spans="1:26">
      <c r="A311" s="74"/>
      <c r="B311" s="24"/>
      <c r="C311" s="14">
        <f t="shared" si="69"/>
        <v>1</v>
      </c>
      <c r="D311" s="706"/>
      <c r="E311" s="14">
        <f t="shared" si="70"/>
        <v>1</v>
      </c>
      <c r="F311" s="706"/>
      <c r="G311" s="14">
        <f t="shared" si="71"/>
        <v>1</v>
      </c>
      <c r="H311" s="706"/>
      <c r="I311" s="14">
        <f t="shared" si="72"/>
        <v>1</v>
      </c>
      <c r="J311" s="706"/>
      <c r="K311" s="14">
        <f t="shared" si="73"/>
        <v>1</v>
      </c>
      <c r="L311" s="706"/>
      <c r="M311" s="14">
        <f t="shared" si="74"/>
        <v>1</v>
      </c>
      <c r="N311" s="706"/>
      <c r="O311" s="14">
        <f t="shared" si="75"/>
        <v>1</v>
      </c>
      <c r="P311" s="706"/>
      <c r="Q311" s="14">
        <f t="shared" si="76"/>
        <v>1</v>
      </c>
      <c r="R311" s="702">
        <f t="shared" si="81"/>
        <v>0</v>
      </c>
      <c r="S311" s="333">
        <f t="shared" si="82"/>
        <v>0</v>
      </c>
      <c r="T311" s="1177">
        <f t="shared" si="83"/>
        <v>0</v>
      </c>
      <c r="U311" s="1309">
        <f t="shared" si="77"/>
        <v>0</v>
      </c>
      <c r="V311" s="1309">
        <f t="shared" si="78"/>
        <v>0</v>
      </c>
      <c r="W311" s="1306"/>
      <c r="X311" s="1309">
        <f t="shared" si="79"/>
        <v>0</v>
      </c>
      <c r="Y311" s="1309">
        <f t="shared" si="80"/>
        <v>0</v>
      </c>
      <c r="Z311" s="1306"/>
    </row>
    <row r="312" spans="1:26">
      <c r="A312" s="74"/>
      <c r="B312" s="24"/>
      <c r="C312" s="14">
        <f t="shared" si="69"/>
        <v>1</v>
      </c>
      <c r="D312" s="706"/>
      <c r="E312" s="14">
        <f t="shared" si="70"/>
        <v>1</v>
      </c>
      <c r="F312" s="706"/>
      <c r="G312" s="14">
        <f t="shared" si="71"/>
        <v>1</v>
      </c>
      <c r="H312" s="706"/>
      <c r="I312" s="14">
        <f t="shared" si="72"/>
        <v>1</v>
      </c>
      <c r="J312" s="706"/>
      <c r="K312" s="14">
        <f t="shared" si="73"/>
        <v>1</v>
      </c>
      <c r="L312" s="706"/>
      <c r="M312" s="14">
        <f t="shared" si="74"/>
        <v>1</v>
      </c>
      <c r="N312" s="706"/>
      <c r="O312" s="14">
        <f t="shared" si="75"/>
        <v>1</v>
      </c>
      <c r="P312" s="706"/>
      <c r="Q312" s="14">
        <f t="shared" si="76"/>
        <v>1</v>
      </c>
      <c r="R312" s="702">
        <f t="shared" si="81"/>
        <v>0</v>
      </c>
      <c r="S312" s="333">
        <f t="shared" si="82"/>
        <v>0</v>
      </c>
      <c r="T312" s="1177">
        <f t="shared" si="83"/>
        <v>0</v>
      </c>
      <c r="U312" s="1309">
        <f t="shared" si="77"/>
        <v>0</v>
      </c>
      <c r="V312" s="1309">
        <f t="shared" si="78"/>
        <v>0</v>
      </c>
      <c r="W312" s="1306"/>
      <c r="X312" s="1309">
        <f t="shared" si="79"/>
        <v>0</v>
      </c>
      <c r="Y312" s="1309">
        <f t="shared" si="80"/>
        <v>0</v>
      </c>
      <c r="Z312" s="1306"/>
    </row>
    <row r="313" spans="1:26">
      <c r="A313" s="74"/>
      <c r="B313" s="24"/>
      <c r="C313" s="14">
        <f t="shared" si="69"/>
        <v>1</v>
      </c>
      <c r="D313" s="706"/>
      <c r="E313" s="14">
        <f t="shared" si="70"/>
        <v>1</v>
      </c>
      <c r="F313" s="706"/>
      <c r="G313" s="14">
        <f t="shared" si="71"/>
        <v>1</v>
      </c>
      <c r="H313" s="706"/>
      <c r="I313" s="14">
        <f t="shared" si="72"/>
        <v>1</v>
      </c>
      <c r="J313" s="706"/>
      <c r="K313" s="14">
        <f t="shared" si="73"/>
        <v>1</v>
      </c>
      <c r="L313" s="706"/>
      <c r="M313" s="14">
        <f t="shared" si="74"/>
        <v>1</v>
      </c>
      <c r="N313" s="706"/>
      <c r="O313" s="14">
        <f t="shared" si="75"/>
        <v>1</v>
      </c>
      <c r="P313" s="706"/>
      <c r="Q313" s="14">
        <f t="shared" si="76"/>
        <v>1</v>
      </c>
      <c r="R313" s="702">
        <f t="shared" si="81"/>
        <v>0</v>
      </c>
      <c r="S313" s="333">
        <f t="shared" si="82"/>
        <v>0</v>
      </c>
      <c r="T313" s="1177">
        <f t="shared" si="83"/>
        <v>0</v>
      </c>
      <c r="U313" s="1309">
        <f t="shared" si="77"/>
        <v>0</v>
      </c>
      <c r="V313" s="1309">
        <f t="shared" si="78"/>
        <v>0</v>
      </c>
      <c r="W313" s="1306"/>
      <c r="X313" s="1309">
        <f t="shared" si="79"/>
        <v>0</v>
      </c>
      <c r="Y313" s="1309">
        <f t="shared" si="80"/>
        <v>0</v>
      </c>
      <c r="Z313" s="1306"/>
    </row>
    <row r="314" spans="1:26">
      <c r="A314" s="74"/>
      <c r="B314" s="24"/>
      <c r="C314" s="14">
        <f t="shared" si="69"/>
        <v>1</v>
      </c>
      <c r="D314" s="706"/>
      <c r="E314" s="14">
        <f t="shared" si="70"/>
        <v>1</v>
      </c>
      <c r="F314" s="706"/>
      <c r="G314" s="14">
        <f t="shared" si="71"/>
        <v>1</v>
      </c>
      <c r="H314" s="706"/>
      <c r="I314" s="14">
        <f t="shared" si="72"/>
        <v>1</v>
      </c>
      <c r="J314" s="706"/>
      <c r="K314" s="14">
        <f t="shared" si="73"/>
        <v>1</v>
      </c>
      <c r="L314" s="706"/>
      <c r="M314" s="14">
        <f t="shared" si="74"/>
        <v>1</v>
      </c>
      <c r="N314" s="706"/>
      <c r="O314" s="14">
        <f t="shared" si="75"/>
        <v>1</v>
      </c>
      <c r="P314" s="706"/>
      <c r="Q314" s="14">
        <f t="shared" si="76"/>
        <v>1</v>
      </c>
      <c r="R314" s="702">
        <f t="shared" si="81"/>
        <v>0</v>
      </c>
      <c r="S314" s="333">
        <f t="shared" si="82"/>
        <v>0</v>
      </c>
      <c r="T314" s="1177">
        <f t="shared" si="83"/>
        <v>0</v>
      </c>
      <c r="U314" s="1309">
        <f t="shared" si="77"/>
        <v>0</v>
      </c>
      <c r="V314" s="1309">
        <f t="shared" si="78"/>
        <v>0</v>
      </c>
      <c r="W314" s="1306"/>
      <c r="X314" s="1309">
        <f t="shared" si="79"/>
        <v>0</v>
      </c>
      <c r="Y314" s="1309">
        <f t="shared" si="80"/>
        <v>0</v>
      </c>
      <c r="Z314" s="1306"/>
    </row>
    <row r="315" spans="1:26">
      <c r="A315" s="74"/>
      <c r="B315" s="24"/>
      <c r="C315" s="14">
        <f t="shared" si="69"/>
        <v>1</v>
      </c>
      <c r="D315" s="706"/>
      <c r="E315" s="14">
        <f t="shared" si="70"/>
        <v>1</v>
      </c>
      <c r="F315" s="706"/>
      <c r="G315" s="14">
        <f t="shared" si="71"/>
        <v>1</v>
      </c>
      <c r="H315" s="706"/>
      <c r="I315" s="14">
        <f t="shared" si="72"/>
        <v>1</v>
      </c>
      <c r="J315" s="706"/>
      <c r="K315" s="14">
        <f t="shared" si="73"/>
        <v>1</v>
      </c>
      <c r="L315" s="706"/>
      <c r="M315" s="14">
        <f t="shared" si="74"/>
        <v>1</v>
      </c>
      <c r="N315" s="706"/>
      <c r="O315" s="14">
        <f t="shared" si="75"/>
        <v>1</v>
      </c>
      <c r="P315" s="706"/>
      <c r="Q315" s="14">
        <f t="shared" si="76"/>
        <v>1</v>
      </c>
      <c r="R315" s="702">
        <f t="shared" si="81"/>
        <v>0</v>
      </c>
      <c r="S315" s="333">
        <f t="shared" si="82"/>
        <v>0</v>
      </c>
      <c r="T315" s="1177">
        <f t="shared" si="83"/>
        <v>0</v>
      </c>
      <c r="U315" s="1309">
        <f t="shared" si="77"/>
        <v>0</v>
      </c>
      <c r="V315" s="1309">
        <f t="shared" si="78"/>
        <v>0</v>
      </c>
      <c r="W315" s="1306"/>
      <c r="X315" s="1309">
        <f t="shared" si="79"/>
        <v>0</v>
      </c>
      <c r="Y315" s="1309">
        <f t="shared" si="80"/>
        <v>0</v>
      </c>
      <c r="Z315" s="1306"/>
    </row>
    <row r="316" spans="1:26">
      <c r="A316" s="74"/>
      <c r="B316" s="24"/>
      <c r="C316" s="14">
        <f t="shared" si="69"/>
        <v>1</v>
      </c>
      <c r="D316" s="706"/>
      <c r="E316" s="14">
        <f t="shared" si="70"/>
        <v>1</v>
      </c>
      <c r="F316" s="706"/>
      <c r="G316" s="14">
        <f t="shared" si="71"/>
        <v>1</v>
      </c>
      <c r="H316" s="706"/>
      <c r="I316" s="14">
        <f t="shared" si="72"/>
        <v>1</v>
      </c>
      <c r="J316" s="706"/>
      <c r="K316" s="14">
        <f t="shared" si="73"/>
        <v>1</v>
      </c>
      <c r="L316" s="706"/>
      <c r="M316" s="14">
        <f t="shared" si="74"/>
        <v>1</v>
      </c>
      <c r="N316" s="706"/>
      <c r="O316" s="14">
        <f t="shared" si="75"/>
        <v>1</v>
      </c>
      <c r="P316" s="706"/>
      <c r="Q316" s="14">
        <f t="shared" si="76"/>
        <v>1</v>
      </c>
      <c r="R316" s="702">
        <f t="shared" si="81"/>
        <v>0</v>
      </c>
      <c r="S316" s="333">
        <f t="shared" si="82"/>
        <v>0</v>
      </c>
      <c r="T316" s="1177">
        <f t="shared" si="83"/>
        <v>0</v>
      </c>
      <c r="U316" s="1309">
        <f t="shared" si="77"/>
        <v>0</v>
      </c>
      <c r="V316" s="1309">
        <f t="shared" si="78"/>
        <v>0</v>
      </c>
      <c r="W316" s="1306"/>
      <c r="X316" s="1309">
        <f t="shared" si="79"/>
        <v>0</v>
      </c>
      <c r="Y316" s="1309">
        <f t="shared" si="80"/>
        <v>0</v>
      </c>
      <c r="Z316" s="1306"/>
    </row>
    <row r="317" spans="1:26">
      <c r="A317" s="74"/>
      <c r="B317" s="24"/>
      <c r="C317" s="14">
        <f t="shared" si="69"/>
        <v>1</v>
      </c>
      <c r="D317" s="706"/>
      <c r="E317" s="14">
        <f t="shared" si="70"/>
        <v>1</v>
      </c>
      <c r="F317" s="706"/>
      <c r="G317" s="14">
        <f t="shared" si="71"/>
        <v>1</v>
      </c>
      <c r="H317" s="706"/>
      <c r="I317" s="14">
        <f t="shared" si="72"/>
        <v>1</v>
      </c>
      <c r="J317" s="706"/>
      <c r="K317" s="14">
        <f t="shared" si="73"/>
        <v>1</v>
      </c>
      <c r="L317" s="706"/>
      <c r="M317" s="14">
        <f t="shared" si="74"/>
        <v>1</v>
      </c>
      <c r="N317" s="706"/>
      <c r="O317" s="14">
        <f t="shared" si="75"/>
        <v>1</v>
      </c>
      <c r="P317" s="706"/>
      <c r="Q317" s="14">
        <f t="shared" si="76"/>
        <v>1</v>
      </c>
      <c r="R317" s="702">
        <f t="shared" si="81"/>
        <v>0</v>
      </c>
      <c r="S317" s="333">
        <f t="shared" si="82"/>
        <v>0</v>
      </c>
      <c r="T317" s="1177">
        <f t="shared" si="83"/>
        <v>0</v>
      </c>
      <c r="U317" s="1309">
        <f t="shared" si="77"/>
        <v>0</v>
      </c>
      <c r="V317" s="1309">
        <f t="shared" si="78"/>
        <v>0</v>
      </c>
      <c r="W317" s="1306"/>
      <c r="X317" s="1309">
        <f t="shared" si="79"/>
        <v>0</v>
      </c>
      <c r="Y317" s="1309">
        <f t="shared" si="80"/>
        <v>0</v>
      </c>
      <c r="Z317" s="1306"/>
    </row>
    <row r="318" spans="1:26">
      <c r="A318" s="74"/>
      <c r="B318" s="24"/>
      <c r="C318" s="14">
        <f t="shared" si="69"/>
        <v>1</v>
      </c>
      <c r="D318" s="706"/>
      <c r="E318" s="14">
        <f t="shared" si="70"/>
        <v>1</v>
      </c>
      <c r="F318" s="706"/>
      <c r="G318" s="14">
        <f t="shared" si="71"/>
        <v>1</v>
      </c>
      <c r="H318" s="706"/>
      <c r="I318" s="14">
        <f t="shared" si="72"/>
        <v>1</v>
      </c>
      <c r="J318" s="706"/>
      <c r="K318" s="14">
        <f t="shared" si="73"/>
        <v>1</v>
      </c>
      <c r="L318" s="706"/>
      <c r="M318" s="14">
        <f t="shared" si="74"/>
        <v>1</v>
      </c>
      <c r="N318" s="706"/>
      <c r="O318" s="14">
        <f t="shared" si="75"/>
        <v>1</v>
      </c>
      <c r="P318" s="706"/>
      <c r="Q318" s="14">
        <f t="shared" si="76"/>
        <v>1</v>
      </c>
      <c r="R318" s="702">
        <f t="shared" si="81"/>
        <v>0</v>
      </c>
      <c r="S318" s="333">
        <f t="shared" si="82"/>
        <v>0</v>
      </c>
      <c r="T318" s="1177">
        <f t="shared" si="83"/>
        <v>0</v>
      </c>
      <c r="U318" s="1309">
        <f t="shared" si="77"/>
        <v>0</v>
      </c>
      <c r="V318" s="1309">
        <f t="shared" si="78"/>
        <v>0</v>
      </c>
      <c r="W318" s="1306"/>
      <c r="X318" s="1309">
        <f t="shared" si="79"/>
        <v>0</v>
      </c>
      <c r="Y318" s="1309">
        <f t="shared" si="80"/>
        <v>0</v>
      </c>
      <c r="Z318" s="1306"/>
    </row>
    <row r="319" spans="1:26">
      <c r="A319" s="74"/>
      <c r="B319" s="24"/>
      <c r="C319" s="14">
        <f t="shared" si="69"/>
        <v>1</v>
      </c>
      <c r="D319" s="706"/>
      <c r="E319" s="14">
        <f t="shared" si="70"/>
        <v>1</v>
      </c>
      <c r="F319" s="706"/>
      <c r="G319" s="14">
        <f t="shared" si="71"/>
        <v>1</v>
      </c>
      <c r="H319" s="706"/>
      <c r="I319" s="14">
        <f t="shared" si="72"/>
        <v>1</v>
      </c>
      <c r="J319" s="706"/>
      <c r="K319" s="14">
        <f t="shared" si="73"/>
        <v>1</v>
      </c>
      <c r="L319" s="706"/>
      <c r="M319" s="14">
        <f t="shared" si="74"/>
        <v>1</v>
      </c>
      <c r="N319" s="706"/>
      <c r="O319" s="14">
        <f t="shared" si="75"/>
        <v>1</v>
      </c>
      <c r="P319" s="706"/>
      <c r="Q319" s="14">
        <f t="shared" si="76"/>
        <v>1</v>
      </c>
      <c r="R319" s="702">
        <f t="shared" si="81"/>
        <v>0</v>
      </c>
      <c r="S319" s="333">
        <f t="shared" si="82"/>
        <v>0</v>
      </c>
      <c r="T319" s="1177">
        <f t="shared" si="83"/>
        <v>0</v>
      </c>
      <c r="U319" s="1309">
        <f t="shared" si="77"/>
        <v>0</v>
      </c>
      <c r="V319" s="1309">
        <f t="shared" si="78"/>
        <v>0</v>
      </c>
      <c r="W319" s="1306"/>
      <c r="X319" s="1309">
        <f t="shared" si="79"/>
        <v>0</v>
      </c>
      <c r="Y319" s="1309">
        <f t="shared" si="80"/>
        <v>0</v>
      </c>
      <c r="Z319" s="1306"/>
    </row>
    <row r="320" spans="1:26">
      <c r="A320" s="74"/>
      <c r="B320" s="24"/>
      <c r="C320" s="14">
        <f t="shared" si="69"/>
        <v>1</v>
      </c>
      <c r="D320" s="706"/>
      <c r="E320" s="14">
        <f t="shared" si="70"/>
        <v>1</v>
      </c>
      <c r="F320" s="706"/>
      <c r="G320" s="14">
        <f t="shared" si="71"/>
        <v>1</v>
      </c>
      <c r="H320" s="706"/>
      <c r="I320" s="14">
        <f t="shared" si="72"/>
        <v>1</v>
      </c>
      <c r="J320" s="706"/>
      <c r="K320" s="14">
        <f t="shared" si="73"/>
        <v>1</v>
      </c>
      <c r="L320" s="706"/>
      <c r="M320" s="14">
        <f t="shared" si="74"/>
        <v>1</v>
      </c>
      <c r="N320" s="706"/>
      <c r="O320" s="14">
        <f t="shared" si="75"/>
        <v>1</v>
      </c>
      <c r="P320" s="706"/>
      <c r="Q320" s="14">
        <f t="shared" si="76"/>
        <v>1</v>
      </c>
      <c r="R320" s="702">
        <f t="shared" si="81"/>
        <v>0</v>
      </c>
      <c r="S320" s="333">
        <f t="shared" si="82"/>
        <v>0</v>
      </c>
      <c r="T320" s="1177">
        <f t="shared" si="83"/>
        <v>0</v>
      </c>
      <c r="U320" s="1309">
        <f t="shared" si="77"/>
        <v>0</v>
      </c>
      <c r="V320" s="1309">
        <f t="shared" si="78"/>
        <v>0</v>
      </c>
      <c r="W320" s="1306"/>
      <c r="X320" s="1309">
        <f t="shared" si="79"/>
        <v>0</v>
      </c>
      <c r="Y320" s="1309">
        <f t="shared" si="80"/>
        <v>0</v>
      </c>
      <c r="Z320" s="1306"/>
    </row>
    <row r="321" spans="1:26">
      <c r="A321" s="74"/>
      <c r="B321" s="24"/>
      <c r="C321" s="14">
        <f t="shared" si="69"/>
        <v>1</v>
      </c>
      <c r="D321" s="706"/>
      <c r="E321" s="14">
        <f t="shared" si="70"/>
        <v>1</v>
      </c>
      <c r="F321" s="706"/>
      <c r="G321" s="14">
        <f t="shared" si="71"/>
        <v>1</v>
      </c>
      <c r="H321" s="706"/>
      <c r="I321" s="14">
        <f t="shared" si="72"/>
        <v>1</v>
      </c>
      <c r="J321" s="706"/>
      <c r="K321" s="14">
        <f t="shared" si="73"/>
        <v>1</v>
      </c>
      <c r="L321" s="706"/>
      <c r="M321" s="14">
        <f t="shared" si="74"/>
        <v>1</v>
      </c>
      <c r="N321" s="706"/>
      <c r="O321" s="14">
        <f t="shared" si="75"/>
        <v>1</v>
      </c>
      <c r="P321" s="706"/>
      <c r="Q321" s="14">
        <f t="shared" si="76"/>
        <v>1</v>
      </c>
      <c r="R321" s="702">
        <f t="shared" si="81"/>
        <v>0</v>
      </c>
      <c r="S321" s="333">
        <f t="shared" si="82"/>
        <v>0</v>
      </c>
      <c r="T321" s="1177">
        <f t="shared" si="83"/>
        <v>0</v>
      </c>
      <c r="U321" s="1309">
        <f t="shared" si="77"/>
        <v>0</v>
      </c>
      <c r="V321" s="1309">
        <f t="shared" si="78"/>
        <v>0</v>
      </c>
      <c r="W321" s="1306"/>
      <c r="X321" s="1309">
        <f t="shared" si="79"/>
        <v>0</v>
      </c>
      <c r="Y321" s="1309">
        <f t="shared" si="80"/>
        <v>0</v>
      </c>
      <c r="Z321" s="1306"/>
    </row>
    <row r="322" spans="1:26">
      <c r="A322" s="74"/>
      <c r="B322" s="24"/>
      <c r="C322" s="14">
        <f t="shared" si="69"/>
        <v>1</v>
      </c>
      <c r="D322" s="706"/>
      <c r="E322" s="14">
        <f t="shared" si="70"/>
        <v>1</v>
      </c>
      <c r="F322" s="706"/>
      <c r="G322" s="14">
        <f t="shared" si="71"/>
        <v>1</v>
      </c>
      <c r="H322" s="706"/>
      <c r="I322" s="14">
        <f t="shared" si="72"/>
        <v>1</v>
      </c>
      <c r="J322" s="706"/>
      <c r="K322" s="14">
        <f t="shared" si="73"/>
        <v>1</v>
      </c>
      <c r="L322" s="706"/>
      <c r="M322" s="14">
        <f t="shared" si="74"/>
        <v>1</v>
      </c>
      <c r="N322" s="706"/>
      <c r="O322" s="14">
        <f t="shared" si="75"/>
        <v>1</v>
      </c>
      <c r="P322" s="706"/>
      <c r="Q322" s="14">
        <f t="shared" si="76"/>
        <v>1</v>
      </c>
      <c r="R322" s="702">
        <f t="shared" si="81"/>
        <v>0</v>
      </c>
      <c r="S322" s="333">
        <f t="shared" si="82"/>
        <v>0</v>
      </c>
      <c r="T322" s="1177">
        <f t="shared" si="83"/>
        <v>0</v>
      </c>
      <c r="U322" s="1309">
        <f t="shared" si="77"/>
        <v>0</v>
      </c>
      <c r="V322" s="1309">
        <f t="shared" si="78"/>
        <v>0</v>
      </c>
      <c r="W322" s="1306"/>
      <c r="X322" s="1309">
        <f t="shared" si="79"/>
        <v>0</v>
      </c>
      <c r="Y322" s="1309">
        <f t="shared" si="80"/>
        <v>0</v>
      </c>
      <c r="Z322" s="1306"/>
    </row>
    <row r="323" spans="1:26">
      <c r="A323" s="74"/>
      <c r="B323" s="24"/>
      <c r="C323" s="14">
        <f t="shared" si="69"/>
        <v>1</v>
      </c>
      <c r="D323" s="706"/>
      <c r="E323" s="14">
        <f t="shared" si="70"/>
        <v>1</v>
      </c>
      <c r="F323" s="706"/>
      <c r="G323" s="14">
        <f t="shared" si="71"/>
        <v>1</v>
      </c>
      <c r="H323" s="706"/>
      <c r="I323" s="14">
        <f t="shared" si="72"/>
        <v>1</v>
      </c>
      <c r="J323" s="706"/>
      <c r="K323" s="14">
        <f t="shared" si="73"/>
        <v>1</v>
      </c>
      <c r="L323" s="706"/>
      <c r="M323" s="14">
        <f t="shared" si="74"/>
        <v>1</v>
      </c>
      <c r="N323" s="706"/>
      <c r="O323" s="14">
        <f t="shared" si="75"/>
        <v>1</v>
      </c>
      <c r="P323" s="706"/>
      <c r="Q323" s="14">
        <f t="shared" si="76"/>
        <v>1</v>
      </c>
      <c r="R323" s="702">
        <f t="shared" si="81"/>
        <v>0</v>
      </c>
      <c r="S323" s="333">
        <f t="shared" si="82"/>
        <v>0</v>
      </c>
      <c r="T323" s="1177">
        <f t="shared" si="83"/>
        <v>0</v>
      </c>
      <c r="U323" s="1309">
        <f t="shared" si="77"/>
        <v>0</v>
      </c>
      <c r="V323" s="1309">
        <f t="shared" si="78"/>
        <v>0</v>
      </c>
      <c r="W323" s="1306"/>
      <c r="X323" s="1309">
        <f t="shared" si="79"/>
        <v>0</v>
      </c>
      <c r="Y323" s="1309">
        <f t="shared" si="80"/>
        <v>0</v>
      </c>
      <c r="Z323" s="1306"/>
    </row>
    <row r="324" spans="1:26">
      <c r="A324" s="74"/>
      <c r="B324" s="24"/>
      <c r="C324" s="14">
        <f t="shared" si="69"/>
        <v>1</v>
      </c>
      <c r="D324" s="706"/>
      <c r="E324" s="14">
        <f t="shared" si="70"/>
        <v>1</v>
      </c>
      <c r="F324" s="706"/>
      <c r="G324" s="14">
        <f t="shared" si="71"/>
        <v>1</v>
      </c>
      <c r="H324" s="706"/>
      <c r="I324" s="14">
        <f t="shared" si="72"/>
        <v>1</v>
      </c>
      <c r="J324" s="706"/>
      <c r="K324" s="14">
        <f t="shared" si="73"/>
        <v>1</v>
      </c>
      <c r="L324" s="706"/>
      <c r="M324" s="14">
        <f t="shared" si="74"/>
        <v>1</v>
      </c>
      <c r="N324" s="706"/>
      <c r="O324" s="14">
        <f t="shared" si="75"/>
        <v>1</v>
      </c>
      <c r="P324" s="706"/>
      <c r="Q324" s="14">
        <f t="shared" si="76"/>
        <v>1</v>
      </c>
      <c r="R324" s="702">
        <f t="shared" si="81"/>
        <v>0</v>
      </c>
      <c r="S324" s="333">
        <f t="shared" si="82"/>
        <v>0</v>
      </c>
      <c r="T324" s="1177">
        <f t="shared" si="83"/>
        <v>0</v>
      </c>
      <c r="U324" s="1309">
        <f t="shared" si="77"/>
        <v>0</v>
      </c>
      <c r="V324" s="1309">
        <f t="shared" si="78"/>
        <v>0</v>
      </c>
      <c r="W324" s="1306"/>
      <c r="X324" s="1309">
        <f t="shared" si="79"/>
        <v>0</v>
      </c>
      <c r="Y324" s="1309">
        <f t="shared" si="80"/>
        <v>0</v>
      </c>
      <c r="Z324" s="1306"/>
    </row>
    <row r="325" spans="1:26">
      <c r="A325" s="74"/>
      <c r="B325" s="24"/>
      <c r="C325" s="14">
        <f t="shared" si="69"/>
        <v>1</v>
      </c>
      <c r="D325" s="706"/>
      <c r="E325" s="14">
        <f t="shared" si="70"/>
        <v>1</v>
      </c>
      <c r="F325" s="706"/>
      <c r="G325" s="14">
        <f t="shared" si="71"/>
        <v>1</v>
      </c>
      <c r="H325" s="706"/>
      <c r="I325" s="14">
        <f t="shared" si="72"/>
        <v>1</v>
      </c>
      <c r="J325" s="706"/>
      <c r="K325" s="14">
        <f t="shared" si="73"/>
        <v>1</v>
      </c>
      <c r="L325" s="706"/>
      <c r="M325" s="14">
        <f t="shared" si="74"/>
        <v>1</v>
      </c>
      <c r="N325" s="706"/>
      <c r="O325" s="14">
        <f t="shared" si="75"/>
        <v>1</v>
      </c>
      <c r="P325" s="706"/>
      <c r="Q325" s="14">
        <f t="shared" si="76"/>
        <v>1</v>
      </c>
      <c r="R325" s="702">
        <f t="shared" si="81"/>
        <v>0</v>
      </c>
      <c r="S325" s="333">
        <f t="shared" si="82"/>
        <v>0</v>
      </c>
      <c r="T325" s="1177">
        <f t="shared" si="83"/>
        <v>0</v>
      </c>
      <c r="U325" s="1309">
        <f t="shared" si="77"/>
        <v>0</v>
      </c>
      <c r="V325" s="1309">
        <f t="shared" si="78"/>
        <v>0</v>
      </c>
      <c r="W325" s="1306"/>
      <c r="X325" s="1309">
        <f t="shared" si="79"/>
        <v>0</v>
      </c>
      <c r="Y325" s="1309">
        <f t="shared" si="80"/>
        <v>0</v>
      </c>
      <c r="Z325" s="1306"/>
    </row>
    <row r="326" spans="1:26">
      <c r="A326" s="74"/>
      <c r="B326" s="24"/>
      <c r="C326" s="14">
        <f t="shared" si="69"/>
        <v>1</v>
      </c>
      <c r="D326" s="706"/>
      <c r="E326" s="14">
        <f t="shared" si="70"/>
        <v>1</v>
      </c>
      <c r="F326" s="706"/>
      <c r="G326" s="14">
        <f t="shared" si="71"/>
        <v>1</v>
      </c>
      <c r="H326" s="706"/>
      <c r="I326" s="14">
        <f t="shared" si="72"/>
        <v>1</v>
      </c>
      <c r="J326" s="706"/>
      <c r="K326" s="14">
        <f t="shared" si="73"/>
        <v>1</v>
      </c>
      <c r="L326" s="706"/>
      <c r="M326" s="14">
        <f t="shared" si="74"/>
        <v>1</v>
      </c>
      <c r="N326" s="706"/>
      <c r="O326" s="14">
        <f t="shared" si="75"/>
        <v>1</v>
      </c>
      <c r="P326" s="706"/>
      <c r="Q326" s="14">
        <f t="shared" si="76"/>
        <v>1</v>
      </c>
      <c r="R326" s="702">
        <f t="shared" si="81"/>
        <v>0</v>
      </c>
      <c r="S326" s="333">
        <f t="shared" si="82"/>
        <v>0</v>
      </c>
      <c r="T326" s="1177">
        <f t="shared" si="83"/>
        <v>0</v>
      </c>
      <c r="U326" s="1309">
        <f t="shared" si="77"/>
        <v>0</v>
      </c>
      <c r="V326" s="1309">
        <f t="shared" si="78"/>
        <v>0</v>
      </c>
      <c r="W326" s="1306"/>
      <c r="X326" s="1309">
        <f t="shared" si="79"/>
        <v>0</v>
      </c>
      <c r="Y326" s="1309">
        <f t="shared" si="80"/>
        <v>0</v>
      </c>
      <c r="Z326" s="1306"/>
    </row>
    <row r="327" spans="1:26">
      <c r="A327" s="74"/>
      <c r="B327" s="24"/>
      <c r="C327" s="14">
        <f t="shared" si="69"/>
        <v>1</v>
      </c>
      <c r="D327" s="706"/>
      <c r="E327" s="14">
        <f t="shared" si="70"/>
        <v>1</v>
      </c>
      <c r="F327" s="706"/>
      <c r="G327" s="14">
        <f t="shared" si="71"/>
        <v>1</v>
      </c>
      <c r="H327" s="706"/>
      <c r="I327" s="14">
        <f t="shared" si="72"/>
        <v>1</v>
      </c>
      <c r="J327" s="706"/>
      <c r="K327" s="14">
        <f t="shared" si="73"/>
        <v>1</v>
      </c>
      <c r="L327" s="706"/>
      <c r="M327" s="14">
        <f t="shared" si="74"/>
        <v>1</v>
      </c>
      <c r="N327" s="706"/>
      <c r="O327" s="14">
        <f t="shared" si="75"/>
        <v>1</v>
      </c>
      <c r="P327" s="706"/>
      <c r="Q327" s="14">
        <f t="shared" si="76"/>
        <v>1</v>
      </c>
      <c r="R327" s="702">
        <f t="shared" si="81"/>
        <v>0</v>
      </c>
      <c r="S327" s="333">
        <f t="shared" si="82"/>
        <v>0</v>
      </c>
      <c r="T327" s="1177">
        <f t="shared" si="83"/>
        <v>0</v>
      </c>
      <c r="U327" s="1309">
        <f t="shared" si="77"/>
        <v>0</v>
      </c>
      <c r="V327" s="1309">
        <f t="shared" si="78"/>
        <v>0</v>
      </c>
      <c r="W327" s="1306"/>
      <c r="X327" s="1309">
        <f t="shared" si="79"/>
        <v>0</v>
      </c>
      <c r="Y327" s="1309">
        <f t="shared" si="80"/>
        <v>0</v>
      </c>
      <c r="Z327" s="1306"/>
    </row>
    <row r="328" spans="1:26">
      <c r="A328" s="74"/>
      <c r="B328" s="24"/>
      <c r="C328" s="14">
        <f t="shared" si="69"/>
        <v>1</v>
      </c>
      <c r="D328" s="706"/>
      <c r="E328" s="14">
        <f t="shared" si="70"/>
        <v>1</v>
      </c>
      <c r="F328" s="706"/>
      <c r="G328" s="14">
        <f t="shared" si="71"/>
        <v>1</v>
      </c>
      <c r="H328" s="706"/>
      <c r="I328" s="14">
        <f t="shared" si="72"/>
        <v>1</v>
      </c>
      <c r="J328" s="706"/>
      <c r="K328" s="14">
        <f t="shared" si="73"/>
        <v>1</v>
      </c>
      <c r="L328" s="706"/>
      <c r="M328" s="14">
        <f t="shared" si="74"/>
        <v>1</v>
      </c>
      <c r="N328" s="706"/>
      <c r="O328" s="14">
        <f t="shared" si="75"/>
        <v>1</v>
      </c>
      <c r="P328" s="706"/>
      <c r="Q328" s="14">
        <f t="shared" si="76"/>
        <v>1</v>
      </c>
      <c r="R328" s="702">
        <f t="shared" si="81"/>
        <v>0</v>
      </c>
      <c r="S328" s="333">
        <f t="shared" si="82"/>
        <v>0</v>
      </c>
      <c r="T328" s="1177">
        <f t="shared" si="83"/>
        <v>0</v>
      </c>
      <c r="U328" s="1309">
        <f t="shared" si="77"/>
        <v>0</v>
      </c>
      <c r="V328" s="1309">
        <f t="shared" si="78"/>
        <v>0</v>
      </c>
      <c r="W328" s="1306"/>
      <c r="X328" s="1309">
        <f t="shared" si="79"/>
        <v>0</v>
      </c>
      <c r="Y328" s="1309">
        <f t="shared" si="80"/>
        <v>0</v>
      </c>
      <c r="Z328" s="1306"/>
    </row>
    <row r="329" spans="1:26">
      <c r="A329" s="74"/>
      <c r="B329" s="24"/>
      <c r="C329" s="14">
        <f t="shared" si="69"/>
        <v>1</v>
      </c>
      <c r="D329" s="706"/>
      <c r="E329" s="14">
        <f t="shared" si="70"/>
        <v>1</v>
      </c>
      <c r="F329" s="706"/>
      <c r="G329" s="14">
        <f t="shared" si="71"/>
        <v>1</v>
      </c>
      <c r="H329" s="706"/>
      <c r="I329" s="14">
        <f t="shared" si="72"/>
        <v>1</v>
      </c>
      <c r="J329" s="706"/>
      <c r="K329" s="14">
        <f t="shared" si="73"/>
        <v>1</v>
      </c>
      <c r="L329" s="706"/>
      <c r="M329" s="14">
        <f t="shared" si="74"/>
        <v>1</v>
      </c>
      <c r="N329" s="706"/>
      <c r="O329" s="14">
        <f t="shared" si="75"/>
        <v>1</v>
      </c>
      <c r="P329" s="706"/>
      <c r="Q329" s="14">
        <f t="shared" si="76"/>
        <v>1</v>
      </c>
      <c r="R329" s="702">
        <f t="shared" si="81"/>
        <v>0</v>
      </c>
      <c r="S329" s="333">
        <f t="shared" si="82"/>
        <v>0</v>
      </c>
      <c r="T329" s="1177">
        <f t="shared" si="83"/>
        <v>0</v>
      </c>
      <c r="U329" s="1309">
        <f t="shared" si="77"/>
        <v>0</v>
      </c>
      <c r="V329" s="1309">
        <f t="shared" si="78"/>
        <v>0</v>
      </c>
      <c r="W329" s="1306"/>
      <c r="X329" s="1309">
        <f t="shared" si="79"/>
        <v>0</v>
      </c>
      <c r="Y329" s="1309">
        <f t="shared" si="80"/>
        <v>0</v>
      </c>
      <c r="Z329" s="1306"/>
    </row>
    <row r="330" spans="1:26">
      <c r="A330" s="74"/>
      <c r="B330" s="24"/>
      <c r="C330" s="14">
        <f t="shared" si="69"/>
        <v>1</v>
      </c>
      <c r="D330" s="706"/>
      <c r="E330" s="14">
        <f t="shared" si="70"/>
        <v>1</v>
      </c>
      <c r="F330" s="706"/>
      <c r="G330" s="14">
        <f t="shared" si="71"/>
        <v>1</v>
      </c>
      <c r="H330" s="706"/>
      <c r="I330" s="14">
        <f t="shared" si="72"/>
        <v>1</v>
      </c>
      <c r="J330" s="706"/>
      <c r="K330" s="14">
        <f t="shared" si="73"/>
        <v>1</v>
      </c>
      <c r="L330" s="706"/>
      <c r="M330" s="14">
        <f t="shared" si="74"/>
        <v>1</v>
      </c>
      <c r="N330" s="706"/>
      <c r="O330" s="14">
        <f t="shared" si="75"/>
        <v>1</v>
      </c>
      <c r="P330" s="706"/>
      <c r="Q330" s="14">
        <f t="shared" si="76"/>
        <v>1</v>
      </c>
      <c r="R330" s="702">
        <f t="shared" si="81"/>
        <v>0</v>
      </c>
      <c r="S330" s="333">
        <f t="shared" si="82"/>
        <v>0</v>
      </c>
      <c r="T330" s="1177">
        <f t="shared" si="83"/>
        <v>0</v>
      </c>
      <c r="U330" s="1309">
        <f t="shared" si="77"/>
        <v>0</v>
      </c>
      <c r="V330" s="1309">
        <f t="shared" si="78"/>
        <v>0</v>
      </c>
      <c r="W330" s="1306"/>
      <c r="X330" s="1309">
        <f t="shared" si="79"/>
        <v>0</v>
      </c>
      <c r="Y330" s="1309">
        <f t="shared" si="80"/>
        <v>0</v>
      </c>
      <c r="Z330" s="1306"/>
    </row>
    <row r="331" spans="1:26">
      <c r="A331" s="74"/>
      <c r="B331" s="24"/>
      <c r="C331" s="14">
        <f t="shared" si="69"/>
        <v>1</v>
      </c>
      <c r="D331" s="706"/>
      <c r="E331" s="14">
        <f t="shared" si="70"/>
        <v>1</v>
      </c>
      <c r="F331" s="706"/>
      <c r="G331" s="14">
        <f t="shared" si="71"/>
        <v>1</v>
      </c>
      <c r="H331" s="706"/>
      <c r="I331" s="14">
        <f t="shared" si="72"/>
        <v>1</v>
      </c>
      <c r="J331" s="706"/>
      <c r="K331" s="14">
        <f t="shared" si="73"/>
        <v>1</v>
      </c>
      <c r="L331" s="706"/>
      <c r="M331" s="14">
        <f t="shared" si="74"/>
        <v>1</v>
      </c>
      <c r="N331" s="706"/>
      <c r="O331" s="14">
        <f t="shared" si="75"/>
        <v>1</v>
      </c>
      <c r="P331" s="706"/>
      <c r="Q331" s="14">
        <f t="shared" si="76"/>
        <v>1</v>
      </c>
      <c r="R331" s="702">
        <f t="shared" si="81"/>
        <v>0</v>
      </c>
      <c r="S331" s="333">
        <f t="shared" si="82"/>
        <v>0</v>
      </c>
      <c r="T331" s="1177">
        <f t="shared" si="83"/>
        <v>0</v>
      </c>
      <c r="U331" s="1309">
        <f t="shared" si="77"/>
        <v>0</v>
      </c>
      <c r="V331" s="1309">
        <f t="shared" si="78"/>
        <v>0</v>
      </c>
      <c r="W331" s="1306"/>
      <c r="X331" s="1309">
        <f t="shared" si="79"/>
        <v>0</v>
      </c>
      <c r="Y331" s="1309">
        <f t="shared" si="80"/>
        <v>0</v>
      </c>
      <c r="Z331" s="1306"/>
    </row>
    <row r="332" spans="1:26">
      <c r="A332" s="74"/>
      <c r="B332" s="24"/>
      <c r="C332" s="14">
        <f t="shared" si="69"/>
        <v>1</v>
      </c>
      <c r="D332" s="706"/>
      <c r="E332" s="14">
        <f t="shared" si="70"/>
        <v>1</v>
      </c>
      <c r="F332" s="706"/>
      <c r="G332" s="14">
        <f t="shared" si="71"/>
        <v>1</v>
      </c>
      <c r="H332" s="706"/>
      <c r="I332" s="14">
        <f t="shared" si="72"/>
        <v>1</v>
      </c>
      <c r="J332" s="706"/>
      <c r="K332" s="14">
        <f t="shared" si="73"/>
        <v>1</v>
      </c>
      <c r="L332" s="706"/>
      <c r="M332" s="14">
        <f t="shared" si="74"/>
        <v>1</v>
      </c>
      <c r="N332" s="706"/>
      <c r="O332" s="14">
        <f t="shared" si="75"/>
        <v>1</v>
      </c>
      <c r="P332" s="706"/>
      <c r="Q332" s="14">
        <f t="shared" si="76"/>
        <v>1</v>
      </c>
      <c r="R332" s="702">
        <f t="shared" si="81"/>
        <v>0</v>
      </c>
      <c r="S332" s="333">
        <f t="shared" si="82"/>
        <v>0</v>
      </c>
      <c r="T332" s="1177">
        <f t="shared" si="83"/>
        <v>0</v>
      </c>
      <c r="U332" s="1309">
        <f t="shared" si="77"/>
        <v>0</v>
      </c>
      <c r="V332" s="1309">
        <f t="shared" si="78"/>
        <v>0</v>
      </c>
      <c r="W332" s="1306"/>
      <c r="X332" s="1309">
        <f t="shared" si="79"/>
        <v>0</v>
      </c>
      <c r="Y332" s="1309">
        <f t="shared" si="80"/>
        <v>0</v>
      </c>
      <c r="Z332" s="1306"/>
    </row>
    <row r="333" spans="1:26">
      <c r="A333" s="74"/>
      <c r="B333" s="24"/>
      <c r="C333" s="14">
        <f t="shared" si="69"/>
        <v>1</v>
      </c>
      <c r="D333" s="706"/>
      <c r="E333" s="14">
        <f t="shared" si="70"/>
        <v>1</v>
      </c>
      <c r="F333" s="706"/>
      <c r="G333" s="14">
        <f t="shared" si="71"/>
        <v>1</v>
      </c>
      <c r="H333" s="706"/>
      <c r="I333" s="14">
        <f t="shared" si="72"/>
        <v>1</v>
      </c>
      <c r="J333" s="706"/>
      <c r="K333" s="14">
        <f t="shared" si="73"/>
        <v>1</v>
      </c>
      <c r="L333" s="706"/>
      <c r="M333" s="14">
        <f t="shared" si="74"/>
        <v>1</v>
      </c>
      <c r="N333" s="706"/>
      <c r="O333" s="14">
        <f t="shared" si="75"/>
        <v>1</v>
      </c>
      <c r="P333" s="706"/>
      <c r="Q333" s="14">
        <f t="shared" si="76"/>
        <v>1</v>
      </c>
      <c r="R333" s="702">
        <f t="shared" si="81"/>
        <v>0</v>
      </c>
      <c r="S333" s="333">
        <f t="shared" si="82"/>
        <v>0</v>
      </c>
      <c r="T333" s="1177">
        <f t="shared" si="83"/>
        <v>0</v>
      </c>
      <c r="U333" s="1309">
        <f t="shared" si="77"/>
        <v>0</v>
      </c>
      <c r="V333" s="1309">
        <f t="shared" si="78"/>
        <v>0</v>
      </c>
      <c r="W333" s="1306"/>
      <c r="X333" s="1309">
        <f t="shared" si="79"/>
        <v>0</v>
      </c>
      <c r="Y333" s="1309">
        <f t="shared" si="80"/>
        <v>0</v>
      </c>
      <c r="Z333" s="1306"/>
    </row>
    <row r="334" spans="1:26">
      <c r="A334" s="74"/>
      <c r="B334" s="24"/>
      <c r="C334" s="14">
        <f t="shared" si="69"/>
        <v>1</v>
      </c>
      <c r="D334" s="706"/>
      <c r="E334" s="14">
        <f t="shared" si="70"/>
        <v>1</v>
      </c>
      <c r="F334" s="706"/>
      <c r="G334" s="14">
        <f t="shared" si="71"/>
        <v>1</v>
      </c>
      <c r="H334" s="706"/>
      <c r="I334" s="14">
        <f t="shared" si="72"/>
        <v>1</v>
      </c>
      <c r="J334" s="706"/>
      <c r="K334" s="14">
        <f t="shared" si="73"/>
        <v>1</v>
      </c>
      <c r="L334" s="706"/>
      <c r="M334" s="14">
        <f t="shared" si="74"/>
        <v>1</v>
      </c>
      <c r="N334" s="706"/>
      <c r="O334" s="14">
        <f t="shared" si="75"/>
        <v>1</v>
      </c>
      <c r="P334" s="706"/>
      <c r="Q334" s="14">
        <f t="shared" si="76"/>
        <v>1</v>
      </c>
      <c r="R334" s="702">
        <f t="shared" si="81"/>
        <v>0</v>
      </c>
      <c r="S334" s="333">
        <f t="shared" si="82"/>
        <v>0</v>
      </c>
      <c r="T334" s="1177">
        <f t="shared" si="83"/>
        <v>0</v>
      </c>
      <c r="U334" s="1309">
        <f t="shared" si="77"/>
        <v>0</v>
      </c>
      <c r="V334" s="1309">
        <f t="shared" si="78"/>
        <v>0</v>
      </c>
      <c r="W334" s="1306"/>
      <c r="X334" s="1309">
        <f t="shared" si="79"/>
        <v>0</v>
      </c>
      <c r="Y334" s="1309">
        <f t="shared" si="80"/>
        <v>0</v>
      </c>
      <c r="Z334" s="1306"/>
    </row>
    <row r="335" spans="1:26">
      <c r="A335" s="74"/>
      <c r="B335" s="24"/>
      <c r="C335" s="14">
        <f t="shared" si="69"/>
        <v>1</v>
      </c>
      <c r="D335" s="706"/>
      <c r="E335" s="14">
        <f t="shared" si="70"/>
        <v>1</v>
      </c>
      <c r="F335" s="706"/>
      <c r="G335" s="14">
        <f t="shared" si="71"/>
        <v>1</v>
      </c>
      <c r="H335" s="706"/>
      <c r="I335" s="14">
        <f t="shared" si="72"/>
        <v>1</v>
      </c>
      <c r="J335" s="706"/>
      <c r="K335" s="14">
        <f t="shared" si="73"/>
        <v>1</v>
      </c>
      <c r="L335" s="706"/>
      <c r="M335" s="14">
        <f t="shared" si="74"/>
        <v>1</v>
      </c>
      <c r="N335" s="706"/>
      <c r="O335" s="14">
        <f t="shared" si="75"/>
        <v>1</v>
      </c>
      <c r="P335" s="706"/>
      <c r="Q335" s="14">
        <f t="shared" si="76"/>
        <v>1</v>
      </c>
      <c r="R335" s="702">
        <f t="shared" si="81"/>
        <v>0</v>
      </c>
      <c r="S335" s="333">
        <f t="shared" si="82"/>
        <v>0</v>
      </c>
      <c r="T335" s="1177">
        <f t="shared" si="83"/>
        <v>0</v>
      </c>
      <c r="U335" s="1309">
        <f t="shared" si="77"/>
        <v>0</v>
      </c>
      <c r="V335" s="1309">
        <f t="shared" si="78"/>
        <v>0</v>
      </c>
      <c r="W335" s="1306"/>
      <c r="X335" s="1309">
        <f t="shared" si="79"/>
        <v>0</v>
      </c>
      <c r="Y335" s="1309">
        <f t="shared" si="80"/>
        <v>0</v>
      </c>
      <c r="Z335" s="1306"/>
    </row>
    <row r="336" spans="1:26">
      <c r="A336" s="74"/>
      <c r="B336" s="24"/>
      <c r="C336" s="14">
        <f t="shared" si="69"/>
        <v>1</v>
      </c>
      <c r="D336" s="706"/>
      <c r="E336" s="14">
        <f t="shared" si="70"/>
        <v>1</v>
      </c>
      <c r="F336" s="706"/>
      <c r="G336" s="14">
        <f t="shared" si="71"/>
        <v>1</v>
      </c>
      <c r="H336" s="706"/>
      <c r="I336" s="14">
        <f t="shared" si="72"/>
        <v>1</v>
      </c>
      <c r="J336" s="706"/>
      <c r="K336" s="14">
        <f t="shared" si="73"/>
        <v>1</v>
      </c>
      <c r="L336" s="706"/>
      <c r="M336" s="14">
        <f t="shared" si="74"/>
        <v>1</v>
      </c>
      <c r="N336" s="706"/>
      <c r="O336" s="14">
        <f t="shared" si="75"/>
        <v>1</v>
      </c>
      <c r="P336" s="706"/>
      <c r="Q336" s="14">
        <f t="shared" si="76"/>
        <v>1</v>
      </c>
      <c r="R336" s="702">
        <f t="shared" si="81"/>
        <v>0</v>
      </c>
      <c r="S336" s="333">
        <f t="shared" si="82"/>
        <v>0</v>
      </c>
      <c r="T336" s="1177">
        <f t="shared" si="83"/>
        <v>0</v>
      </c>
      <c r="U336" s="1309">
        <f t="shared" si="77"/>
        <v>0</v>
      </c>
      <c r="V336" s="1309">
        <f t="shared" si="78"/>
        <v>0</v>
      </c>
      <c r="W336" s="1306"/>
      <c r="X336" s="1309">
        <f t="shared" si="79"/>
        <v>0</v>
      </c>
      <c r="Y336" s="1309">
        <f t="shared" si="80"/>
        <v>0</v>
      </c>
      <c r="Z336" s="1306"/>
    </row>
    <row r="337" spans="1:26">
      <c r="A337" s="74"/>
      <c r="B337" s="24"/>
      <c r="C337" s="14">
        <f t="shared" si="69"/>
        <v>1</v>
      </c>
      <c r="D337" s="706"/>
      <c r="E337" s="14">
        <f t="shared" si="70"/>
        <v>1</v>
      </c>
      <c r="F337" s="706"/>
      <c r="G337" s="14">
        <f t="shared" si="71"/>
        <v>1</v>
      </c>
      <c r="H337" s="706"/>
      <c r="I337" s="14">
        <f t="shared" si="72"/>
        <v>1</v>
      </c>
      <c r="J337" s="706"/>
      <c r="K337" s="14">
        <f t="shared" si="73"/>
        <v>1</v>
      </c>
      <c r="L337" s="706"/>
      <c r="M337" s="14">
        <f t="shared" si="74"/>
        <v>1</v>
      </c>
      <c r="N337" s="706"/>
      <c r="O337" s="14">
        <f t="shared" si="75"/>
        <v>1</v>
      </c>
      <c r="P337" s="706"/>
      <c r="Q337" s="14">
        <f t="shared" si="76"/>
        <v>1</v>
      </c>
      <c r="R337" s="702">
        <f t="shared" si="81"/>
        <v>0</v>
      </c>
      <c r="S337" s="333">
        <f t="shared" si="82"/>
        <v>0</v>
      </c>
      <c r="T337" s="1177">
        <f t="shared" si="83"/>
        <v>0</v>
      </c>
      <c r="U337" s="1309">
        <f t="shared" si="77"/>
        <v>0</v>
      </c>
      <c r="V337" s="1309">
        <f t="shared" si="78"/>
        <v>0</v>
      </c>
      <c r="W337" s="1306"/>
      <c r="X337" s="1309">
        <f t="shared" si="79"/>
        <v>0</v>
      </c>
      <c r="Y337" s="1309">
        <f t="shared" si="80"/>
        <v>0</v>
      </c>
      <c r="Z337" s="1306"/>
    </row>
    <row r="338" spans="1:26">
      <c r="A338" s="74"/>
      <c r="B338" s="24"/>
      <c r="C338" s="14">
        <f t="shared" si="69"/>
        <v>1</v>
      </c>
      <c r="D338" s="706"/>
      <c r="E338" s="14">
        <f t="shared" si="70"/>
        <v>1</v>
      </c>
      <c r="F338" s="706"/>
      <c r="G338" s="14">
        <f t="shared" si="71"/>
        <v>1</v>
      </c>
      <c r="H338" s="706"/>
      <c r="I338" s="14">
        <f t="shared" si="72"/>
        <v>1</v>
      </c>
      <c r="J338" s="706"/>
      <c r="K338" s="14">
        <f t="shared" si="73"/>
        <v>1</v>
      </c>
      <c r="L338" s="706"/>
      <c r="M338" s="14">
        <f t="shared" si="74"/>
        <v>1</v>
      </c>
      <c r="N338" s="706"/>
      <c r="O338" s="14">
        <f t="shared" si="75"/>
        <v>1</v>
      </c>
      <c r="P338" s="706"/>
      <c r="Q338" s="14">
        <f t="shared" si="76"/>
        <v>1</v>
      </c>
      <c r="R338" s="702">
        <f t="shared" si="81"/>
        <v>0</v>
      </c>
      <c r="S338" s="333">
        <f t="shared" si="82"/>
        <v>0</v>
      </c>
      <c r="T338" s="1177">
        <f t="shared" si="83"/>
        <v>0</v>
      </c>
      <c r="U338" s="1309">
        <f t="shared" si="77"/>
        <v>0</v>
      </c>
      <c r="V338" s="1309">
        <f t="shared" si="78"/>
        <v>0</v>
      </c>
      <c r="W338" s="1306"/>
      <c r="X338" s="1309">
        <f t="shared" si="79"/>
        <v>0</v>
      </c>
      <c r="Y338" s="1309">
        <f t="shared" si="80"/>
        <v>0</v>
      </c>
      <c r="Z338" s="1306"/>
    </row>
    <row r="339" spans="1:26">
      <c r="A339" s="74"/>
      <c r="B339" s="24"/>
      <c r="C339" s="14">
        <f t="shared" si="69"/>
        <v>1</v>
      </c>
      <c r="D339" s="706"/>
      <c r="E339" s="14">
        <f t="shared" si="70"/>
        <v>1</v>
      </c>
      <c r="F339" s="706"/>
      <c r="G339" s="14">
        <f t="shared" si="71"/>
        <v>1</v>
      </c>
      <c r="H339" s="706"/>
      <c r="I339" s="14">
        <f t="shared" si="72"/>
        <v>1</v>
      </c>
      <c r="J339" s="706"/>
      <c r="K339" s="14">
        <f t="shared" si="73"/>
        <v>1</v>
      </c>
      <c r="L339" s="706"/>
      <c r="M339" s="14">
        <f t="shared" si="74"/>
        <v>1</v>
      </c>
      <c r="N339" s="706"/>
      <c r="O339" s="14">
        <f t="shared" si="75"/>
        <v>1</v>
      </c>
      <c r="P339" s="706"/>
      <c r="Q339" s="14">
        <f t="shared" si="76"/>
        <v>1</v>
      </c>
      <c r="R339" s="702">
        <f t="shared" si="81"/>
        <v>0</v>
      </c>
      <c r="S339" s="333">
        <f t="shared" si="82"/>
        <v>0</v>
      </c>
      <c r="T339" s="1177">
        <f t="shared" si="83"/>
        <v>0</v>
      </c>
      <c r="U339" s="1309">
        <f t="shared" si="77"/>
        <v>0</v>
      </c>
      <c r="V339" s="1309">
        <f t="shared" si="78"/>
        <v>0</v>
      </c>
      <c r="W339" s="1306"/>
      <c r="X339" s="1309">
        <f t="shared" si="79"/>
        <v>0</v>
      </c>
      <c r="Y339" s="1309">
        <f t="shared" si="80"/>
        <v>0</v>
      </c>
      <c r="Z339" s="1306"/>
    </row>
    <row r="340" spans="1:26">
      <c r="A340" s="74"/>
      <c r="B340" s="24"/>
      <c r="C340" s="14">
        <f t="shared" si="69"/>
        <v>1</v>
      </c>
      <c r="D340" s="706"/>
      <c r="E340" s="14">
        <f t="shared" si="70"/>
        <v>1</v>
      </c>
      <c r="F340" s="706"/>
      <c r="G340" s="14">
        <f t="shared" si="71"/>
        <v>1</v>
      </c>
      <c r="H340" s="706"/>
      <c r="I340" s="14">
        <f t="shared" si="72"/>
        <v>1</v>
      </c>
      <c r="J340" s="706"/>
      <c r="K340" s="14">
        <f t="shared" si="73"/>
        <v>1</v>
      </c>
      <c r="L340" s="706"/>
      <c r="M340" s="14">
        <f t="shared" si="74"/>
        <v>1</v>
      </c>
      <c r="N340" s="706"/>
      <c r="O340" s="14">
        <f t="shared" si="75"/>
        <v>1</v>
      </c>
      <c r="P340" s="706"/>
      <c r="Q340" s="14">
        <f t="shared" si="76"/>
        <v>1</v>
      </c>
      <c r="R340" s="702">
        <f t="shared" si="81"/>
        <v>0</v>
      </c>
      <c r="S340" s="333">
        <f t="shared" si="82"/>
        <v>0</v>
      </c>
      <c r="T340" s="1177">
        <f t="shared" si="83"/>
        <v>0</v>
      </c>
      <c r="U340" s="1309">
        <f t="shared" si="77"/>
        <v>0</v>
      </c>
      <c r="V340" s="1309">
        <f t="shared" si="78"/>
        <v>0</v>
      </c>
      <c r="W340" s="1306"/>
      <c r="X340" s="1309">
        <f t="shared" si="79"/>
        <v>0</v>
      </c>
      <c r="Y340" s="1309">
        <f t="shared" si="80"/>
        <v>0</v>
      </c>
      <c r="Z340" s="1306"/>
    </row>
    <row r="341" spans="1:26">
      <c r="A341" s="74"/>
      <c r="B341" s="24"/>
      <c r="C341" s="14">
        <f t="shared" si="69"/>
        <v>1</v>
      </c>
      <c r="D341" s="706"/>
      <c r="E341" s="14">
        <f t="shared" si="70"/>
        <v>1</v>
      </c>
      <c r="F341" s="706"/>
      <c r="G341" s="14">
        <f t="shared" si="71"/>
        <v>1</v>
      </c>
      <c r="H341" s="706"/>
      <c r="I341" s="14">
        <f t="shared" si="72"/>
        <v>1</v>
      </c>
      <c r="J341" s="706"/>
      <c r="K341" s="14">
        <f t="shared" si="73"/>
        <v>1</v>
      </c>
      <c r="L341" s="706"/>
      <c r="M341" s="14">
        <f t="shared" si="74"/>
        <v>1</v>
      </c>
      <c r="N341" s="706"/>
      <c r="O341" s="14">
        <f t="shared" si="75"/>
        <v>1</v>
      </c>
      <c r="P341" s="706"/>
      <c r="Q341" s="14">
        <f t="shared" si="76"/>
        <v>1</v>
      </c>
      <c r="R341" s="702">
        <f t="shared" si="81"/>
        <v>0</v>
      </c>
      <c r="S341" s="333">
        <f t="shared" si="82"/>
        <v>0</v>
      </c>
      <c r="T341" s="1177">
        <f t="shared" si="83"/>
        <v>0</v>
      </c>
      <c r="U341" s="1309">
        <f t="shared" si="77"/>
        <v>0</v>
      </c>
      <c r="V341" s="1309">
        <f t="shared" si="78"/>
        <v>0</v>
      </c>
      <c r="W341" s="1306"/>
      <c r="X341" s="1309">
        <f t="shared" si="79"/>
        <v>0</v>
      </c>
      <c r="Y341" s="1309">
        <f t="shared" si="80"/>
        <v>0</v>
      </c>
      <c r="Z341" s="1306"/>
    </row>
    <row r="342" spans="1:26">
      <c r="A342" s="74"/>
      <c r="B342" s="24"/>
      <c r="C342" s="14">
        <f t="shared" si="69"/>
        <v>1</v>
      </c>
      <c r="D342" s="706"/>
      <c r="E342" s="14">
        <f t="shared" si="70"/>
        <v>1</v>
      </c>
      <c r="F342" s="706"/>
      <c r="G342" s="14">
        <f t="shared" si="71"/>
        <v>1</v>
      </c>
      <c r="H342" s="706"/>
      <c r="I342" s="14">
        <f t="shared" si="72"/>
        <v>1</v>
      </c>
      <c r="J342" s="706"/>
      <c r="K342" s="14">
        <f t="shared" si="73"/>
        <v>1</v>
      </c>
      <c r="L342" s="706"/>
      <c r="M342" s="14">
        <f t="shared" si="74"/>
        <v>1</v>
      </c>
      <c r="N342" s="706"/>
      <c r="O342" s="14">
        <f t="shared" si="75"/>
        <v>1</v>
      </c>
      <c r="P342" s="706"/>
      <c r="Q342" s="14">
        <f t="shared" si="76"/>
        <v>1</v>
      </c>
      <c r="R342" s="702">
        <f t="shared" si="81"/>
        <v>0</v>
      </c>
      <c r="S342" s="333">
        <f t="shared" si="82"/>
        <v>0</v>
      </c>
      <c r="T342" s="1177">
        <f t="shared" si="83"/>
        <v>0</v>
      </c>
      <c r="U342" s="1309">
        <f t="shared" si="77"/>
        <v>0</v>
      </c>
      <c r="V342" s="1309">
        <f t="shared" si="78"/>
        <v>0</v>
      </c>
      <c r="W342" s="1306"/>
      <c r="X342" s="1309">
        <f t="shared" si="79"/>
        <v>0</v>
      </c>
      <c r="Y342" s="1309">
        <f t="shared" si="80"/>
        <v>0</v>
      </c>
      <c r="Z342" s="1306"/>
    </row>
    <row r="343" spans="1:26">
      <c r="A343" s="74"/>
      <c r="B343" s="24"/>
      <c r="C343" s="14">
        <f t="shared" si="69"/>
        <v>1</v>
      </c>
      <c r="D343" s="706"/>
      <c r="E343" s="14">
        <f t="shared" si="70"/>
        <v>1</v>
      </c>
      <c r="F343" s="706"/>
      <c r="G343" s="14">
        <f t="shared" si="71"/>
        <v>1</v>
      </c>
      <c r="H343" s="706"/>
      <c r="I343" s="14">
        <f t="shared" si="72"/>
        <v>1</v>
      </c>
      <c r="J343" s="706"/>
      <c r="K343" s="14">
        <f t="shared" si="73"/>
        <v>1</v>
      </c>
      <c r="L343" s="706"/>
      <c r="M343" s="14">
        <f t="shared" si="74"/>
        <v>1</v>
      </c>
      <c r="N343" s="706"/>
      <c r="O343" s="14">
        <f t="shared" si="75"/>
        <v>1</v>
      </c>
      <c r="P343" s="706"/>
      <c r="Q343" s="14">
        <f t="shared" si="76"/>
        <v>1</v>
      </c>
      <c r="R343" s="702">
        <f t="shared" si="81"/>
        <v>0</v>
      </c>
      <c r="S343" s="333">
        <f t="shared" si="82"/>
        <v>0</v>
      </c>
      <c r="T343" s="1177">
        <f t="shared" si="83"/>
        <v>0</v>
      </c>
      <c r="U343" s="1309">
        <f t="shared" si="77"/>
        <v>0</v>
      </c>
      <c r="V343" s="1309">
        <f t="shared" si="78"/>
        <v>0</v>
      </c>
      <c r="W343" s="1306"/>
      <c r="X343" s="1309">
        <f t="shared" si="79"/>
        <v>0</v>
      </c>
      <c r="Y343" s="1309">
        <f t="shared" si="80"/>
        <v>0</v>
      </c>
      <c r="Z343" s="1306"/>
    </row>
    <row r="344" spans="1:26">
      <c r="A344" s="74"/>
      <c r="B344" s="24"/>
      <c r="C344" s="14">
        <f t="shared" si="69"/>
        <v>1</v>
      </c>
      <c r="D344" s="706"/>
      <c r="E344" s="14">
        <f t="shared" si="70"/>
        <v>1</v>
      </c>
      <c r="F344" s="706"/>
      <c r="G344" s="14">
        <f t="shared" si="71"/>
        <v>1</v>
      </c>
      <c r="H344" s="706"/>
      <c r="I344" s="14">
        <f t="shared" si="72"/>
        <v>1</v>
      </c>
      <c r="J344" s="706"/>
      <c r="K344" s="14">
        <f t="shared" si="73"/>
        <v>1</v>
      </c>
      <c r="L344" s="706"/>
      <c r="M344" s="14">
        <f t="shared" si="74"/>
        <v>1</v>
      </c>
      <c r="N344" s="706"/>
      <c r="O344" s="14">
        <f t="shared" si="75"/>
        <v>1</v>
      </c>
      <c r="P344" s="706"/>
      <c r="Q344" s="14">
        <f t="shared" si="76"/>
        <v>1</v>
      </c>
      <c r="R344" s="702">
        <f t="shared" si="81"/>
        <v>0</v>
      </c>
      <c r="S344" s="333">
        <f t="shared" si="82"/>
        <v>0</v>
      </c>
      <c r="T344" s="1177">
        <f t="shared" si="83"/>
        <v>0</v>
      </c>
      <c r="U344" s="1309">
        <f t="shared" si="77"/>
        <v>0</v>
      </c>
      <c r="V344" s="1309">
        <f t="shared" si="78"/>
        <v>0</v>
      </c>
      <c r="W344" s="1306"/>
      <c r="X344" s="1309">
        <f t="shared" si="79"/>
        <v>0</v>
      </c>
      <c r="Y344" s="1309">
        <f t="shared" si="80"/>
        <v>0</v>
      </c>
      <c r="Z344" s="1306"/>
    </row>
    <row r="345" spans="1:26">
      <c r="A345" s="74"/>
      <c r="B345" s="24"/>
      <c r="C345" s="14">
        <f t="shared" si="69"/>
        <v>1</v>
      </c>
      <c r="D345" s="706"/>
      <c r="E345" s="14">
        <f t="shared" si="70"/>
        <v>1</v>
      </c>
      <c r="F345" s="706"/>
      <c r="G345" s="14">
        <f t="shared" si="71"/>
        <v>1</v>
      </c>
      <c r="H345" s="706"/>
      <c r="I345" s="14">
        <f t="shared" si="72"/>
        <v>1</v>
      </c>
      <c r="J345" s="706"/>
      <c r="K345" s="14">
        <f t="shared" si="73"/>
        <v>1</v>
      </c>
      <c r="L345" s="706"/>
      <c r="M345" s="14">
        <f t="shared" si="74"/>
        <v>1</v>
      </c>
      <c r="N345" s="706"/>
      <c r="O345" s="14">
        <f t="shared" si="75"/>
        <v>1</v>
      </c>
      <c r="P345" s="706"/>
      <c r="Q345" s="14">
        <f t="shared" si="76"/>
        <v>1</v>
      </c>
      <c r="R345" s="702">
        <f t="shared" si="81"/>
        <v>0</v>
      </c>
      <c r="S345" s="333">
        <f t="shared" si="82"/>
        <v>0</v>
      </c>
      <c r="T345" s="1177">
        <f t="shared" si="83"/>
        <v>0</v>
      </c>
      <c r="U345" s="1309">
        <f t="shared" si="77"/>
        <v>0</v>
      </c>
      <c r="V345" s="1309">
        <f t="shared" si="78"/>
        <v>0</v>
      </c>
      <c r="W345" s="1306"/>
      <c r="X345" s="1309">
        <f t="shared" si="79"/>
        <v>0</v>
      </c>
      <c r="Y345" s="1309">
        <f t="shared" si="80"/>
        <v>0</v>
      </c>
      <c r="Z345" s="1306"/>
    </row>
    <row r="346" spans="1:26">
      <c r="A346" s="74"/>
      <c r="B346" s="24"/>
      <c r="C346" s="14">
        <f t="shared" si="69"/>
        <v>1</v>
      </c>
      <c r="D346" s="706"/>
      <c r="E346" s="14">
        <f t="shared" si="70"/>
        <v>1</v>
      </c>
      <c r="F346" s="706"/>
      <c r="G346" s="14">
        <f t="shared" si="71"/>
        <v>1</v>
      </c>
      <c r="H346" s="706"/>
      <c r="I346" s="14">
        <f t="shared" si="72"/>
        <v>1</v>
      </c>
      <c r="J346" s="706"/>
      <c r="K346" s="14">
        <f t="shared" si="73"/>
        <v>1</v>
      </c>
      <c r="L346" s="706"/>
      <c r="M346" s="14">
        <f t="shared" si="74"/>
        <v>1</v>
      </c>
      <c r="N346" s="706"/>
      <c r="O346" s="14">
        <f t="shared" si="75"/>
        <v>1</v>
      </c>
      <c r="P346" s="706"/>
      <c r="Q346" s="14">
        <f t="shared" si="76"/>
        <v>1</v>
      </c>
      <c r="R346" s="702">
        <f t="shared" si="81"/>
        <v>0</v>
      </c>
      <c r="S346" s="333">
        <f t="shared" si="82"/>
        <v>0</v>
      </c>
      <c r="T346" s="1177">
        <f t="shared" si="83"/>
        <v>0</v>
      </c>
      <c r="U346" s="1309">
        <f t="shared" si="77"/>
        <v>0</v>
      </c>
      <c r="V346" s="1309">
        <f t="shared" si="78"/>
        <v>0</v>
      </c>
      <c r="W346" s="1306"/>
      <c r="X346" s="1309">
        <f t="shared" si="79"/>
        <v>0</v>
      </c>
      <c r="Y346" s="1309">
        <f t="shared" si="80"/>
        <v>0</v>
      </c>
      <c r="Z346" s="1306"/>
    </row>
    <row r="347" spans="1:26">
      <c r="A347" s="74"/>
      <c r="B347" s="24"/>
      <c r="C347" s="14">
        <f t="shared" si="69"/>
        <v>1</v>
      </c>
      <c r="D347" s="706"/>
      <c r="E347" s="14">
        <f t="shared" si="70"/>
        <v>1</v>
      </c>
      <c r="F347" s="706"/>
      <c r="G347" s="14">
        <f t="shared" si="71"/>
        <v>1</v>
      </c>
      <c r="H347" s="706"/>
      <c r="I347" s="14">
        <f t="shared" si="72"/>
        <v>1</v>
      </c>
      <c r="J347" s="706"/>
      <c r="K347" s="14">
        <f t="shared" si="73"/>
        <v>1</v>
      </c>
      <c r="L347" s="706"/>
      <c r="M347" s="14">
        <f t="shared" si="74"/>
        <v>1</v>
      </c>
      <c r="N347" s="706"/>
      <c r="O347" s="14">
        <f t="shared" si="75"/>
        <v>1</v>
      </c>
      <c r="P347" s="706"/>
      <c r="Q347" s="14">
        <f t="shared" si="76"/>
        <v>1</v>
      </c>
      <c r="R347" s="702">
        <f t="shared" si="81"/>
        <v>0</v>
      </c>
      <c r="S347" s="333">
        <f t="shared" si="82"/>
        <v>0</v>
      </c>
      <c r="T347" s="1177">
        <f t="shared" si="83"/>
        <v>0</v>
      </c>
      <c r="U347" s="1309">
        <f t="shared" si="77"/>
        <v>0</v>
      </c>
      <c r="V347" s="1309">
        <f t="shared" si="78"/>
        <v>0</v>
      </c>
      <c r="W347" s="1306"/>
      <c r="X347" s="1309">
        <f t="shared" si="79"/>
        <v>0</v>
      </c>
      <c r="Y347" s="1309">
        <f t="shared" si="80"/>
        <v>0</v>
      </c>
      <c r="Z347" s="1306"/>
    </row>
    <row r="348" spans="1:26">
      <c r="A348" s="74"/>
      <c r="B348" s="24"/>
      <c r="C348" s="14">
        <f t="shared" ref="C348:C411" si="84">IF(B348="",1,(LOOKUP(B348,$6:$6,$7:$7)-LOOKUP($B$27,$6:$6,$7:$7)+100)/100)</f>
        <v>1</v>
      </c>
      <c r="D348" s="706"/>
      <c r="E348" s="14">
        <f t="shared" ref="E348:E411" si="85">(SUMIF($8:$8,D348,$9:$9)-SUMIF($8:$8,$D$27,$9:$9)+100)/100</f>
        <v>1</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1</v>
      </c>
      <c r="R348" s="702">
        <f t="shared" si="81"/>
        <v>0</v>
      </c>
      <c r="S348" s="333">
        <f t="shared" si="82"/>
        <v>0</v>
      </c>
      <c r="T348" s="1177">
        <f t="shared" si="83"/>
        <v>0</v>
      </c>
      <c r="U348" s="1309">
        <f t="shared" ref="U348:U411" si="92">ROUND(W348*B348,0)</f>
        <v>0</v>
      </c>
      <c r="V348" s="1309">
        <f t="shared" ref="V348:V411" si="93">ROUND(W348*B348/10000,0)</f>
        <v>0</v>
      </c>
      <c r="W348" s="1306"/>
      <c r="X348" s="1309">
        <f t="shared" ref="X348:X411" si="94">ROUND(Z348*B348,0)</f>
        <v>0</v>
      </c>
      <c r="Y348" s="1309">
        <f t="shared" ref="Y348:Y411" si="95">ROUND(Z348*B348/10000,0)</f>
        <v>0</v>
      </c>
      <c r="Z348" s="1306"/>
    </row>
    <row r="349" spans="1:26">
      <c r="A349" s="74"/>
      <c r="B349" s="24"/>
      <c r="C349" s="14">
        <f t="shared" si="84"/>
        <v>1</v>
      </c>
      <c r="D349" s="706"/>
      <c r="E349" s="14">
        <f t="shared" si="85"/>
        <v>1</v>
      </c>
      <c r="F349" s="706"/>
      <c r="G349" s="14">
        <f t="shared" si="86"/>
        <v>1</v>
      </c>
      <c r="H349" s="706"/>
      <c r="I349" s="14">
        <f t="shared" si="87"/>
        <v>1</v>
      </c>
      <c r="J349" s="706"/>
      <c r="K349" s="14">
        <f t="shared" si="88"/>
        <v>1</v>
      </c>
      <c r="L349" s="706"/>
      <c r="M349" s="14">
        <f t="shared" si="89"/>
        <v>1</v>
      </c>
      <c r="N349" s="706"/>
      <c r="O349" s="14">
        <f t="shared" si="90"/>
        <v>1</v>
      </c>
      <c r="P349" s="706"/>
      <c r="Q349" s="14">
        <f t="shared" si="91"/>
        <v>1</v>
      </c>
      <c r="R349" s="702">
        <f t="shared" ref="R349:R412" si="96">IF(B349="",0,ROUND($R$27*C349*E349*G349*I349*K349*M349*O349*Q349,0))</f>
        <v>0</v>
      </c>
      <c r="S349" s="333">
        <f t="shared" ref="S349:S412" si="97">ROUND(R349*B349,0)</f>
        <v>0</v>
      </c>
      <c r="T349" s="1177">
        <f t="shared" ref="T349:T412" si="98">ROUND(R349*B349/10000,0)</f>
        <v>0</v>
      </c>
      <c r="U349" s="1309">
        <f t="shared" si="92"/>
        <v>0</v>
      </c>
      <c r="V349" s="1309">
        <f t="shared" si="93"/>
        <v>0</v>
      </c>
      <c r="W349" s="1306"/>
      <c r="X349" s="1309">
        <f t="shared" si="94"/>
        <v>0</v>
      </c>
      <c r="Y349" s="1309">
        <f t="shared" si="95"/>
        <v>0</v>
      </c>
      <c r="Z349" s="1306"/>
    </row>
    <row r="350" spans="1:26">
      <c r="A350" s="74"/>
      <c r="B350" s="24"/>
      <c r="C350" s="14">
        <f t="shared" si="84"/>
        <v>1</v>
      </c>
      <c r="D350" s="706"/>
      <c r="E350" s="14">
        <f t="shared" si="85"/>
        <v>1</v>
      </c>
      <c r="F350" s="706"/>
      <c r="G350" s="14">
        <f t="shared" si="86"/>
        <v>1</v>
      </c>
      <c r="H350" s="706"/>
      <c r="I350" s="14">
        <f t="shared" si="87"/>
        <v>1</v>
      </c>
      <c r="J350" s="706"/>
      <c r="K350" s="14">
        <f t="shared" si="88"/>
        <v>1</v>
      </c>
      <c r="L350" s="706"/>
      <c r="M350" s="14">
        <f t="shared" si="89"/>
        <v>1</v>
      </c>
      <c r="N350" s="706"/>
      <c r="O350" s="14">
        <f t="shared" si="90"/>
        <v>1</v>
      </c>
      <c r="P350" s="706"/>
      <c r="Q350" s="14">
        <f t="shared" si="91"/>
        <v>1</v>
      </c>
      <c r="R350" s="702">
        <f t="shared" si="96"/>
        <v>0</v>
      </c>
      <c r="S350" s="333">
        <f t="shared" si="97"/>
        <v>0</v>
      </c>
      <c r="T350" s="1177">
        <f t="shared" si="98"/>
        <v>0</v>
      </c>
      <c r="U350" s="1309">
        <f t="shared" si="92"/>
        <v>0</v>
      </c>
      <c r="V350" s="1309">
        <f t="shared" si="93"/>
        <v>0</v>
      </c>
      <c r="W350" s="1306"/>
      <c r="X350" s="1309">
        <f t="shared" si="94"/>
        <v>0</v>
      </c>
      <c r="Y350" s="1309">
        <f t="shared" si="95"/>
        <v>0</v>
      </c>
      <c r="Z350" s="1306"/>
    </row>
    <row r="351" spans="1:26">
      <c r="A351" s="74"/>
      <c r="B351" s="24"/>
      <c r="C351" s="14">
        <f t="shared" si="84"/>
        <v>1</v>
      </c>
      <c r="D351" s="706"/>
      <c r="E351" s="14">
        <f t="shared" si="85"/>
        <v>1</v>
      </c>
      <c r="F351" s="706"/>
      <c r="G351" s="14">
        <f t="shared" si="86"/>
        <v>1</v>
      </c>
      <c r="H351" s="706"/>
      <c r="I351" s="14">
        <f t="shared" si="87"/>
        <v>1</v>
      </c>
      <c r="J351" s="706"/>
      <c r="K351" s="14">
        <f t="shared" si="88"/>
        <v>1</v>
      </c>
      <c r="L351" s="706"/>
      <c r="M351" s="14">
        <f t="shared" si="89"/>
        <v>1</v>
      </c>
      <c r="N351" s="706"/>
      <c r="O351" s="14">
        <f t="shared" si="90"/>
        <v>1</v>
      </c>
      <c r="P351" s="706"/>
      <c r="Q351" s="14">
        <f t="shared" si="91"/>
        <v>1</v>
      </c>
      <c r="R351" s="702">
        <f t="shared" si="96"/>
        <v>0</v>
      </c>
      <c r="S351" s="333">
        <f t="shared" si="97"/>
        <v>0</v>
      </c>
      <c r="T351" s="1177">
        <f t="shared" si="98"/>
        <v>0</v>
      </c>
      <c r="U351" s="1309">
        <f t="shared" si="92"/>
        <v>0</v>
      </c>
      <c r="V351" s="1309">
        <f t="shared" si="93"/>
        <v>0</v>
      </c>
      <c r="W351" s="1306"/>
      <c r="X351" s="1309">
        <f t="shared" si="94"/>
        <v>0</v>
      </c>
      <c r="Y351" s="1309">
        <f t="shared" si="95"/>
        <v>0</v>
      </c>
      <c r="Z351" s="1306"/>
    </row>
    <row r="352" spans="1:26">
      <c r="A352" s="74"/>
      <c r="B352" s="24"/>
      <c r="C352" s="14">
        <f t="shared" si="84"/>
        <v>1</v>
      </c>
      <c r="D352" s="706"/>
      <c r="E352" s="14">
        <f t="shared" si="85"/>
        <v>1</v>
      </c>
      <c r="F352" s="706"/>
      <c r="G352" s="14">
        <f t="shared" si="86"/>
        <v>1</v>
      </c>
      <c r="H352" s="706"/>
      <c r="I352" s="14">
        <f t="shared" si="87"/>
        <v>1</v>
      </c>
      <c r="J352" s="706"/>
      <c r="K352" s="14">
        <f t="shared" si="88"/>
        <v>1</v>
      </c>
      <c r="L352" s="706"/>
      <c r="M352" s="14">
        <f t="shared" si="89"/>
        <v>1</v>
      </c>
      <c r="N352" s="706"/>
      <c r="O352" s="14">
        <f t="shared" si="90"/>
        <v>1</v>
      </c>
      <c r="P352" s="706"/>
      <c r="Q352" s="14">
        <f t="shared" si="91"/>
        <v>1</v>
      </c>
      <c r="R352" s="702">
        <f t="shared" si="96"/>
        <v>0</v>
      </c>
      <c r="S352" s="333">
        <f t="shared" si="97"/>
        <v>0</v>
      </c>
      <c r="T352" s="1177">
        <f t="shared" si="98"/>
        <v>0</v>
      </c>
      <c r="U352" s="1309">
        <f t="shared" si="92"/>
        <v>0</v>
      </c>
      <c r="V352" s="1309">
        <f t="shared" si="93"/>
        <v>0</v>
      </c>
      <c r="W352" s="1306"/>
      <c r="X352" s="1309">
        <f t="shared" si="94"/>
        <v>0</v>
      </c>
      <c r="Y352" s="1309">
        <f t="shared" si="95"/>
        <v>0</v>
      </c>
      <c r="Z352" s="1306"/>
    </row>
    <row r="353" spans="1:26">
      <c r="A353" s="74"/>
      <c r="B353" s="24"/>
      <c r="C353" s="14">
        <f t="shared" si="84"/>
        <v>1</v>
      </c>
      <c r="D353" s="706"/>
      <c r="E353" s="14">
        <f t="shared" si="85"/>
        <v>1</v>
      </c>
      <c r="F353" s="706"/>
      <c r="G353" s="14">
        <f t="shared" si="86"/>
        <v>1</v>
      </c>
      <c r="H353" s="706"/>
      <c r="I353" s="14">
        <f t="shared" si="87"/>
        <v>1</v>
      </c>
      <c r="J353" s="706"/>
      <c r="K353" s="14">
        <f t="shared" si="88"/>
        <v>1</v>
      </c>
      <c r="L353" s="706"/>
      <c r="M353" s="14">
        <f t="shared" si="89"/>
        <v>1</v>
      </c>
      <c r="N353" s="706"/>
      <c r="O353" s="14">
        <f t="shared" si="90"/>
        <v>1</v>
      </c>
      <c r="P353" s="706"/>
      <c r="Q353" s="14">
        <f t="shared" si="91"/>
        <v>1</v>
      </c>
      <c r="R353" s="702">
        <f t="shared" si="96"/>
        <v>0</v>
      </c>
      <c r="S353" s="333">
        <f t="shared" si="97"/>
        <v>0</v>
      </c>
      <c r="T353" s="1177">
        <f t="shared" si="98"/>
        <v>0</v>
      </c>
      <c r="U353" s="1309">
        <f t="shared" si="92"/>
        <v>0</v>
      </c>
      <c r="V353" s="1309">
        <f t="shared" si="93"/>
        <v>0</v>
      </c>
      <c r="W353" s="1306"/>
      <c r="X353" s="1309">
        <f t="shared" si="94"/>
        <v>0</v>
      </c>
      <c r="Y353" s="1309">
        <f t="shared" si="95"/>
        <v>0</v>
      </c>
      <c r="Z353" s="1306"/>
    </row>
    <row r="354" spans="1:26">
      <c r="A354" s="74"/>
      <c r="B354" s="24"/>
      <c r="C354" s="14">
        <f t="shared" si="84"/>
        <v>1</v>
      </c>
      <c r="D354" s="706"/>
      <c r="E354" s="14">
        <f t="shared" si="85"/>
        <v>1</v>
      </c>
      <c r="F354" s="706"/>
      <c r="G354" s="14">
        <f t="shared" si="86"/>
        <v>1</v>
      </c>
      <c r="H354" s="706"/>
      <c r="I354" s="14">
        <f t="shared" si="87"/>
        <v>1</v>
      </c>
      <c r="J354" s="706"/>
      <c r="K354" s="14">
        <f t="shared" si="88"/>
        <v>1</v>
      </c>
      <c r="L354" s="706"/>
      <c r="M354" s="14">
        <f t="shared" si="89"/>
        <v>1</v>
      </c>
      <c r="N354" s="706"/>
      <c r="O354" s="14">
        <f t="shared" si="90"/>
        <v>1</v>
      </c>
      <c r="P354" s="706"/>
      <c r="Q354" s="14">
        <f t="shared" si="91"/>
        <v>1</v>
      </c>
      <c r="R354" s="702">
        <f t="shared" si="96"/>
        <v>0</v>
      </c>
      <c r="S354" s="333">
        <f t="shared" si="97"/>
        <v>0</v>
      </c>
      <c r="T354" s="1177">
        <f t="shared" si="98"/>
        <v>0</v>
      </c>
      <c r="U354" s="1309">
        <f t="shared" si="92"/>
        <v>0</v>
      </c>
      <c r="V354" s="1309">
        <f t="shared" si="93"/>
        <v>0</v>
      </c>
      <c r="W354" s="1306"/>
      <c r="X354" s="1309">
        <f t="shared" si="94"/>
        <v>0</v>
      </c>
      <c r="Y354" s="1309">
        <f t="shared" si="95"/>
        <v>0</v>
      </c>
      <c r="Z354" s="1306"/>
    </row>
    <row r="355" spans="1:26">
      <c r="A355" s="74"/>
      <c r="B355" s="24"/>
      <c r="C355" s="14">
        <f t="shared" si="84"/>
        <v>1</v>
      </c>
      <c r="D355" s="706"/>
      <c r="E355" s="14">
        <f t="shared" si="85"/>
        <v>1</v>
      </c>
      <c r="F355" s="706"/>
      <c r="G355" s="14">
        <f t="shared" si="86"/>
        <v>1</v>
      </c>
      <c r="H355" s="706"/>
      <c r="I355" s="14">
        <f t="shared" si="87"/>
        <v>1</v>
      </c>
      <c r="J355" s="706"/>
      <c r="K355" s="14">
        <f t="shared" si="88"/>
        <v>1</v>
      </c>
      <c r="L355" s="706"/>
      <c r="M355" s="14">
        <f t="shared" si="89"/>
        <v>1</v>
      </c>
      <c r="N355" s="706"/>
      <c r="O355" s="14">
        <f t="shared" si="90"/>
        <v>1</v>
      </c>
      <c r="P355" s="706"/>
      <c r="Q355" s="14">
        <f t="shared" si="91"/>
        <v>1</v>
      </c>
      <c r="R355" s="702">
        <f t="shared" si="96"/>
        <v>0</v>
      </c>
      <c r="S355" s="333">
        <f t="shared" si="97"/>
        <v>0</v>
      </c>
      <c r="T355" s="1177">
        <f t="shared" si="98"/>
        <v>0</v>
      </c>
      <c r="U355" s="1309">
        <f t="shared" si="92"/>
        <v>0</v>
      </c>
      <c r="V355" s="1309">
        <f t="shared" si="93"/>
        <v>0</v>
      </c>
      <c r="W355" s="1306"/>
      <c r="X355" s="1309">
        <f t="shared" si="94"/>
        <v>0</v>
      </c>
      <c r="Y355" s="1309">
        <f t="shared" si="95"/>
        <v>0</v>
      </c>
      <c r="Z355" s="1306"/>
    </row>
    <row r="356" spans="1:26">
      <c r="A356" s="74"/>
      <c r="B356" s="24"/>
      <c r="C356" s="14">
        <f t="shared" si="84"/>
        <v>1</v>
      </c>
      <c r="D356" s="706"/>
      <c r="E356" s="14">
        <f t="shared" si="85"/>
        <v>1</v>
      </c>
      <c r="F356" s="706"/>
      <c r="G356" s="14">
        <f t="shared" si="86"/>
        <v>1</v>
      </c>
      <c r="H356" s="706"/>
      <c r="I356" s="14">
        <f t="shared" si="87"/>
        <v>1</v>
      </c>
      <c r="J356" s="706"/>
      <c r="K356" s="14">
        <f t="shared" si="88"/>
        <v>1</v>
      </c>
      <c r="L356" s="706"/>
      <c r="M356" s="14">
        <f t="shared" si="89"/>
        <v>1</v>
      </c>
      <c r="N356" s="706"/>
      <c r="O356" s="14">
        <f t="shared" si="90"/>
        <v>1</v>
      </c>
      <c r="P356" s="706"/>
      <c r="Q356" s="14">
        <f t="shared" si="91"/>
        <v>1</v>
      </c>
      <c r="R356" s="702">
        <f t="shared" si="96"/>
        <v>0</v>
      </c>
      <c r="S356" s="333">
        <f t="shared" si="97"/>
        <v>0</v>
      </c>
      <c r="T356" s="1177">
        <f t="shared" si="98"/>
        <v>0</v>
      </c>
      <c r="U356" s="1309">
        <f t="shared" si="92"/>
        <v>0</v>
      </c>
      <c r="V356" s="1309">
        <f t="shared" si="93"/>
        <v>0</v>
      </c>
      <c r="W356" s="1306"/>
      <c r="X356" s="1309">
        <f t="shared" si="94"/>
        <v>0</v>
      </c>
      <c r="Y356" s="1309">
        <f t="shared" si="95"/>
        <v>0</v>
      </c>
      <c r="Z356" s="1306"/>
    </row>
    <row r="357" spans="1:26">
      <c r="A357" s="74"/>
      <c r="B357" s="24"/>
      <c r="C357" s="14">
        <f t="shared" si="84"/>
        <v>1</v>
      </c>
      <c r="D357" s="706"/>
      <c r="E357" s="14">
        <f t="shared" si="85"/>
        <v>1</v>
      </c>
      <c r="F357" s="706"/>
      <c r="G357" s="14">
        <f t="shared" si="86"/>
        <v>1</v>
      </c>
      <c r="H357" s="706"/>
      <c r="I357" s="14">
        <f t="shared" si="87"/>
        <v>1</v>
      </c>
      <c r="J357" s="706"/>
      <c r="K357" s="14">
        <f t="shared" si="88"/>
        <v>1</v>
      </c>
      <c r="L357" s="706"/>
      <c r="M357" s="14">
        <f t="shared" si="89"/>
        <v>1</v>
      </c>
      <c r="N357" s="706"/>
      <c r="O357" s="14">
        <f t="shared" si="90"/>
        <v>1</v>
      </c>
      <c r="P357" s="706"/>
      <c r="Q357" s="14">
        <f t="shared" si="91"/>
        <v>1</v>
      </c>
      <c r="R357" s="702">
        <f t="shared" si="96"/>
        <v>0</v>
      </c>
      <c r="S357" s="333">
        <f t="shared" si="97"/>
        <v>0</v>
      </c>
      <c r="T357" s="1177">
        <f t="shared" si="98"/>
        <v>0</v>
      </c>
      <c r="U357" s="1309">
        <f t="shared" si="92"/>
        <v>0</v>
      </c>
      <c r="V357" s="1309">
        <f t="shared" si="93"/>
        <v>0</v>
      </c>
      <c r="W357" s="1306"/>
      <c r="X357" s="1309">
        <f t="shared" si="94"/>
        <v>0</v>
      </c>
      <c r="Y357" s="1309">
        <f t="shared" si="95"/>
        <v>0</v>
      </c>
      <c r="Z357" s="1306"/>
    </row>
    <row r="358" spans="1:26">
      <c r="A358" s="74"/>
      <c r="B358" s="24"/>
      <c r="C358" s="14">
        <f t="shared" si="84"/>
        <v>1</v>
      </c>
      <c r="D358" s="706"/>
      <c r="E358" s="14">
        <f t="shared" si="85"/>
        <v>1</v>
      </c>
      <c r="F358" s="706"/>
      <c r="G358" s="14">
        <f t="shared" si="86"/>
        <v>1</v>
      </c>
      <c r="H358" s="706"/>
      <c r="I358" s="14">
        <f t="shared" si="87"/>
        <v>1</v>
      </c>
      <c r="J358" s="706"/>
      <c r="K358" s="14">
        <f t="shared" si="88"/>
        <v>1</v>
      </c>
      <c r="L358" s="706"/>
      <c r="M358" s="14">
        <f t="shared" si="89"/>
        <v>1</v>
      </c>
      <c r="N358" s="706"/>
      <c r="O358" s="14">
        <f t="shared" si="90"/>
        <v>1</v>
      </c>
      <c r="P358" s="706"/>
      <c r="Q358" s="14">
        <f t="shared" si="91"/>
        <v>1</v>
      </c>
      <c r="R358" s="702">
        <f t="shared" si="96"/>
        <v>0</v>
      </c>
      <c r="S358" s="333">
        <f t="shared" si="97"/>
        <v>0</v>
      </c>
      <c r="T358" s="1177">
        <f t="shared" si="98"/>
        <v>0</v>
      </c>
      <c r="U358" s="1309">
        <f t="shared" si="92"/>
        <v>0</v>
      </c>
      <c r="V358" s="1309">
        <f t="shared" si="93"/>
        <v>0</v>
      </c>
      <c r="W358" s="1306"/>
      <c r="X358" s="1309">
        <f t="shared" si="94"/>
        <v>0</v>
      </c>
      <c r="Y358" s="1309">
        <f t="shared" si="95"/>
        <v>0</v>
      </c>
      <c r="Z358" s="1306"/>
    </row>
    <row r="359" spans="1:26">
      <c r="A359" s="74"/>
      <c r="B359" s="24"/>
      <c r="C359" s="14">
        <f t="shared" si="84"/>
        <v>1</v>
      </c>
      <c r="D359" s="706"/>
      <c r="E359" s="14">
        <f t="shared" si="85"/>
        <v>1</v>
      </c>
      <c r="F359" s="706"/>
      <c r="G359" s="14">
        <f t="shared" si="86"/>
        <v>1</v>
      </c>
      <c r="H359" s="706"/>
      <c r="I359" s="14">
        <f t="shared" si="87"/>
        <v>1</v>
      </c>
      <c r="J359" s="706"/>
      <c r="K359" s="14">
        <f t="shared" si="88"/>
        <v>1</v>
      </c>
      <c r="L359" s="706"/>
      <c r="M359" s="14">
        <f t="shared" si="89"/>
        <v>1</v>
      </c>
      <c r="N359" s="706"/>
      <c r="O359" s="14">
        <f t="shared" si="90"/>
        <v>1</v>
      </c>
      <c r="P359" s="706"/>
      <c r="Q359" s="14">
        <f t="shared" si="91"/>
        <v>1</v>
      </c>
      <c r="R359" s="702">
        <f t="shared" si="96"/>
        <v>0</v>
      </c>
      <c r="S359" s="333">
        <f t="shared" si="97"/>
        <v>0</v>
      </c>
      <c r="T359" s="1177">
        <f t="shared" si="98"/>
        <v>0</v>
      </c>
      <c r="U359" s="1309">
        <f t="shared" si="92"/>
        <v>0</v>
      </c>
      <c r="V359" s="1309">
        <f t="shared" si="93"/>
        <v>0</v>
      </c>
      <c r="W359" s="1306"/>
      <c r="X359" s="1309">
        <f t="shared" si="94"/>
        <v>0</v>
      </c>
      <c r="Y359" s="1309">
        <f t="shared" si="95"/>
        <v>0</v>
      </c>
      <c r="Z359" s="1306"/>
    </row>
    <row r="360" spans="1:26">
      <c r="A360" s="74"/>
      <c r="B360" s="24"/>
      <c r="C360" s="14">
        <f t="shared" si="84"/>
        <v>1</v>
      </c>
      <c r="D360" s="706"/>
      <c r="E360" s="14">
        <f t="shared" si="85"/>
        <v>1</v>
      </c>
      <c r="F360" s="706"/>
      <c r="G360" s="14">
        <f t="shared" si="86"/>
        <v>1</v>
      </c>
      <c r="H360" s="706"/>
      <c r="I360" s="14">
        <f t="shared" si="87"/>
        <v>1</v>
      </c>
      <c r="J360" s="706"/>
      <c r="K360" s="14">
        <f t="shared" si="88"/>
        <v>1</v>
      </c>
      <c r="L360" s="706"/>
      <c r="M360" s="14">
        <f t="shared" si="89"/>
        <v>1</v>
      </c>
      <c r="N360" s="706"/>
      <c r="O360" s="14">
        <f t="shared" si="90"/>
        <v>1</v>
      </c>
      <c r="P360" s="706"/>
      <c r="Q360" s="14">
        <f t="shared" si="91"/>
        <v>1</v>
      </c>
      <c r="R360" s="702">
        <f t="shared" si="96"/>
        <v>0</v>
      </c>
      <c r="S360" s="333">
        <f t="shared" si="97"/>
        <v>0</v>
      </c>
      <c r="T360" s="1177">
        <f t="shared" si="98"/>
        <v>0</v>
      </c>
      <c r="U360" s="1309">
        <f t="shared" si="92"/>
        <v>0</v>
      </c>
      <c r="V360" s="1309">
        <f t="shared" si="93"/>
        <v>0</v>
      </c>
      <c r="W360" s="1306"/>
      <c r="X360" s="1309">
        <f t="shared" si="94"/>
        <v>0</v>
      </c>
      <c r="Y360" s="1309">
        <f t="shared" si="95"/>
        <v>0</v>
      </c>
      <c r="Z360" s="1306"/>
    </row>
    <row r="361" spans="1:26">
      <c r="A361" s="74"/>
      <c r="B361" s="24"/>
      <c r="C361" s="14">
        <f t="shared" si="84"/>
        <v>1</v>
      </c>
      <c r="D361" s="706"/>
      <c r="E361" s="14">
        <f t="shared" si="85"/>
        <v>1</v>
      </c>
      <c r="F361" s="706"/>
      <c r="G361" s="14">
        <f t="shared" si="86"/>
        <v>1</v>
      </c>
      <c r="H361" s="706"/>
      <c r="I361" s="14">
        <f t="shared" si="87"/>
        <v>1</v>
      </c>
      <c r="J361" s="706"/>
      <c r="K361" s="14">
        <f t="shared" si="88"/>
        <v>1</v>
      </c>
      <c r="L361" s="706"/>
      <c r="M361" s="14">
        <f t="shared" si="89"/>
        <v>1</v>
      </c>
      <c r="N361" s="706"/>
      <c r="O361" s="14">
        <f t="shared" si="90"/>
        <v>1</v>
      </c>
      <c r="P361" s="706"/>
      <c r="Q361" s="14">
        <f t="shared" si="91"/>
        <v>1</v>
      </c>
      <c r="R361" s="702">
        <f t="shared" si="96"/>
        <v>0</v>
      </c>
      <c r="S361" s="333">
        <f t="shared" si="97"/>
        <v>0</v>
      </c>
      <c r="T361" s="1177">
        <f t="shared" si="98"/>
        <v>0</v>
      </c>
      <c r="U361" s="1309">
        <f t="shared" si="92"/>
        <v>0</v>
      </c>
      <c r="V361" s="1309">
        <f t="shared" si="93"/>
        <v>0</v>
      </c>
      <c r="W361" s="1306"/>
      <c r="X361" s="1309">
        <f t="shared" si="94"/>
        <v>0</v>
      </c>
      <c r="Y361" s="1309">
        <f t="shared" si="95"/>
        <v>0</v>
      </c>
      <c r="Z361" s="1306"/>
    </row>
    <row r="362" spans="1:26">
      <c r="A362" s="74"/>
      <c r="B362" s="24"/>
      <c r="C362" s="14">
        <f t="shared" si="84"/>
        <v>1</v>
      </c>
      <c r="D362" s="706"/>
      <c r="E362" s="14">
        <f t="shared" si="85"/>
        <v>1</v>
      </c>
      <c r="F362" s="706"/>
      <c r="G362" s="14">
        <f t="shared" si="86"/>
        <v>1</v>
      </c>
      <c r="H362" s="706"/>
      <c r="I362" s="14">
        <f t="shared" si="87"/>
        <v>1</v>
      </c>
      <c r="J362" s="706"/>
      <c r="K362" s="14">
        <f t="shared" si="88"/>
        <v>1</v>
      </c>
      <c r="L362" s="706"/>
      <c r="M362" s="14">
        <f t="shared" si="89"/>
        <v>1</v>
      </c>
      <c r="N362" s="706"/>
      <c r="O362" s="14">
        <f t="shared" si="90"/>
        <v>1</v>
      </c>
      <c r="P362" s="706"/>
      <c r="Q362" s="14">
        <f t="shared" si="91"/>
        <v>1</v>
      </c>
      <c r="R362" s="702">
        <f t="shared" si="96"/>
        <v>0</v>
      </c>
      <c r="S362" s="333">
        <f t="shared" si="97"/>
        <v>0</v>
      </c>
      <c r="T362" s="1177">
        <f t="shared" si="98"/>
        <v>0</v>
      </c>
      <c r="U362" s="1309">
        <f t="shared" si="92"/>
        <v>0</v>
      </c>
      <c r="V362" s="1309">
        <f t="shared" si="93"/>
        <v>0</v>
      </c>
      <c r="W362" s="1306"/>
      <c r="X362" s="1309">
        <f t="shared" si="94"/>
        <v>0</v>
      </c>
      <c r="Y362" s="1309">
        <f t="shared" si="95"/>
        <v>0</v>
      </c>
      <c r="Z362" s="1306"/>
    </row>
    <row r="363" spans="1:26">
      <c r="A363" s="74"/>
      <c r="B363" s="24"/>
      <c r="C363" s="14">
        <f t="shared" si="84"/>
        <v>1</v>
      </c>
      <c r="D363" s="706"/>
      <c r="E363" s="14">
        <f t="shared" si="85"/>
        <v>1</v>
      </c>
      <c r="F363" s="706"/>
      <c r="G363" s="14">
        <f t="shared" si="86"/>
        <v>1</v>
      </c>
      <c r="H363" s="706"/>
      <c r="I363" s="14">
        <f t="shared" si="87"/>
        <v>1</v>
      </c>
      <c r="J363" s="706"/>
      <c r="K363" s="14">
        <f t="shared" si="88"/>
        <v>1</v>
      </c>
      <c r="L363" s="706"/>
      <c r="M363" s="14">
        <f t="shared" si="89"/>
        <v>1</v>
      </c>
      <c r="N363" s="706"/>
      <c r="O363" s="14">
        <f t="shared" si="90"/>
        <v>1</v>
      </c>
      <c r="P363" s="706"/>
      <c r="Q363" s="14">
        <f t="shared" si="91"/>
        <v>1</v>
      </c>
      <c r="R363" s="702">
        <f t="shared" si="96"/>
        <v>0</v>
      </c>
      <c r="S363" s="333">
        <f t="shared" si="97"/>
        <v>0</v>
      </c>
      <c r="T363" s="1177">
        <f t="shared" si="98"/>
        <v>0</v>
      </c>
      <c r="U363" s="1309">
        <f t="shared" si="92"/>
        <v>0</v>
      </c>
      <c r="V363" s="1309">
        <f t="shared" si="93"/>
        <v>0</v>
      </c>
      <c r="W363" s="1306"/>
      <c r="X363" s="1309">
        <f t="shared" si="94"/>
        <v>0</v>
      </c>
      <c r="Y363" s="1309">
        <f t="shared" si="95"/>
        <v>0</v>
      </c>
      <c r="Z363" s="1306"/>
    </row>
    <row r="364" spans="1:26">
      <c r="A364" s="74"/>
      <c r="B364" s="24"/>
      <c r="C364" s="14">
        <f t="shared" si="84"/>
        <v>1</v>
      </c>
      <c r="D364" s="706"/>
      <c r="E364" s="14">
        <f t="shared" si="85"/>
        <v>1</v>
      </c>
      <c r="F364" s="706"/>
      <c r="G364" s="14">
        <f t="shared" si="86"/>
        <v>1</v>
      </c>
      <c r="H364" s="706"/>
      <c r="I364" s="14">
        <f t="shared" si="87"/>
        <v>1</v>
      </c>
      <c r="J364" s="706"/>
      <c r="K364" s="14">
        <f t="shared" si="88"/>
        <v>1</v>
      </c>
      <c r="L364" s="706"/>
      <c r="M364" s="14">
        <f t="shared" si="89"/>
        <v>1</v>
      </c>
      <c r="N364" s="706"/>
      <c r="O364" s="14">
        <f t="shared" si="90"/>
        <v>1</v>
      </c>
      <c r="P364" s="706"/>
      <c r="Q364" s="14">
        <f t="shared" si="91"/>
        <v>1</v>
      </c>
      <c r="R364" s="702">
        <f t="shared" si="96"/>
        <v>0</v>
      </c>
      <c r="S364" s="333">
        <f t="shared" si="97"/>
        <v>0</v>
      </c>
      <c r="T364" s="1177">
        <f t="shared" si="98"/>
        <v>0</v>
      </c>
      <c r="U364" s="1309">
        <f t="shared" si="92"/>
        <v>0</v>
      </c>
      <c r="V364" s="1309">
        <f t="shared" si="93"/>
        <v>0</v>
      </c>
      <c r="W364" s="1306"/>
      <c r="X364" s="1309">
        <f t="shared" si="94"/>
        <v>0</v>
      </c>
      <c r="Y364" s="1309">
        <f t="shared" si="95"/>
        <v>0</v>
      </c>
      <c r="Z364" s="1306"/>
    </row>
    <row r="365" spans="1:26">
      <c r="A365" s="74"/>
      <c r="B365" s="24"/>
      <c r="C365" s="14">
        <f t="shared" si="84"/>
        <v>1</v>
      </c>
      <c r="D365" s="706"/>
      <c r="E365" s="14">
        <f t="shared" si="85"/>
        <v>1</v>
      </c>
      <c r="F365" s="706"/>
      <c r="G365" s="14">
        <f t="shared" si="86"/>
        <v>1</v>
      </c>
      <c r="H365" s="706"/>
      <c r="I365" s="14">
        <f t="shared" si="87"/>
        <v>1</v>
      </c>
      <c r="J365" s="706"/>
      <c r="K365" s="14">
        <f t="shared" si="88"/>
        <v>1</v>
      </c>
      <c r="L365" s="706"/>
      <c r="M365" s="14">
        <f t="shared" si="89"/>
        <v>1</v>
      </c>
      <c r="N365" s="706"/>
      <c r="O365" s="14">
        <f t="shared" si="90"/>
        <v>1</v>
      </c>
      <c r="P365" s="706"/>
      <c r="Q365" s="14">
        <f t="shared" si="91"/>
        <v>1</v>
      </c>
      <c r="R365" s="702">
        <f t="shared" si="96"/>
        <v>0</v>
      </c>
      <c r="S365" s="333">
        <f t="shared" si="97"/>
        <v>0</v>
      </c>
      <c r="T365" s="1177">
        <f t="shared" si="98"/>
        <v>0</v>
      </c>
      <c r="U365" s="1309">
        <f t="shared" si="92"/>
        <v>0</v>
      </c>
      <c r="V365" s="1309">
        <f t="shared" si="93"/>
        <v>0</v>
      </c>
      <c r="W365" s="1306"/>
      <c r="X365" s="1309">
        <f t="shared" si="94"/>
        <v>0</v>
      </c>
      <c r="Y365" s="1309">
        <f t="shared" si="95"/>
        <v>0</v>
      </c>
      <c r="Z365" s="1306"/>
    </row>
    <row r="366" spans="1:26">
      <c r="A366" s="74"/>
      <c r="B366" s="24"/>
      <c r="C366" s="14">
        <f t="shared" si="84"/>
        <v>1</v>
      </c>
      <c r="D366" s="706"/>
      <c r="E366" s="14">
        <f t="shared" si="85"/>
        <v>1</v>
      </c>
      <c r="F366" s="706"/>
      <c r="G366" s="14">
        <f t="shared" si="86"/>
        <v>1</v>
      </c>
      <c r="H366" s="706"/>
      <c r="I366" s="14">
        <f t="shared" si="87"/>
        <v>1</v>
      </c>
      <c r="J366" s="706"/>
      <c r="K366" s="14">
        <f t="shared" si="88"/>
        <v>1</v>
      </c>
      <c r="L366" s="706"/>
      <c r="M366" s="14">
        <f t="shared" si="89"/>
        <v>1</v>
      </c>
      <c r="N366" s="706"/>
      <c r="O366" s="14">
        <f t="shared" si="90"/>
        <v>1</v>
      </c>
      <c r="P366" s="706"/>
      <c r="Q366" s="14">
        <f t="shared" si="91"/>
        <v>1</v>
      </c>
      <c r="R366" s="702">
        <f t="shared" si="96"/>
        <v>0</v>
      </c>
      <c r="S366" s="333">
        <f t="shared" si="97"/>
        <v>0</v>
      </c>
      <c r="T366" s="1177">
        <f t="shared" si="98"/>
        <v>0</v>
      </c>
      <c r="U366" s="1309">
        <f t="shared" si="92"/>
        <v>0</v>
      </c>
      <c r="V366" s="1309">
        <f t="shared" si="93"/>
        <v>0</v>
      </c>
      <c r="W366" s="1306"/>
      <c r="X366" s="1309">
        <f t="shared" si="94"/>
        <v>0</v>
      </c>
      <c r="Y366" s="1309">
        <f t="shared" si="95"/>
        <v>0</v>
      </c>
      <c r="Z366" s="1306"/>
    </row>
    <row r="367" spans="1:26">
      <c r="A367" s="74"/>
      <c r="B367" s="24"/>
      <c r="C367" s="14">
        <f t="shared" si="84"/>
        <v>1</v>
      </c>
      <c r="D367" s="706"/>
      <c r="E367" s="14">
        <f t="shared" si="85"/>
        <v>1</v>
      </c>
      <c r="F367" s="706"/>
      <c r="G367" s="14">
        <f t="shared" si="86"/>
        <v>1</v>
      </c>
      <c r="H367" s="706"/>
      <c r="I367" s="14">
        <f t="shared" si="87"/>
        <v>1</v>
      </c>
      <c r="J367" s="706"/>
      <c r="K367" s="14">
        <f t="shared" si="88"/>
        <v>1</v>
      </c>
      <c r="L367" s="706"/>
      <c r="M367" s="14">
        <f t="shared" si="89"/>
        <v>1</v>
      </c>
      <c r="N367" s="706"/>
      <c r="O367" s="14">
        <f t="shared" si="90"/>
        <v>1</v>
      </c>
      <c r="P367" s="706"/>
      <c r="Q367" s="14">
        <f t="shared" si="91"/>
        <v>1</v>
      </c>
      <c r="R367" s="702">
        <f t="shared" si="96"/>
        <v>0</v>
      </c>
      <c r="S367" s="333">
        <f t="shared" si="97"/>
        <v>0</v>
      </c>
      <c r="T367" s="1177">
        <f t="shared" si="98"/>
        <v>0</v>
      </c>
      <c r="U367" s="1309">
        <f t="shared" si="92"/>
        <v>0</v>
      </c>
      <c r="V367" s="1309">
        <f t="shared" si="93"/>
        <v>0</v>
      </c>
      <c r="W367" s="1306"/>
      <c r="X367" s="1309">
        <f t="shared" si="94"/>
        <v>0</v>
      </c>
      <c r="Y367" s="1309">
        <f t="shared" si="95"/>
        <v>0</v>
      </c>
      <c r="Z367" s="1306"/>
    </row>
    <row r="368" spans="1:26">
      <c r="A368" s="74"/>
      <c r="B368" s="24"/>
      <c r="C368" s="14">
        <f t="shared" si="84"/>
        <v>1</v>
      </c>
      <c r="D368" s="706"/>
      <c r="E368" s="14">
        <f t="shared" si="85"/>
        <v>1</v>
      </c>
      <c r="F368" s="706"/>
      <c r="G368" s="14">
        <f t="shared" si="86"/>
        <v>1</v>
      </c>
      <c r="H368" s="706"/>
      <c r="I368" s="14">
        <f t="shared" si="87"/>
        <v>1</v>
      </c>
      <c r="J368" s="706"/>
      <c r="K368" s="14">
        <f t="shared" si="88"/>
        <v>1</v>
      </c>
      <c r="L368" s="706"/>
      <c r="M368" s="14">
        <f t="shared" si="89"/>
        <v>1</v>
      </c>
      <c r="N368" s="706"/>
      <c r="O368" s="14">
        <f t="shared" si="90"/>
        <v>1</v>
      </c>
      <c r="P368" s="706"/>
      <c r="Q368" s="14">
        <f t="shared" si="91"/>
        <v>1</v>
      </c>
      <c r="R368" s="702">
        <f t="shared" si="96"/>
        <v>0</v>
      </c>
      <c r="S368" s="333">
        <f t="shared" si="97"/>
        <v>0</v>
      </c>
      <c r="T368" s="1177">
        <f t="shared" si="98"/>
        <v>0</v>
      </c>
      <c r="U368" s="1309">
        <f t="shared" si="92"/>
        <v>0</v>
      </c>
      <c r="V368" s="1309">
        <f t="shared" si="93"/>
        <v>0</v>
      </c>
      <c r="W368" s="1306"/>
      <c r="X368" s="1309">
        <f t="shared" si="94"/>
        <v>0</v>
      </c>
      <c r="Y368" s="1309">
        <f t="shared" si="95"/>
        <v>0</v>
      </c>
      <c r="Z368" s="1306"/>
    </row>
    <row r="369" spans="1:26">
      <c r="A369" s="74"/>
      <c r="B369" s="24"/>
      <c r="C369" s="14">
        <f t="shared" si="84"/>
        <v>1</v>
      </c>
      <c r="D369" s="706"/>
      <c r="E369" s="14">
        <f t="shared" si="85"/>
        <v>1</v>
      </c>
      <c r="F369" s="706"/>
      <c r="G369" s="14">
        <f t="shared" si="86"/>
        <v>1</v>
      </c>
      <c r="H369" s="706"/>
      <c r="I369" s="14">
        <f t="shared" si="87"/>
        <v>1</v>
      </c>
      <c r="J369" s="706"/>
      <c r="K369" s="14">
        <f t="shared" si="88"/>
        <v>1</v>
      </c>
      <c r="L369" s="706"/>
      <c r="M369" s="14">
        <f t="shared" si="89"/>
        <v>1</v>
      </c>
      <c r="N369" s="706"/>
      <c r="O369" s="14">
        <f t="shared" si="90"/>
        <v>1</v>
      </c>
      <c r="P369" s="706"/>
      <c r="Q369" s="14">
        <f t="shared" si="91"/>
        <v>1</v>
      </c>
      <c r="R369" s="702">
        <f t="shared" si="96"/>
        <v>0</v>
      </c>
      <c r="S369" s="333">
        <f t="shared" si="97"/>
        <v>0</v>
      </c>
      <c r="T369" s="1177">
        <f t="shared" si="98"/>
        <v>0</v>
      </c>
      <c r="U369" s="1309">
        <f t="shared" si="92"/>
        <v>0</v>
      </c>
      <c r="V369" s="1309">
        <f t="shared" si="93"/>
        <v>0</v>
      </c>
      <c r="W369" s="1306"/>
      <c r="X369" s="1309">
        <f t="shared" si="94"/>
        <v>0</v>
      </c>
      <c r="Y369" s="1309">
        <f t="shared" si="95"/>
        <v>0</v>
      </c>
      <c r="Z369" s="1306"/>
    </row>
    <row r="370" spans="1:26">
      <c r="A370" s="74"/>
      <c r="B370" s="24"/>
      <c r="C370" s="14">
        <f t="shared" si="84"/>
        <v>1</v>
      </c>
      <c r="D370" s="706"/>
      <c r="E370" s="14">
        <f t="shared" si="85"/>
        <v>1</v>
      </c>
      <c r="F370" s="706"/>
      <c r="G370" s="14">
        <f t="shared" si="86"/>
        <v>1</v>
      </c>
      <c r="H370" s="706"/>
      <c r="I370" s="14">
        <f t="shared" si="87"/>
        <v>1</v>
      </c>
      <c r="J370" s="706"/>
      <c r="K370" s="14">
        <f t="shared" si="88"/>
        <v>1</v>
      </c>
      <c r="L370" s="706"/>
      <c r="M370" s="14">
        <f t="shared" si="89"/>
        <v>1</v>
      </c>
      <c r="N370" s="706"/>
      <c r="O370" s="14">
        <f t="shared" si="90"/>
        <v>1</v>
      </c>
      <c r="P370" s="706"/>
      <c r="Q370" s="14">
        <f t="shared" si="91"/>
        <v>1</v>
      </c>
      <c r="R370" s="702">
        <f t="shared" si="96"/>
        <v>0</v>
      </c>
      <c r="S370" s="333">
        <f t="shared" si="97"/>
        <v>0</v>
      </c>
      <c r="T370" s="1177">
        <f t="shared" si="98"/>
        <v>0</v>
      </c>
      <c r="U370" s="1309">
        <f t="shared" si="92"/>
        <v>0</v>
      </c>
      <c r="V370" s="1309">
        <f t="shared" si="93"/>
        <v>0</v>
      </c>
      <c r="W370" s="1306"/>
      <c r="X370" s="1309">
        <f t="shared" si="94"/>
        <v>0</v>
      </c>
      <c r="Y370" s="1309">
        <f t="shared" si="95"/>
        <v>0</v>
      </c>
      <c r="Z370" s="1306"/>
    </row>
    <row r="371" spans="1:26">
      <c r="A371" s="74"/>
      <c r="B371" s="24"/>
      <c r="C371" s="14">
        <f t="shared" si="84"/>
        <v>1</v>
      </c>
      <c r="D371" s="706"/>
      <c r="E371" s="14">
        <f t="shared" si="85"/>
        <v>1</v>
      </c>
      <c r="F371" s="706"/>
      <c r="G371" s="14">
        <f t="shared" si="86"/>
        <v>1</v>
      </c>
      <c r="H371" s="706"/>
      <c r="I371" s="14">
        <f t="shared" si="87"/>
        <v>1</v>
      </c>
      <c r="J371" s="706"/>
      <c r="K371" s="14">
        <f t="shared" si="88"/>
        <v>1</v>
      </c>
      <c r="L371" s="706"/>
      <c r="M371" s="14">
        <f t="shared" si="89"/>
        <v>1</v>
      </c>
      <c r="N371" s="706"/>
      <c r="O371" s="14">
        <f t="shared" si="90"/>
        <v>1</v>
      </c>
      <c r="P371" s="706"/>
      <c r="Q371" s="14">
        <f t="shared" si="91"/>
        <v>1</v>
      </c>
      <c r="R371" s="702">
        <f t="shared" si="96"/>
        <v>0</v>
      </c>
      <c r="S371" s="333">
        <f t="shared" si="97"/>
        <v>0</v>
      </c>
      <c r="T371" s="1177">
        <f t="shared" si="98"/>
        <v>0</v>
      </c>
      <c r="U371" s="1309">
        <f t="shared" si="92"/>
        <v>0</v>
      </c>
      <c r="V371" s="1309">
        <f t="shared" si="93"/>
        <v>0</v>
      </c>
      <c r="W371" s="1306"/>
      <c r="X371" s="1309">
        <f t="shared" si="94"/>
        <v>0</v>
      </c>
      <c r="Y371" s="1309">
        <f t="shared" si="95"/>
        <v>0</v>
      </c>
      <c r="Z371" s="1306"/>
    </row>
    <row r="372" spans="1:26">
      <c r="A372" s="74"/>
      <c r="B372" s="24"/>
      <c r="C372" s="14">
        <f t="shared" si="84"/>
        <v>1</v>
      </c>
      <c r="D372" s="706"/>
      <c r="E372" s="14">
        <f t="shared" si="85"/>
        <v>1</v>
      </c>
      <c r="F372" s="706"/>
      <c r="G372" s="14">
        <f t="shared" si="86"/>
        <v>1</v>
      </c>
      <c r="H372" s="706"/>
      <c r="I372" s="14">
        <f t="shared" si="87"/>
        <v>1</v>
      </c>
      <c r="J372" s="706"/>
      <c r="K372" s="14">
        <f t="shared" si="88"/>
        <v>1</v>
      </c>
      <c r="L372" s="706"/>
      <c r="M372" s="14">
        <f t="shared" si="89"/>
        <v>1</v>
      </c>
      <c r="N372" s="706"/>
      <c r="O372" s="14">
        <f t="shared" si="90"/>
        <v>1</v>
      </c>
      <c r="P372" s="706"/>
      <c r="Q372" s="14">
        <f t="shared" si="91"/>
        <v>1</v>
      </c>
      <c r="R372" s="702">
        <f t="shared" si="96"/>
        <v>0</v>
      </c>
      <c r="S372" s="333">
        <f t="shared" si="97"/>
        <v>0</v>
      </c>
      <c r="T372" s="1177">
        <f t="shared" si="98"/>
        <v>0</v>
      </c>
      <c r="U372" s="1309">
        <f t="shared" si="92"/>
        <v>0</v>
      </c>
      <c r="V372" s="1309">
        <f t="shared" si="93"/>
        <v>0</v>
      </c>
      <c r="W372" s="1306"/>
      <c r="X372" s="1309">
        <f t="shared" si="94"/>
        <v>0</v>
      </c>
      <c r="Y372" s="1309">
        <f t="shared" si="95"/>
        <v>0</v>
      </c>
      <c r="Z372" s="1306"/>
    </row>
    <row r="373" spans="1:26">
      <c r="A373" s="74"/>
      <c r="B373" s="24"/>
      <c r="C373" s="14">
        <f t="shared" si="84"/>
        <v>1</v>
      </c>
      <c r="D373" s="706"/>
      <c r="E373" s="14">
        <f t="shared" si="85"/>
        <v>1</v>
      </c>
      <c r="F373" s="706"/>
      <c r="G373" s="14">
        <f t="shared" si="86"/>
        <v>1</v>
      </c>
      <c r="H373" s="706"/>
      <c r="I373" s="14">
        <f t="shared" si="87"/>
        <v>1</v>
      </c>
      <c r="J373" s="706"/>
      <c r="K373" s="14">
        <f t="shared" si="88"/>
        <v>1</v>
      </c>
      <c r="L373" s="706"/>
      <c r="M373" s="14">
        <f t="shared" si="89"/>
        <v>1</v>
      </c>
      <c r="N373" s="706"/>
      <c r="O373" s="14">
        <f t="shared" si="90"/>
        <v>1</v>
      </c>
      <c r="P373" s="706"/>
      <c r="Q373" s="14">
        <f t="shared" si="91"/>
        <v>1</v>
      </c>
      <c r="R373" s="702">
        <f t="shared" si="96"/>
        <v>0</v>
      </c>
      <c r="S373" s="333">
        <f t="shared" si="97"/>
        <v>0</v>
      </c>
      <c r="T373" s="1177">
        <f t="shared" si="98"/>
        <v>0</v>
      </c>
      <c r="U373" s="1309">
        <f t="shared" si="92"/>
        <v>0</v>
      </c>
      <c r="V373" s="1309">
        <f t="shared" si="93"/>
        <v>0</v>
      </c>
      <c r="W373" s="1306"/>
      <c r="X373" s="1309">
        <f t="shared" si="94"/>
        <v>0</v>
      </c>
      <c r="Y373" s="1309">
        <f t="shared" si="95"/>
        <v>0</v>
      </c>
      <c r="Z373" s="1306"/>
    </row>
    <row r="374" spans="1:26">
      <c r="A374" s="74"/>
      <c r="B374" s="24"/>
      <c r="C374" s="14">
        <f t="shared" si="84"/>
        <v>1</v>
      </c>
      <c r="D374" s="706"/>
      <c r="E374" s="14">
        <f t="shared" si="85"/>
        <v>1</v>
      </c>
      <c r="F374" s="706"/>
      <c r="G374" s="14">
        <f t="shared" si="86"/>
        <v>1</v>
      </c>
      <c r="H374" s="706"/>
      <c r="I374" s="14">
        <f t="shared" si="87"/>
        <v>1</v>
      </c>
      <c r="J374" s="706"/>
      <c r="K374" s="14">
        <f t="shared" si="88"/>
        <v>1</v>
      </c>
      <c r="L374" s="706"/>
      <c r="M374" s="14">
        <f t="shared" si="89"/>
        <v>1</v>
      </c>
      <c r="N374" s="706"/>
      <c r="O374" s="14">
        <f t="shared" si="90"/>
        <v>1</v>
      </c>
      <c r="P374" s="706"/>
      <c r="Q374" s="14">
        <f t="shared" si="91"/>
        <v>1</v>
      </c>
      <c r="R374" s="702">
        <f t="shared" si="96"/>
        <v>0</v>
      </c>
      <c r="S374" s="333">
        <f t="shared" si="97"/>
        <v>0</v>
      </c>
      <c r="T374" s="1177">
        <f t="shared" si="98"/>
        <v>0</v>
      </c>
      <c r="U374" s="1309">
        <f t="shared" si="92"/>
        <v>0</v>
      </c>
      <c r="V374" s="1309">
        <f t="shared" si="93"/>
        <v>0</v>
      </c>
      <c r="W374" s="1306"/>
      <c r="X374" s="1309">
        <f t="shared" si="94"/>
        <v>0</v>
      </c>
      <c r="Y374" s="1309">
        <f t="shared" si="95"/>
        <v>0</v>
      </c>
      <c r="Z374" s="1306"/>
    </row>
    <row r="375" spans="1:26">
      <c r="A375" s="74"/>
      <c r="B375" s="24"/>
      <c r="C375" s="14">
        <f t="shared" si="84"/>
        <v>1</v>
      </c>
      <c r="D375" s="706"/>
      <c r="E375" s="14">
        <f t="shared" si="85"/>
        <v>1</v>
      </c>
      <c r="F375" s="706"/>
      <c r="G375" s="14">
        <f t="shared" si="86"/>
        <v>1</v>
      </c>
      <c r="H375" s="706"/>
      <c r="I375" s="14">
        <f t="shared" si="87"/>
        <v>1</v>
      </c>
      <c r="J375" s="706"/>
      <c r="K375" s="14">
        <f t="shared" si="88"/>
        <v>1</v>
      </c>
      <c r="L375" s="706"/>
      <c r="M375" s="14">
        <f t="shared" si="89"/>
        <v>1</v>
      </c>
      <c r="N375" s="706"/>
      <c r="O375" s="14">
        <f t="shared" si="90"/>
        <v>1</v>
      </c>
      <c r="P375" s="706"/>
      <c r="Q375" s="14">
        <f t="shared" si="91"/>
        <v>1</v>
      </c>
      <c r="R375" s="702">
        <f t="shared" si="96"/>
        <v>0</v>
      </c>
      <c r="S375" s="333">
        <f t="shared" si="97"/>
        <v>0</v>
      </c>
      <c r="T375" s="1177">
        <f t="shared" si="98"/>
        <v>0</v>
      </c>
      <c r="U375" s="1309">
        <f t="shared" si="92"/>
        <v>0</v>
      </c>
      <c r="V375" s="1309">
        <f t="shared" si="93"/>
        <v>0</v>
      </c>
      <c r="W375" s="1306"/>
      <c r="X375" s="1309">
        <f t="shared" si="94"/>
        <v>0</v>
      </c>
      <c r="Y375" s="1309">
        <f t="shared" si="95"/>
        <v>0</v>
      </c>
      <c r="Z375" s="1306"/>
    </row>
    <row r="376" spans="1:26">
      <c r="A376" s="74"/>
      <c r="B376" s="24"/>
      <c r="C376" s="14">
        <f t="shared" si="84"/>
        <v>1</v>
      </c>
      <c r="D376" s="706"/>
      <c r="E376" s="14">
        <f t="shared" si="85"/>
        <v>1</v>
      </c>
      <c r="F376" s="706"/>
      <c r="G376" s="14">
        <f t="shared" si="86"/>
        <v>1</v>
      </c>
      <c r="H376" s="706"/>
      <c r="I376" s="14">
        <f t="shared" si="87"/>
        <v>1</v>
      </c>
      <c r="J376" s="706"/>
      <c r="K376" s="14">
        <f t="shared" si="88"/>
        <v>1</v>
      </c>
      <c r="L376" s="706"/>
      <c r="M376" s="14">
        <f t="shared" si="89"/>
        <v>1</v>
      </c>
      <c r="N376" s="706"/>
      <c r="O376" s="14">
        <f t="shared" si="90"/>
        <v>1</v>
      </c>
      <c r="P376" s="706"/>
      <c r="Q376" s="14">
        <f t="shared" si="91"/>
        <v>1</v>
      </c>
      <c r="R376" s="702">
        <f t="shared" si="96"/>
        <v>0</v>
      </c>
      <c r="S376" s="333">
        <f t="shared" si="97"/>
        <v>0</v>
      </c>
      <c r="T376" s="1177">
        <f t="shared" si="98"/>
        <v>0</v>
      </c>
      <c r="U376" s="1309">
        <f t="shared" si="92"/>
        <v>0</v>
      </c>
      <c r="V376" s="1309">
        <f t="shared" si="93"/>
        <v>0</v>
      </c>
      <c r="W376" s="1306"/>
      <c r="X376" s="1309">
        <f t="shared" si="94"/>
        <v>0</v>
      </c>
      <c r="Y376" s="1309">
        <f t="shared" si="95"/>
        <v>0</v>
      </c>
      <c r="Z376" s="1306"/>
    </row>
    <row r="377" spans="1:26">
      <c r="A377" s="74"/>
      <c r="B377" s="24"/>
      <c r="C377" s="14">
        <f t="shared" si="84"/>
        <v>1</v>
      </c>
      <c r="D377" s="706"/>
      <c r="E377" s="14">
        <f t="shared" si="85"/>
        <v>1</v>
      </c>
      <c r="F377" s="706"/>
      <c r="G377" s="14">
        <f t="shared" si="86"/>
        <v>1</v>
      </c>
      <c r="H377" s="706"/>
      <c r="I377" s="14">
        <f t="shared" si="87"/>
        <v>1</v>
      </c>
      <c r="J377" s="706"/>
      <c r="K377" s="14">
        <f t="shared" si="88"/>
        <v>1</v>
      </c>
      <c r="L377" s="706"/>
      <c r="M377" s="14">
        <f t="shared" si="89"/>
        <v>1</v>
      </c>
      <c r="N377" s="706"/>
      <c r="O377" s="14">
        <f t="shared" si="90"/>
        <v>1</v>
      </c>
      <c r="P377" s="706"/>
      <c r="Q377" s="14">
        <f t="shared" si="91"/>
        <v>1</v>
      </c>
      <c r="R377" s="702">
        <f t="shared" si="96"/>
        <v>0</v>
      </c>
      <c r="S377" s="333">
        <f t="shared" si="97"/>
        <v>0</v>
      </c>
      <c r="T377" s="1177">
        <f t="shared" si="98"/>
        <v>0</v>
      </c>
      <c r="U377" s="1309">
        <f t="shared" si="92"/>
        <v>0</v>
      </c>
      <c r="V377" s="1309">
        <f t="shared" si="93"/>
        <v>0</v>
      </c>
      <c r="W377" s="1306"/>
      <c r="X377" s="1309">
        <f t="shared" si="94"/>
        <v>0</v>
      </c>
      <c r="Y377" s="1309">
        <f t="shared" si="95"/>
        <v>0</v>
      </c>
      <c r="Z377" s="1306"/>
    </row>
    <row r="378" spans="1:26">
      <c r="A378" s="74"/>
      <c r="B378" s="24"/>
      <c r="C378" s="14">
        <f t="shared" si="84"/>
        <v>1</v>
      </c>
      <c r="D378" s="706"/>
      <c r="E378" s="14">
        <f t="shared" si="85"/>
        <v>1</v>
      </c>
      <c r="F378" s="706"/>
      <c r="G378" s="14">
        <f t="shared" si="86"/>
        <v>1</v>
      </c>
      <c r="H378" s="706"/>
      <c r="I378" s="14">
        <f t="shared" si="87"/>
        <v>1</v>
      </c>
      <c r="J378" s="706"/>
      <c r="K378" s="14">
        <f t="shared" si="88"/>
        <v>1</v>
      </c>
      <c r="L378" s="706"/>
      <c r="M378" s="14">
        <f t="shared" si="89"/>
        <v>1</v>
      </c>
      <c r="N378" s="706"/>
      <c r="O378" s="14">
        <f t="shared" si="90"/>
        <v>1</v>
      </c>
      <c r="P378" s="706"/>
      <c r="Q378" s="14">
        <f t="shared" si="91"/>
        <v>1</v>
      </c>
      <c r="R378" s="702">
        <f t="shared" si="96"/>
        <v>0</v>
      </c>
      <c r="S378" s="333">
        <f t="shared" si="97"/>
        <v>0</v>
      </c>
      <c r="T378" s="1177">
        <f t="shared" si="98"/>
        <v>0</v>
      </c>
      <c r="U378" s="1309">
        <f t="shared" si="92"/>
        <v>0</v>
      </c>
      <c r="V378" s="1309">
        <f t="shared" si="93"/>
        <v>0</v>
      </c>
      <c r="W378" s="1306"/>
      <c r="X378" s="1309">
        <f t="shared" si="94"/>
        <v>0</v>
      </c>
      <c r="Y378" s="1309">
        <f t="shared" si="95"/>
        <v>0</v>
      </c>
      <c r="Z378" s="1306"/>
    </row>
    <row r="379" spans="1:26">
      <c r="A379" s="74"/>
      <c r="B379" s="24"/>
      <c r="C379" s="14">
        <f t="shared" si="84"/>
        <v>1</v>
      </c>
      <c r="D379" s="706"/>
      <c r="E379" s="14">
        <f t="shared" si="85"/>
        <v>1</v>
      </c>
      <c r="F379" s="706"/>
      <c r="G379" s="14">
        <f t="shared" si="86"/>
        <v>1</v>
      </c>
      <c r="H379" s="706"/>
      <c r="I379" s="14">
        <f t="shared" si="87"/>
        <v>1</v>
      </c>
      <c r="J379" s="706"/>
      <c r="K379" s="14">
        <f t="shared" si="88"/>
        <v>1</v>
      </c>
      <c r="L379" s="706"/>
      <c r="M379" s="14">
        <f t="shared" si="89"/>
        <v>1</v>
      </c>
      <c r="N379" s="706"/>
      <c r="O379" s="14">
        <f t="shared" si="90"/>
        <v>1</v>
      </c>
      <c r="P379" s="706"/>
      <c r="Q379" s="14">
        <f t="shared" si="91"/>
        <v>1</v>
      </c>
      <c r="R379" s="702">
        <f t="shared" si="96"/>
        <v>0</v>
      </c>
      <c r="S379" s="333">
        <f t="shared" si="97"/>
        <v>0</v>
      </c>
      <c r="T379" s="1177">
        <f t="shared" si="98"/>
        <v>0</v>
      </c>
      <c r="U379" s="1309">
        <f t="shared" si="92"/>
        <v>0</v>
      </c>
      <c r="V379" s="1309">
        <f t="shared" si="93"/>
        <v>0</v>
      </c>
      <c r="W379" s="1306"/>
      <c r="X379" s="1309">
        <f t="shared" si="94"/>
        <v>0</v>
      </c>
      <c r="Y379" s="1309">
        <f t="shared" si="95"/>
        <v>0</v>
      </c>
      <c r="Z379" s="1306"/>
    </row>
    <row r="380" spans="1:26">
      <c r="A380" s="74"/>
      <c r="B380" s="24"/>
      <c r="C380" s="14">
        <f t="shared" si="84"/>
        <v>1</v>
      </c>
      <c r="D380" s="706"/>
      <c r="E380" s="14">
        <f t="shared" si="85"/>
        <v>1</v>
      </c>
      <c r="F380" s="706"/>
      <c r="G380" s="14">
        <f t="shared" si="86"/>
        <v>1</v>
      </c>
      <c r="H380" s="706"/>
      <c r="I380" s="14">
        <f t="shared" si="87"/>
        <v>1</v>
      </c>
      <c r="J380" s="706"/>
      <c r="K380" s="14">
        <f t="shared" si="88"/>
        <v>1</v>
      </c>
      <c r="L380" s="706"/>
      <c r="M380" s="14">
        <f t="shared" si="89"/>
        <v>1</v>
      </c>
      <c r="N380" s="706"/>
      <c r="O380" s="14">
        <f t="shared" si="90"/>
        <v>1</v>
      </c>
      <c r="P380" s="706"/>
      <c r="Q380" s="14">
        <f t="shared" si="91"/>
        <v>1</v>
      </c>
      <c r="R380" s="702">
        <f t="shared" si="96"/>
        <v>0</v>
      </c>
      <c r="S380" s="333">
        <f t="shared" si="97"/>
        <v>0</v>
      </c>
      <c r="T380" s="1177">
        <f t="shared" si="98"/>
        <v>0</v>
      </c>
      <c r="U380" s="1309">
        <f t="shared" si="92"/>
        <v>0</v>
      </c>
      <c r="V380" s="1309">
        <f t="shared" si="93"/>
        <v>0</v>
      </c>
      <c r="W380" s="1306"/>
      <c r="X380" s="1309">
        <f t="shared" si="94"/>
        <v>0</v>
      </c>
      <c r="Y380" s="1309">
        <f t="shared" si="95"/>
        <v>0</v>
      </c>
      <c r="Z380" s="1306"/>
    </row>
    <row r="381" spans="1:26">
      <c r="A381" s="74"/>
      <c r="B381" s="24"/>
      <c r="C381" s="14">
        <f t="shared" si="84"/>
        <v>1</v>
      </c>
      <c r="D381" s="706"/>
      <c r="E381" s="14">
        <f t="shared" si="85"/>
        <v>1</v>
      </c>
      <c r="F381" s="706"/>
      <c r="G381" s="14">
        <f t="shared" si="86"/>
        <v>1</v>
      </c>
      <c r="H381" s="706"/>
      <c r="I381" s="14">
        <f t="shared" si="87"/>
        <v>1</v>
      </c>
      <c r="J381" s="706"/>
      <c r="K381" s="14">
        <f t="shared" si="88"/>
        <v>1</v>
      </c>
      <c r="L381" s="706"/>
      <c r="M381" s="14">
        <f t="shared" si="89"/>
        <v>1</v>
      </c>
      <c r="N381" s="706"/>
      <c r="O381" s="14">
        <f t="shared" si="90"/>
        <v>1</v>
      </c>
      <c r="P381" s="706"/>
      <c r="Q381" s="14">
        <f t="shared" si="91"/>
        <v>1</v>
      </c>
      <c r="R381" s="702">
        <f t="shared" si="96"/>
        <v>0</v>
      </c>
      <c r="S381" s="333">
        <f t="shared" si="97"/>
        <v>0</v>
      </c>
      <c r="T381" s="1177">
        <f t="shared" si="98"/>
        <v>0</v>
      </c>
      <c r="U381" s="1309">
        <f t="shared" si="92"/>
        <v>0</v>
      </c>
      <c r="V381" s="1309">
        <f t="shared" si="93"/>
        <v>0</v>
      </c>
      <c r="W381" s="1306"/>
      <c r="X381" s="1309">
        <f t="shared" si="94"/>
        <v>0</v>
      </c>
      <c r="Y381" s="1309">
        <f t="shared" si="95"/>
        <v>0</v>
      </c>
      <c r="Z381" s="1306"/>
    </row>
    <row r="382" spans="1:26">
      <c r="A382" s="74"/>
      <c r="B382" s="24"/>
      <c r="C382" s="14">
        <f t="shared" si="84"/>
        <v>1</v>
      </c>
      <c r="D382" s="706"/>
      <c r="E382" s="14">
        <f t="shared" si="85"/>
        <v>1</v>
      </c>
      <c r="F382" s="706"/>
      <c r="G382" s="14">
        <f t="shared" si="86"/>
        <v>1</v>
      </c>
      <c r="H382" s="706"/>
      <c r="I382" s="14">
        <f t="shared" si="87"/>
        <v>1</v>
      </c>
      <c r="J382" s="706"/>
      <c r="K382" s="14">
        <f t="shared" si="88"/>
        <v>1</v>
      </c>
      <c r="L382" s="706"/>
      <c r="M382" s="14">
        <f t="shared" si="89"/>
        <v>1</v>
      </c>
      <c r="N382" s="706"/>
      <c r="O382" s="14">
        <f t="shared" si="90"/>
        <v>1</v>
      </c>
      <c r="P382" s="706"/>
      <c r="Q382" s="14">
        <f t="shared" si="91"/>
        <v>1</v>
      </c>
      <c r="R382" s="702">
        <f t="shared" si="96"/>
        <v>0</v>
      </c>
      <c r="S382" s="333">
        <f t="shared" si="97"/>
        <v>0</v>
      </c>
      <c r="T382" s="1177">
        <f t="shared" si="98"/>
        <v>0</v>
      </c>
      <c r="U382" s="1309">
        <f t="shared" si="92"/>
        <v>0</v>
      </c>
      <c r="V382" s="1309">
        <f t="shared" si="93"/>
        <v>0</v>
      </c>
      <c r="W382" s="1306"/>
      <c r="X382" s="1309">
        <f t="shared" si="94"/>
        <v>0</v>
      </c>
      <c r="Y382" s="1309">
        <f t="shared" si="95"/>
        <v>0</v>
      </c>
      <c r="Z382" s="1306"/>
    </row>
    <row r="383" spans="1:26">
      <c r="A383" s="74"/>
      <c r="B383" s="24"/>
      <c r="C383" s="14">
        <f t="shared" si="84"/>
        <v>1</v>
      </c>
      <c r="D383" s="706"/>
      <c r="E383" s="14">
        <f t="shared" si="85"/>
        <v>1</v>
      </c>
      <c r="F383" s="706"/>
      <c r="G383" s="14">
        <f t="shared" si="86"/>
        <v>1</v>
      </c>
      <c r="H383" s="706"/>
      <c r="I383" s="14">
        <f t="shared" si="87"/>
        <v>1</v>
      </c>
      <c r="J383" s="706"/>
      <c r="K383" s="14">
        <f t="shared" si="88"/>
        <v>1</v>
      </c>
      <c r="L383" s="706"/>
      <c r="M383" s="14">
        <f t="shared" si="89"/>
        <v>1</v>
      </c>
      <c r="N383" s="706"/>
      <c r="O383" s="14">
        <f t="shared" si="90"/>
        <v>1</v>
      </c>
      <c r="P383" s="706"/>
      <c r="Q383" s="14">
        <f t="shared" si="91"/>
        <v>1</v>
      </c>
      <c r="R383" s="702">
        <f t="shared" si="96"/>
        <v>0</v>
      </c>
      <c r="S383" s="333">
        <f t="shared" si="97"/>
        <v>0</v>
      </c>
      <c r="T383" s="1177">
        <f t="shared" si="98"/>
        <v>0</v>
      </c>
      <c r="U383" s="1309">
        <f t="shared" si="92"/>
        <v>0</v>
      </c>
      <c r="V383" s="1309">
        <f t="shared" si="93"/>
        <v>0</v>
      </c>
      <c r="W383" s="1306"/>
      <c r="X383" s="1309">
        <f t="shared" si="94"/>
        <v>0</v>
      </c>
      <c r="Y383" s="1309">
        <f t="shared" si="95"/>
        <v>0</v>
      </c>
      <c r="Z383" s="1306"/>
    </row>
    <row r="384" spans="1:26">
      <c r="A384" s="74"/>
      <c r="B384" s="24"/>
      <c r="C384" s="14">
        <f t="shared" si="84"/>
        <v>1</v>
      </c>
      <c r="D384" s="706"/>
      <c r="E384" s="14">
        <f t="shared" si="85"/>
        <v>1</v>
      </c>
      <c r="F384" s="706"/>
      <c r="G384" s="14">
        <f t="shared" si="86"/>
        <v>1</v>
      </c>
      <c r="H384" s="706"/>
      <c r="I384" s="14">
        <f t="shared" si="87"/>
        <v>1</v>
      </c>
      <c r="J384" s="706"/>
      <c r="K384" s="14">
        <f t="shared" si="88"/>
        <v>1</v>
      </c>
      <c r="L384" s="706"/>
      <c r="M384" s="14">
        <f t="shared" si="89"/>
        <v>1</v>
      </c>
      <c r="N384" s="706"/>
      <c r="O384" s="14">
        <f t="shared" si="90"/>
        <v>1</v>
      </c>
      <c r="P384" s="706"/>
      <c r="Q384" s="14">
        <f t="shared" si="91"/>
        <v>1</v>
      </c>
      <c r="R384" s="702">
        <f t="shared" si="96"/>
        <v>0</v>
      </c>
      <c r="S384" s="333">
        <f t="shared" si="97"/>
        <v>0</v>
      </c>
      <c r="T384" s="1177">
        <f t="shared" si="98"/>
        <v>0</v>
      </c>
      <c r="U384" s="1309">
        <f t="shared" si="92"/>
        <v>0</v>
      </c>
      <c r="V384" s="1309">
        <f t="shared" si="93"/>
        <v>0</v>
      </c>
      <c r="W384" s="1306"/>
      <c r="X384" s="1309">
        <f t="shared" si="94"/>
        <v>0</v>
      </c>
      <c r="Y384" s="1309">
        <f t="shared" si="95"/>
        <v>0</v>
      </c>
      <c r="Z384" s="1306"/>
    </row>
    <row r="385" spans="1:26">
      <c r="A385" s="74"/>
      <c r="B385" s="24"/>
      <c r="C385" s="14">
        <f t="shared" si="84"/>
        <v>1</v>
      </c>
      <c r="D385" s="706"/>
      <c r="E385" s="14">
        <f t="shared" si="85"/>
        <v>1</v>
      </c>
      <c r="F385" s="706"/>
      <c r="G385" s="14">
        <f t="shared" si="86"/>
        <v>1</v>
      </c>
      <c r="H385" s="706"/>
      <c r="I385" s="14">
        <f t="shared" si="87"/>
        <v>1</v>
      </c>
      <c r="J385" s="706"/>
      <c r="K385" s="14">
        <f t="shared" si="88"/>
        <v>1</v>
      </c>
      <c r="L385" s="706"/>
      <c r="M385" s="14">
        <f t="shared" si="89"/>
        <v>1</v>
      </c>
      <c r="N385" s="706"/>
      <c r="O385" s="14">
        <f t="shared" si="90"/>
        <v>1</v>
      </c>
      <c r="P385" s="706"/>
      <c r="Q385" s="14">
        <f t="shared" si="91"/>
        <v>1</v>
      </c>
      <c r="R385" s="702">
        <f t="shared" si="96"/>
        <v>0</v>
      </c>
      <c r="S385" s="333">
        <f t="shared" si="97"/>
        <v>0</v>
      </c>
      <c r="T385" s="1177">
        <f t="shared" si="98"/>
        <v>0</v>
      </c>
      <c r="U385" s="1309">
        <f t="shared" si="92"/>
        <v>0</v>
      </c>
      <c r="V385" s="1309">
        <f t="shared" si="93"/>
        <v>0</v>
      </c>
      <c r="W385" s="1306"/>
      <c r="X385" s="1309">
        <f t="shared" si="94"/>
        <v>0</v>
      </c>
      <c r="Y385" s="1309">
        <f t="shared" si="95"/>
        <v>0</v>
      </c>
      <c r="Z385" s="1306"/>
    </row>
    <row r="386" spans="1:26">
      <c r="A386" s="74"/>
      <c r="B386" s="24"/>
      <c r="C386" s="14">
        <f t="shared" si="84"/>
        <v>1</v>
      </c>
      <c r="D386" s="706"/>
      <c r="E386" s="14">
        <f t="shared" si="85"/>
        <v>1</v>
      </c>
      <c r="F386" s="706"/>
      <c r="G386" s="14">
        <f t="shared" si="86"/>
        <v>1</v>
      </c>
      <c r="H386" s="706"/>
      <c r="I386" s="14">
        <f t="shared" si="87"/>
        <v>1</v>
      </c>
      <c r="J386" s="706"/>
      <c r="K386" s="14">
        <f t="shared" si="88"/>
        <v>1</v>
      </c>
      <c r="L386" s="706"/>
      <c r="M386" s="14">
        <f t="shared" si="89"/>
        <v>1</v>
      </c>
      <c r="N386" s="706"/>
      <c r="O386" s="14">
        <f t="shared" si="90"/>
        <v>1</v>
      </c>
      <c r="P386" s="706"/>
      <c r="Q386" s="14">
        <f t="shared" si="91"/>
        <v>1</v>
      </c>
      <c r="R386" s="702">
        <f t="shared" si="96"/>
        <v>0</v>
      </c>
      <c r="S386" s="333">
        <f t="shared" si="97"/>
        <v>0</v>
      </c>
      <c r="T386" s="1177">
        <f t="shared" si="98"/>
        <v>0</v>
      </c>
      <c r="U386" s="1309">
        <f t="shared" si="92"/>
        <v>0</v>
      </c>
      <c r="V386" s="1309">
        <f t="shared" si="93"/>
        <v>0</v>
      </c>
      <c r="W386" s="1306"/>
      <c r="X386" s="1309">
        <f t="shared" si="94"/>
        <v>0</v>
      </c>
      <c r="Y386" s="1309">
        <f t="shared" si="95"/>
        <v>0</v>
      </c>
      <c r="Z386" s="1306"/>
    </row>
    <row r="387" spans="1:26">
      <c r="A387" s="74"/>
      <c r="B387" s="24"/>
      <c r="C387" s="14">
        <f t="shared" si="84"/>
        <v>1</v>
      </c>
      <c r="D387" s="706"/>
      <c r="E387" s="14">
        <f t="shared" si="85"/>
        <v>1</v>
      </c>
      <c r="F387" s="706"/>
      <c r="G387" s="14">
        <f t="shared" si="86"/>
        <v>1</v>
      </c>
      <c r="H387" s="706"/>
      <c r="I387" s="14">
        <f t="shared" si="87"/>
        <v>1</v>
      </c>
      <c r="J387" s="706"/>
      <c r="K387" s="14">
        <f t="shared" si="88"/>
        <v>1</v>
      </c>
      <c r="L387" s="706"/>
      <c r="M387" s="14">
        <f t="shared" si="89"/>
        <v>1</v>
      </c>
      <c r="N387" s="706"/>
      <c r="O387" s="14">
        <f t="shared" si="90"/>
        <v>1</v>
      </c>
      <c r="P387" s="706"/>
      <c r="Q387" s="14">
        <f t="shared" si="91"/>
        <v>1</v>
      </c>
      <c r="R387" s="702">
        <f t="shared" si="96"/>
        <v>0</v>
      </c>
      <c r="S387" s="333">
        <f t="shared" si="97"/>
        <v>0</v>
      </c>
      <c r="T387" s="1177">
        <f t="shared" si="98"/>
        <v>0</v>
      </c>
      <c r="U387" s="1309">
        <f t="shared" si="92"/>
        <v>0</v>
      </c>
      <c r="V387" s="1309">
        <f t="shared" si="93"/>
        <v>0</v>
      </c>
      <c r="W387" s="1306"/>
      <c r="X387" s="1309">
        <f t="shared" si="94"/>
        <v>0</v>
      </c>
      <c r="Y387" s="1309">
        <f t="shared" si="95"/>
        <v>0</v>
      </c>
      <c r="Z387" s="1306"/>
    </row>
    <row r="388" spans="1:26">
      <c r="A388" s="74"/>
      <c r="B388" s="24"/>
      <c r="C388" s="14">
        <f t="shared" si="84"/>
        <v>1</v>
      </c>
      <c r="D388" s="706"/>
      <c r="E388" s="14">
        <f t="shared" si="85"/>
        <v>1</v>
      </c>
      <c r="F388" s="706"/>
      <c r="G388" s="14">
        <f t="shared" si="86"/>
        <v>1</v>
      </c>
      <c r="H388" s="706"/>
      <c r="I388" s="14">
        <f t="shared" si="87"/>
        <v>1</v>
      </c>
      <c r="J388" s="706"/>
      <c r="K388" s="14">
        <f t="shared" si="88"/>
        <v>1</v>
      </c>
      <c r="L388" s="706"/>
      <c r="M388" s="14">
        <f t="shared" si="89"/>
        <v>1</v>
      </c>
      <c r="N388" s="706"/>
      <c r="O388" s="14">
        <f t="shared" si="90"/>
        <v>1</v>
      </c>
      <c r="P388" s="706"/>
      <c r="Q388" s="14">
        <f t="shared" si="91"/>
        <v>1</v>
      </c>
      <c r="R388" s="702">
        <f t="shared" si="96"/>
        <v>0</v>
      </c>
      <c r="S388" s="333">
        <f t="shared" si="97"/>
        <v>0</v>
      </c>
      <c r="T388" s="1177">
        <f t="shared" si="98"/>
        <v>0</v>
      </c>
      <c r="U388" s="1309">
        <f t="shared" si="92"/>
        <v>0</v>
      </c>
      <c r="V388" s="1309">
        <f t="shared" si="93"/>
        <v>0</v>
      </c>
      <c r="W388" s="1306"/>
      <c r="X388" s="1309">
        <f t="shared" si="94"/>
        <v>0</v>
      </c>
      <c r="Y388" s="1309">
        <f t="shared" si="95"/>
        <v>0</v>
      </c>
      <c r="Z388" s="1306"/>
    </row>
    <row r="389" spans="1:26">
      <c r="A389" s="74"/>
      <c r="B389" s="24"/>
      <c r="C389" s="14">
        <f t="shared" si="84"/>
        <v>1</v>
      </c>
      <c r="D389" s="706"/>
      <c r="E389" s="14">
        <f t="shared" si="85"/>
        <v>1</v>
      </c>
      <c r="F389" s="706"/>
      <c r="G389" s="14">
        <f t="shared" si="86"/>
        <v>1</v>
      </c>
      <c r="H389" s="706"/>
      <c r="I389" s="14">
        <f t="shared" si="87"/>
        <v>1</v>
      </c>
      <c r="J389" s="706"/>
      <c r="K389" s="14">
        <f t="shared" si="88"/>
        <v>1</v>
      </c>
      <c r="L389" s="706"/>
      <c r="M389" s="14">
        <f t="shared" si="89"/>
        <v>1</v>
      </c>
      <c r="N389" s="706"/>
      <c r="O389" s="14">
        <f t="shared" si="90"/>
        <v>1</v>
      </c>
      <c r="P389" s="706"/>
      <c r="Q389" s="14">
        <f t="shared" si="91"/>
        <v>1</v>
      </c>
      <c r="R389" s="702">
        <f t="shared" si="96"/>
        <v>0</v>
      </c>
      <c r="S389" s="333">
        <f t="shared" si="97"/>
        <v>0</v>
      </c>
      <c r="T389" s="1177">
        <f t="shared" si="98"/>
        <v>0</v>
      </c>
      <c r="U389" s="1309">
        <f t="shared" si="92"/>
        <v>0</v>
      </c>
      <c r="V389" s="1309">
        <f t="shared" si="93"/>
        <v>0</v>
      </c>
      <c r="W389" s="1306"/>
      <c r="X389" s="1309">
        <f t="shared" si="94"/>
        <v>0</v>
      </c>
      <c r="Y389" s="1309">
        <f t="shared" si="95"/>
        <v>0</v>
      </c>
      <c r="Z389" s="1306"/>
    </row>
    <row r="390" spans="1:26">
      <c r="A390" s="74"/>
      <c r="B390" s="24"/>
      <c r="C390" s="14">
        <f t="shared" si="84"/>
        <v>1</v>
      </c>
      <c r="D390" s="706"/>
      <c r="E390" s="14">
        <f t="shared" si="85"/>
        <v>1</v>
      </c>
      <c r="F390" s="706"/>
      <c r="G390" s="14">
        <f t="shared" si="86"/>
        <v>1</v>
      </c>
      <c r="H390" s="706"/>
      <c r="I390" s="14">
        <f t="shared" si="87"/>
        <v>1</v>
      </c>
      <c r="J390" s="706"/>
      <c r="K390" s="14">
        <f t="shared" si="88"/>
        <v>1</v>
      </c>
      <c r="L390" s="706"/>
      <c r="M390" s="14">
        <f t="shared" si="89"/>
        <v>1</v>
      </c>
      <c r="N390" s="706"/>
      <c r="O390" s="14">
        <f t="shared" si="90"/>
        <v>1</v>
      </c>
      <c r="P390" s="706"/>
      <c r="Q390" s="14">
        <f t="shared" si="91"/>
        <v>1</v>
      </c>
      <c r="R390" s="702">
        <f t="shared" si="96"/>
        <v>0</v>
      </c>
      <c r="S390" s="333">
        <f t="shared" si="97"/>
        <v>0</v>
      </c>
      <c r="T390" s="1177">
        <f t="shared" si="98"/>
        <v>0</v>
      </c>
      <c r="U390" s="1309">
        <f t="shared" si="92"/>
        <v>0</v>
      </c>
      <c r="V390" s="1309">
        <f t="shared" si="93"/>
        <v>0</v>
      </c>
      <c r="W390" s="1306"/>
      <c r="X390" s="1309">
        <f t="shared" si="94"/>
        <v>0</v>
      </c>
      <c r="Y390" s="1309">
        <f t="shared" si="95"/>
        <v>0</v>
      </c>
      <c r="Z390" s="1306"/>
    </row>
    <row r="391" spans="1:26">
      <c r="A391" s="74"/>
      <c r="B391" s="24"/>
      <c r="C391" s="14">
        <f t="shared" si="84"/>
        <v>1</v>
      </c>
      <c r="D391" s="706"/>
      <c r="E391" s="14">
        <f t="shared" si="85"/>
        <v>1</v>
      </c>
      <c r="F391" s="706"/>
      <c r="G391" s="14">
        <f t="shared" si="86"/>
        <v>1</v>
      </c>
      <c r="H391" s="706"/>
      <c r="I391" s="14">
        <f t="shared" si="87"/>
        <v>1</v>
      </c>
      <c r="J391" s="706"/>
      <c r="K391" s="14">
        <f t="shared" si="88"/>
        <v>1</v>
      </c>
      <c r="L391" s="706"/>
      <c r="M391" s="14">
        <f t="shared" si="89"/>
        <v>1</v>
      </c>
      <c r="N391" s="706"/>
      <c r="O391" s="14">
        <f t="shared" si="90"/>
        <v>1</v>
      </c>
      <c r="P391" s="706"/>
      <c r="Q391" s="14">
        <f t="shared" si="91"/>
        <v>1</v>
      </c>
      <c r="R391" s="702">
        <f t="shared" si="96"/>
        <v>0</v>
      </c>
      <c r="S391" s="333">
        <f t="shared" si="97"/>
        <v>0</v>
      </c>
      <c r="T391" s="1177">
        <f t="shared" si="98"/>
        <v>0</v>
      </c>
      <c r="U391" s="1309">
        <f t="shared" si="92"/>
        <v>0</v>
      </c>
      <c r="V391" s="1309">
        <f t="shared" si="93"/>
        <v>0</v>
      </c>
      <c r="W391" s="1306"/>
      <c r="X391" s="1309">
        <f t="shared" si="94"/>
        <v>0</v>
      </c>
      <c r="Y391" s="1309">
        <f t="shared" si="95"/>
        <v>0</v>
      </c>
      <c r="Z391" s="1306"/>
    </row>
    <row r="392" spans="1:26">
      <c r="A392" s="74"/>
      <c r="B392" s="24"/>
      <c r="C392" s="14">
        <f t="shared" si="84"/>
        <v>1</v>
      </c>
      <c r="D392" s="706"/>
      <c r="E392" s="14">
        <f t="shared" si="85"/>
        <v>1</v>
      </c>
      <c r="F392" s="706"/>
      <c r="G392" s="14">
        <f t="shared" si="86"/>
        <v>1</v>
      </c>
      <c r="H392" s="706"/>
      <c r="I392" s="14">
        <f t="shared" si="87"/>
        <v>1</v>
      </c>
      <c r="J392" s="706"/>
      <c r="K392" s="14">
        <f t="shared" si="88"/>
        <v>1</v>
      </c>
      <c r="L392" s="706"/>
      <c r="M392" s="14">
        <f t="shared" si="89"/>
        <v>1</v>
      </c>
      <c r="N392" s="706"/>
      <c r="O392" s="14">
        <f t="shared" si="90"/>
        <v>1</v>
      </c>
      <c r="P392" s="706"/>
      <c r="Q392" s="14">
        <f t="shared" si="91"/>
        <v>1</v>
      </c>
      <c r="R392" s="702">
        <f t="shared" si="96"/>
        <v>0</v>
      </c>
      <c r="S392" s="333">
        <f t="shared" si="97"/>
        <v>0</v>
      </c>
      <c r="T392" s="1177">
        <f t="shared" si="98"/>
        <v>0</v>
      </c>
      <c r="U392" s="1309">
        <f t="shared" si="92"/>
        <v>0</v>
      </c>
      <c r="V392" s="1309">
        <f t="shared" si="93"/>
        <v>0</v>
      </c>
      <c r="W392" s="1306"/>
      <c r="X392" s="1309">
        <f t="shared" si="94"/>
        <v>0</v>
      </c>
      <c r="Y392" s="1309">
        <f t="shared" si="95"/>
        <v>0</v>
      </c>
      <c r="Z392" s="1306"/>
    </row>
    <row r="393" spans="1:26">
      <c r="A393" s="74"/>
      <c r="B393" s="24"/>
      <c r="C393" s="14">
        <f t="shared" si="84"/>
        <v>1</v>
      </c>
      <c r="D393" s="706"/>
      <c r="E393" s="14">
        <f t="shared" si="85"/>
        <v>1</v>
      </c>
      <c r="F393" s="706"/>
      <c r="G393" s="14">
        <f t="shared" si="86"/>
        <v>1</v>
      </c>
      <c r="H393" s="706"/>
      <c r="I393" s="14">
        <f t="shared" si="87"/>
        <v>1</v>
      </c>
      <c r="J393" s="706"/>
      <c r="K393" s="14">
        <f t="shared" si="88"/>
        <v>1</v>
      </c>
      <c r="L393" s="706"/>
      <c r="M393" s="14">
        <f t="shared" si="89"/>
        <v>1</v>
      </c>
      <c r="N393" s="706"/>
      <c r="O393" s="14">
        <f t="shared" si="90"/>
        <v>1</v>
      </c>
      <c r="P393" s="706"/>
      <c r="Q393" s="14">
        <f t="shared" si="91"/>
        <v>1</v>
      </c>
      <c r="R393" s="702">
        <f t="shared" si="96"/>
        <v>0</v>
      </c>
      <c r="S393" s="333">
        <f t="shared" si="97"/>
        <v>0</v>
      </c>
      <c r="T393" s="1177">
        <f t="shared" si="98"/>
        <v>0</v>
      </c>
      <c r="U393" s="1309">
        <f t="shared" si="92"/>
        <v>0</v>
      </c>
      <c r="V393" s="1309">
        <f t="shared" si="93"/>
        <v>0</v>
      </c>
      <c r="W393" s="1306"/>
      <c r="X393" s="1309">
        <f t="shared" si="94"/>
        <v>0</v>
      </c>
      <c r="Y393" s="1309">
        <f t="shared" si="95"/>
        <v>0</v>
      </c>
      <c r="Z393" s="1306"/>
    </row>
    <row r="394" spans="1:26">
      <c r="A394" s="74"/>
      <c r="B394" s="24"/>
      <c r="C394" s="14">
        <f t="shared" si="84"/>
        <v>1</v>
      </c>
      <c r="D394" s="706"/>
      <c r="E394" s="14">
        <f t="shared" si="85"/>
        <v>1</v>
      </c>
      <c r="F394" s="706"/>
      <c r="G394" s="14">
        <f t="shared" si="86"/>
        <v>1</v>
      </c>
      <c r="H394" s="706"/>
      <c r="I394" s="14">
        <f t="shared" si="87"/>
        <v>1</v>
      </c>
      <c r="J394" s="706"/>
      <c r="K394" s="14">
        <f t="shared" si="88"/>
        <v>1</v>
      </c>
      <c r="L394" s="706"/>
      <c r="M394" s="14">
        <f t="shared" si="89"/>
        <v>1</v>
      </c>
      <c r="N394" s="706"/>
      <c r="O394" s="14">
        <f t="shared" si="90"/>
        <v>1</v>
      </c>
      <c r="P394" s="706"/>
      <c r="Q394" s="14">
        <f t="shared" si="91"/>
        <v>1</v>
      </c>
      <c r="R394" s="702">
        <f t="shared" si="96"/>
        <v>0</v>
      </c>
      <c r="S394" s="333">
        <f t="shared" si="97"/>
        <v>0</v>
      </c>
      <c r="T394" s="1177">
        <f t="shared" si="98"/>
        <v>0</v>
      </c>
      <c r="U394" s="1309">
        <f t="shared" si="92"/>
        <v>0</v>
      </c>
      <c r="V394" s="1309">
        <f t="shared" si="93"/>
        <v>0</v>
      </c>
      <c r="W394" s="1306"/>
      <c r="X394" s="1309">
        <f t="shared" si="94"/>
        <v>0</v>
      </c>
      <c r="Y394" s="1309">
        <f t="shared" si="95"/>
        <v>0</v>
      </c>
      <c r="Z394" s="1306"/>
    </row>
    <row r="395" spans="1:26">
      <c r="A395" s="74"/>
      <c r="B395" s="24"/>
      <c r="C395" s="14">
        <f t="shared" si="84"/>
        <v>1</v>
      </c>
      <c r="D395" s="706"/>
      <c r="E395" s="14">
        <f t="shared" si="85"/>
        <v>1</v>
      </c>
      <c r="F395" s="706"/>
      <c r="G395" s="14">
        <f t="shared" si="86"/>
        <v>1</v>
      </c>
      <c r="H395" s="706"/>
      <c r="I395" s="14">
        <f t="shared" si="87"/>
        <v>1</v>
      </c>
      <c r="J395" s="706"/>
      <c r="K395" s="14">
        <f t="shared" si="88"/>
        <v>1</v>
      </c>
      <c r="L395" s="706"/>
      <c r="M395" s="14">
        <f t="shared" si="89"/>
        <v>1</v>
      </c>
      <c r="N395" s="706"/>
      <c r="O395" s="14">
        <f t="shared" si="90"/>
        <v>1</v>
      </c>
      <c r="P395" s="706"/>
      <c r="Q395" s="14">
        <f t="shared" si="91"/>
        <v>1</v>
      </c>
      <c r="R395" s="702">
        <f t="shared" si="96"/>
        <v>0</v>
      </c>
      <c r="S395" s="333">
        <f t="shared" si="97"/>
        <v>0</v>
      </c>
      <c r="T395" s="1177">
        <f t="shared" si="98"/>
        <v>0</v>
      </c>
      <c r="U395" s="1309">
        <f t="shared" si="92"/>
        <v>0</v>
      </c>
      <c r="V395" s="1309">
        <f t="shared" si="93"/>
        <v>0</v>
      </c>
      <c r="W395" s="1306"/>
      <c r="X395" s="1309">
        <f t="shared" si="94"/>
        <v>0</v>
      </c>
      <c r="Y395" s="1309">
        <f t="shared" si="95"/>
        <v>0</v>
      </c>
      <c r="Z395" s="1306"/>
    </row>
    <row r="396" spans="1:26">
      <c r="A396" s="74"/>
      <c r="B396" s="24"/>
      <c r="C396" s="14">
        <f t="shared" si="84"/>
        <v>1</v>
      </c>
      <c r="D396" s="706"/>
      <c r="E396" s="14">
        <f t="shared" si="85"/>
        <v>1</v>
      </c>
      <c r="F396" s="706"/>
      <c r="G396" s="14">
        <f t="shared" si="86"/>
        <v>1</v>
      </c>
      <c r="H396" s="706"/>
      <c r="I396" s="14">
        <f t="shared" si="87"/>
        <v>1</v>
      </c>
      <c r="J396" s="706"/>
      <c r="K396" s="14">
        <f t="shared" si="88"/>
        <v>1</v>
      </c>
      <c r="L396" s="706"/>
      <c r="M396" s="14">
        <f t="shared" si="89"/>
        <v>1</v>
      </c>
      <c r="N396" s="706"/>
      <c r="O396" s="14">
        <f t="shared" si="90"/>
        <v>1</v>
      </c>
      <c r="P396" s="706"/>
      <c r="Q396" s="14">
        <f t="shared" si="91"/>
        <v>1</v>
      </c>
      <c r="R396" s="702">
        <f t="shared" si="96"/>
        <v>0</v>
      </c>
      <c r="S396" s="333">
        <f t="shared" si="97"/>
        <v>0</v>
      </c>
      <c r="T396" s="1177">
        <f t="shared" si="98"/>
        <v>0</v>
      </c>
      <c r="U396" s="1309">
        <f t="shared" si="92"/>
        <v>0</v>
      </c>
      <c r="V396" s="1309">
        <f t="shared" si="93"/>
        <v>0</v>
      </c>
      <c r="W396" s="1306"/>
      <c r="X396" s="1309">
        <f t="shared" si="94"/>
        <v>0</v>
      </c>
      <c r="Y396" s="1309">
        <f t="shared" si="95"/>
        <v>0</v>
      </c>
      <c r="Z396" s="1306"/>
    </row>
    <row r="397" spans="1:26">
      <c r="A397" s="74"/>
      <c r="B397" s="24"/>
      <c r="C397" s="14">
        <f t="shared" si="84"/>
        <v>1</v>
      </c>
      <c r="D397" s="706"/>
      <c r="E397" s="14">
        <f t="shared" si="85"/>
        <v>1</v>
      </c>
      <c r="F397" s="706"/>
      <c r="G397" s="14">
        <f t="shared" si="86"/>
        <v>1</v>
      </c>
      <c r="H397" s="706"/>
      <c r="I397" s="14">
        <f t="shared" si="87"/>
        <v>1</v>
      </c>
      <c r="J397" s="706"/>
      <c r="K397" s="14">
        <f t="shared" si="88"/>
        <v>1</v>
      </c>
      <c r="L397" s="706"/>
      <c r="M397" s="14">
        <f t="shared" si="89"/>
        <v>1</v>
      </c>
      <c r="N397" s="706"/>
      <c r="O397" s="14">
        <f t="shared" si="90"/>
        <v>1</v>
      </c>
      <c r="P397" s="706"/>
      <c r="Q397" s="14">
        <f t="shared" si="91"/>
        <v>1</v>
      </c>
      <c r="R397" s="702">
        <f t="shared" si="96"/>
        <v>0</v>
      </c>
      <c r="S397" s="333">
        <f t="shared" si="97"/>
        <v>0</v>
      </c>
      <c r="T397" s="1177">
        <f t="shared" si="98"/>
        <v>0</v>
      </c>
      <c r="U397" s="1309">
        <f t="shared" si="92"/>
        <v>0</v>
      </c>
      <c r="V397" s="1309">
        <f t="shared" si="93"/>
        <v>0</v>
      </c>
      <c r="W397" s="1306"/>
      <c r="X397" s="1309">
        <f t="shared" si="94"/>
        <v>0</v>
      </c>
      <c r="Y397" s="1309">
        <f t="shared" si="95"/>
        <v>0</v>
      </c>
      <c r="Z397" s="1306"/>
    </row>
    <row r="398" spans="1:26">
      <c r="A398" s="74"/>
      <c r="B398" s="24"/>
      <c r="C398" s="14">
        <f t="shared" si="84"/>
        <v>1</v>
      </c>
      <c r="D398" s="706"/>
      <c r="E398" s="14">
        <f t="shared" si="85"/>
        <v>1</v>
      </c>
      <c r="F398" s="706"/>
      <c r="G398" s="14">
        <f t="shared" si="86"/>
        <v>1</v>
      </c>
      <c r="H398" s="706"/>
      <c r="I398" s="14">
        <f t="shared" si="87"/>
        <v>1</v>
      </c>
      <c r="J398" s="706"/>
      <c r="K398" s="14">
        <f t="shared" si="88"/>
        <v>1</v>
      </c>
      <c r="L398" s="706"/>
      <c r="M398" s="14">
        <f t="shared" si="89"/>
        <v>1</v>
      </c>
      <c r="N398" s="706"/>
      <c r="O398" s="14">
        <f t="shared" si="90"/>
        <v>1</v>
      </c>
      <c r="P398" s="706"/>
      <c r="Q398" s="14">
        <f t="shared" si="91"/>
        <v>1</v>
      </c>
      <c r="R398" s="702">
        <f t="shared" si="96"/>
        <v>0</v>
      </c>
      <c r="S398" s="333">
        <f t="shared" si="97"/>
        <v>0</v>
      </c>
      <c r="T398" s="1177">
        <f t="shared" si="98"/>
        <v>0</v>
      </c>
      <c r="U398" s="1309">
        <f t="shared" si="92"/>
        <v>0</v>
      </c>
      <c r="V398" s="1309">
        <f t="shared" si="93"/>
        <v>0</v>
      </c>
      <c r="W398" s="1306"/>
      <c r="X398" s="1309">
        <f t="shared" si="94"/>
        <v>0</v>
      </c>
      <c r="Y398" s="1309">
        <f t="shared" si="95"/>
        <v>0</v>
      </c>
      <c r="Z398" s="1306"/>
    </row>
    <row r="399" spans="1:26">
      <c r="A399" s="74"/>
      <c r="B399" s="24"/>
      <c r="C399" s="14">
        <f t="shared" si="84"/>
        <v>1</v>
      </c>
      <c r="D399" s="706"/>
      <c r="E399" s="14">
        <f t="shared" si="85"/>
        <v>1</v>
      </c>
      <c r="F399" s="706"/>
      <c r="G399" s="14">
        <f t="shared" si="86"/>
        <v>1</v>
      </c>
      <c r="H399" s="706"/>
      <c r="I399" s="14">
        <f t="shared" si="87"/>
        <v>1</v>
      </c>
      <c r="J399" s="706"/>
      <c r="K399" s="14">
        <f t="shared" si="88"/>
        <v>1</v>
      </c>
      <c r="L399" s="706"/>
      <c r="M399" s="14">
        <f t="shared" si="89"/>
        <v>1</v>
      </c>
      <c r="N399" s="706"/>
      <c r="O399" s="14">
        <f t="shared" si="90"/>
        <v>1</v>
      </c>
      <c r="P399" s="706"/>
      <c r="Q399" s="14">
        <f t="shared" si="91"/>
        <v>1</v>
      </c>
      <c r="R399" s="702">
        <f t="shared" si="96"/>
        <v>0</v>
      </c>
      <c r="S399" s="333">
        <f t="shared" si="97"/>
        <v>0</v>
      </c>
      <c r="T399" s="1177">
        <f t="shared" si="98"/>
        <v>0</v>
      </c>
      <c r="U399" s="1309">
        <f t="shared" si="92"/>
        <v>0</v>
      </c>
      <c r="V399" s="1309">
        <f t="shared" si="93"/>
        <v>0</v>
      </c>
      <c r="W399" s="1306"/>
      <c r="X399" s="1309">
        <f t="shared" si="94"/>
        <v>0</v>
      </c>
      <c r="Y399" s="1309">
        <f t="shared" si="95"/>
        <v>0</v>
      </c>
      <c r="Z399" s="1306"/>
    </row>
    <row r="400" spans="1:26">
      <c r="A400" s="74"/>
      <c r="B400" s="24"/>
      <c r="C400" s="14">
        <f t="shared" si="84"/>
        <v>1</v>
      </c>
      <c r="D400" s="706"/>
      <c r="E400" s="14">
        <f t="shared" si="85"/>
        <v>1</v>
      </c>
      <c r="F400" s="706"/>
      <c r="G400" s="14">
        <f t="shared" si="86"/>
        <v>1</v>
      </c>
      <c r="H400" s="706"/>
      <c r="I400" s="14">
        <f t="shared" si="87"/>
        <v>1</v>
      </c>
      <c r="J400" s="706"/>
      <c r="K400" s="14">
        <f t="shared" si="88"/>
        <v>1</v>
      </c>
      <c r="L400" s="706"/>
      <c r="M400" s="14">
        <f t="shared" si="89"/>
        <v>1</v>
      </c>
      <c r="N400" s="706"/>
      <c r="O400" s="14">
        <f t="shared" si="90"/>
        <v>1</v>
      </c>
      <c r="P400" s="706"/>
      <c r="Q400" s="14">
        <f t="shared" si="91"/>
        <v>1</v>
      </c>
      <c r="R400" s="702">
        <f t="shared" si="96"/>
        <v>0</v>
      </c>
      <c r="S400" s="333">
        <f t="shared" si="97"/>
        <v>0</v>
      </c>
      <c r="T400" s="1177">
        <f t="shared" si="98"/>
        <v>0</v>
      </c>
      <c r="U400" s="1309">
        <f t="shared" si="92"/>
        <v>0</v>
      </c>
      <c r="V400" s="1309">
        <f t="shared" si="93"/>
        <v>0</v>
      </c>
      <c r="W400" s="1306"/>
      <c r="X400" s="1309">
        <f t="shared" si="94"/>
        <v>0</v>
      </c>
      <c r="Y400" s="1309">
        <f t="shared" si="95"/>
        <v>0</v>
      </c>
      <c r="Z400" s="1306"/>
    </row>
    <row r="401" spans="1:26">
      <c r="A401" s="74"/>
      <c r="B401" s="24"/>
      <c r="C401" s="14">
        <f t="shared" si="84"/>
        <v>1</v>
      </c>
      <c r="D401" s="706"/>
      <c r="E401" s="14">
        <f t="shared" si="85"/>
        <v>1</v>
      </c>
      <c r="F401" s="706"/>
      <c r="G401" s="14">
        <f t="shared" si="86"/>
        <v>1</v>
      </c>
      <c r="H401" s="706"/>
      <c r="I401" s="14">
        <f t="shared" si="87"/>
        <v>1</v>
      </c>
      <c r="J401" s="706"/>
      <c r="K401" s="14">
        <f t="shared" si="88"/>
        <v>1</v>
      </c>
      <c r="L401" s="706"/>
      <c r="M401" s="14">
        <f t="shared" si="89"/>
        <v>1</v>
      </c>
      <c r="N401" s="706"/>
      <c r="O401" s="14">
        <f t="shared" si="90"/>
        <v>1</v>
      </c>
      <c r="P401" s="706"/>
      <c r="Q401" s="14">
        <f t="shared" si="91"/>
        <v>1</v>
      </c>
      <c r="R401" s="702">
        <f t="shared" si="96"/>
        <v>0</v>
      </c>
      <c r="S401" s="333">
        <f t="shared" si="97"/>
        <v>0</v>
      </c>
      <c r="T401" s="1177">
        <f t="shared" si="98"/>
        <v>0</v>
      </c>
      <c r="U401" s="1309">
        <f t="shared" si="92"/>
        <v>0</v>
      </c>
      <c r="V401" s="1309">
        <f t="shared" si="93"/>
        <v>0</v>
      </c>
      <c r="W401" s="1306"/>
      <c r="X401" s="1309">
        <f t="shared" si="94"/>
        <v>0</v>
      </c>
      <c r="Y401" s="1309">
        <f t="shared" si="95"/>
        <v>0</v>
      </c>
      <c r="Z401" s="1306"/>
    </row>
    <row r="402" spans="1:26">
      <c r="A402" s="74"/>
      <c r="B402" s="24"/>
      <c r="C402" s="14">
        <f t="shared" si="84"/>
        <v>1</v>
      </c>
      <c r="D402" s="706"/>
      <c r="E402" s="14">
        <f t="shared" si="85"/>
        <v>1</v>
      </c>
      <c r="F402" s="706"/>
      <c r="G402" s="14">
        <f t="shared" si="86"/>
        <v>1</v>
      </c>
      <c r="H402" s="706"/>
      <c r="I402" s="14">
        <f t="shared" si="87"/>
        <v>1</v>
      </c>
      <c r="J402" s="706"/>
      <c r="K402" s="14">
        <f t="shared" si="88"/>
        <v>1</v>
      </c>
      <c r="L402" s="706"/>
      <c r="M402" s="14">
        <f t="shared" si="89"/>
        <v>1</v>
      </c>
      <c r="N402" s="706"/>
      <c r="O402" s="14">
        <f t="shared" si="90"/>
        <v>1</v>
      </c>
      <c r="P402" s="706"/>
      <c r="Q402" s="14">
        <f t="shared" si="91"/>
        <v>1</v>
      </c>
      <c r="R402" s="702">
        <f t="shared" si="96"/>
        <v>0</v>
      </c>
      <c r="S402" s="333">
        <f t="shared" si="97"/>
        <v>0</v>
      </c>
      <c r="T402" s="1177">
        <f t="shared" si="98"/>
        <v>0</v>
      </c>
      <c r="U402" s="1309">
        <f t="shared" si="92"/>
        <v>0</v>
      </c>
      <c r="V402" s="1309">
        <f t="shared" si="93"/>
        <v>0</v>
      </c>
      <c r="W402" s="1306"/>
      <c r="X402" s="1309">
        <f t="shared" si="94"/>
        <v>0</v>
      </c>
      <c r="Y402" s="1309">
        <f t="shared" si="95"/>
        <v>0</v>
      </c>
      <c r="Z402" s="1306"/>
    </row>
    <row r="403" spans="1:26">
      <c r="A403" s="74"/>
      <c r="B403" s="24"/>
      <c r="C403" s="14">
        <f t="shared" si="84"/>
        <v>1</v>
      </c>
      <c r="D403" s="706"/>
      <c r="E403" s="14">
        <f t="shared" si="85"/>
        <v>1</v>
      </c>
      <c r="F403" s="706"/>
      <c r="G403" s="14">
        <f t="shared" si="86"/>
        <v>1</v>
      </c>
      <c r="H403" s="706"/>
      <c r="I403" s="14">
        <f t="shared" si="87"/>
        <v>1</v>
      </c>
      <c r="J403" s="706"/>
      <c r="K403" s="14">
        <f t="shared" si="88"/>
        <v>1</v>
      </c>
      <c r="L403" s="706"/>
      <c r="M403" s="14">
        <f t="shared" si="89"/>
        <v>1</v>
      </c>
      <c r="N403" s="706"/>
      <c r="O403" s="14">
        <f t="shared" si="90"/>
        <v>1</v>
      </c>
      <c r="P403" s="706"/>
      <c r="Q403" s="14">
        <f t="shared" si="91"/>
        <v>1</v>
      </c>
      <c r="R403" s="702">
        <f t="shared" si="96"/>
        <v>0</v>
      </c>
      <c r="S403" s="333">
        <f t="shared" si="97"/>
        <v>0</v>
      </c>
      <c r="T403" s="1177">
        <f t="shared" si="98"/>
        <v>0</v>
      </c>
      <c r="U403" s="1309">
        <f t="shared" si="92"/>
        <v>0</v>
      </c>
      <c r="V403" s="1309">
        <f t="shared" si="93"/>
        <v>0</v>
      </c>
      <c r="W403" s="1306"/>
      <c r="X403" s="1309">
        <f t="shared" si="94"/>
        <v>0</v>
      </c>
      <c r="Y403" s="1309">
        <f t="shared" si="95"/>
        <v>0</v>
      </c>
      <c r="Z403" s="1306"/>
    </row>
    <row r="404" spans="1:26">
      <c r="A404" s="74"/>
      <c r="B404" s="24"/>
      <c r="C404" s="14">
        <f t="shared" si="84"/>
        <v>1</v>
      </c>
      <c r="D404" s="706"/>
      <c r="E404" s="14">
        <f t="shared" si="85"/>
        <v>1</v>
      </c>
      <c r="F404" s="706"/>
      <c r="G404" s="14">
        <f t="shared" si="86"/>
        <v>1</v>
      </c>
      <c r="H404" s="706"/>
      <c r="I404" s="14">
        <f t="shared" si="87"/>
        <v>1</v>
      </c>
      <c r="J404" s="706"/>
      <c r="K404" s="14">
        <f t="shared" si="88"/>
        <v>1</v>
      </c>
      <c r="L404" s="706"/>
      <c r="M404" s="14">
        <f t="shared" si="89"/>
        <v>1</v>
      </c>
      <c r="N404" s="706"/>
      <c r="O404" s="14">
        <f t="shared" si="90"/>
        <v>1</v>
      </c>
      <c r="P404" s="706"/>
      <c r="Q404" s="14">
        <f t="shared" si="91"/>
        <v>1</v>
      </c>
      <c r="R404" s="702">
        <f t="shared" si="96"/>
        <v>0</v>
      </c>
      <c r="S404" s="333">
        <f t="shared" si="97"/>
        <v>0</v>
      </c>
      <c r="T404" s="1177">
        <f t="shared" si="98"/>
        <v>0</v>
      </c>
      <c r="U404" s="1309">
        <f t="shared" si="92"/>
        <v>0</v>
      </c>
      <c r="V404" s="1309">
        <f t="shared" si="93"/>
        <v>0</v>
      </c>
      <c r="W404" s="1306"/>
      <c r="X404" s="1309">
        <f t="shared" si="94"/>
        <v>0</v>
      </c>
      <c r="Y404" s="1309">
        <f t="shared" si="95"/>
        <v>0</v>
      </c>
      <c r="Z404" s="1306"/>
    </row>
    <row r="405" spans="1:26">
      <c r="A405" s="74"/>
      <c r="B405" s="24"/>
      <c r="C405" s="14">
        <f t="shared" si="84"/>
        <v>1</v>
      </c>
      <c r="D405" s="706"/>
      <c r="E405" s="14">
        <f t="shared" si="85"/>
        <v>1</v>
      </c>
      <c r="F405" s="706"/>
      <c r="G405" s="14">
        <f t="shared" si="86"/>
        <v>1</v>
      </c>
      <c r="H405" s="706"/>
      <c r="I405" s="14">
        <f t="shared" si="87"/>
        <v>1</v>
      </c>
      <c r="J405" s="706"/>
      <c r="K405" s="14">
        <f t="shared" si="88"/>
        <v>1</v>
      </c>
      <c r="L405" s="706"/>
      <c r="M405" s="14">
        <f t="shared" si="89"/>
        <v>1</v>
      </c>
      <c r="N405" s="706"/>
      <c r="O405" s="14">
        <f t="shared" si="90"/>
        <v>1</v>
      </c>
      <c r="P405" s="706"/>
      <c r="Q405" s="14">
        <f t="shared" si="91"/>
        <v>1</v>
      </c>
      <c r="R405" s="702">
        <f t="shared" si="96"/>
        <v>0</v>
      </c>
      <c r="S405" s="333">
        <f t="shared" si="97"/>
        <v>0</v>
      </c>
      <c r="T405" s="1177">
        <f t="shared" si="98"/>
        <v>0</v>
      </c>
      <c r="U405" s="1309">
        <f t="shared" si="92"/>
        <v>0</v>
      </c>
      <c r="V405" s="1309">
        <f t="shared" si="93"/>
        <v>0</v>
      </c>
      <c r="W405" s="1306"/>
      <c r="X405" s="1309">
        <f t="shared" si="94"/>
        <v>0</v>
      </c>
      <c r="Y405" s="1309">
        <f t="shared" si="95"/>
        <v>0</v>
      </c>
      <c r="Z405" s="1306"/>
    </row>
    <row r="406" spans="1:26">
      <c r="A406" s="74"/>
      <c r="B406" s="24"/>
      <c r="C406" s="14">
        <f t="shared" si="84"/>
        <v>1</v>
      </c>
      <c r="D406" s="706"/>
      <c r="E406" s="14">
        <f t="shared" si="85"/>
        <v>1</v>
      </c>
      <c r="F406" s="706"/>
      <c r="G406" s="14">
        <f t="shared" si="86"/>
        <v>1</v>
      </c>
      <c r="H406" s="706"/>
      <c r="I406" s="14">
        <f t="shared" si="87"/>
        <v>1</v>
      </c>
      <c r="J406" s="706"/>
      <c r="K406" s="14">
        <f t="shared" si="88"/>
        <v>1</v>
      </c>
      <c r="L406" s="706"/>
      <c r="M406" s="14">
        <f t="shared" si="89"/>
        <v>1</v>
      </c>
      <c r="N406" s="706"/>
      <c r="O406" s="14">
        <f t="shared" si="90"/>
        <v>1</v>
      </c>
      <c r="P406" s="706"/>
      <c r="Q406" s="14">
        <f t="shared" si="91"/>
        <v>1</v>
      </c>
      <c r="R406" s="702">
        <f t="shared" si="96"/>
        <v>0</v>
      </c>
      <c r="S406" s="333">
        <f t="shared" si="97"/>
        <v>0</v>
      </c>
      <c r="T406" s="1177">
        <f t="shared" si="98"/>
        <v>0</v>
      </c>
      <c r="U406" s="1309">
        <f t="shared" si="92"/>
        <v>0</v>
      </c>
      <c r="V406" s="1309">
        <f t="shared" si="93"/>
        <v>0</v>
      </c>
      <c r="W406" s="1306"/>
      <c r="X406" s="1309">
        <f t="shared" si="94"/>
        <v>0</v>
      </c>
      <c r="Y406" s="1309">
        <f t="shared" si="95"/>
        <v>0</v>
      </c>
      <c r="Z406" s="1306"/>
    </row>
    <row r="407" spans="1:26">
      <c r="A407" s="74"/>
      <c r="B407" s="24"/>
      <c r="C407" s="14">
        <f t="shared" si="84"/>
        <v>1</v>
      </c>
      <c r="D407" s="706"/>
      <c r="E407" s="14">
        <f t="shared" si="85"/>
        <v>1</v>
      </c>
      <c r="F407" s="706"/>
      <c r="G407" s="14">
        <f t="shared" si="86"/>
        <v>1</v>
      </c>
      <c r="H407" s="706"/>
      <c r="I407" s="14">
        <f t="shared" si="87"/>
        <v>1</v>
      </c>
      <c r="J407" s="706"/>
      <c r="K407" s="14">
        <f t="shared" si="88"/>
        <v>1</v>
      </c>
      <c r="L407" s="706"/>
      <c r="M407" s="14">
        <f t="shared" si="89"/>
        <v>1</v>
      </c>
      <c r="N407" s="706"/>
      <c r="O407" s="14">
        <f t="shared" si="90"/>
        <v>1</v>
      </c>
      <c r="P407" s="706"/>
      <c r="Q407" s="14">
        <f t="shared" si="91"/>
        <v>1</v>
      </c>
      <c r="R407" s="702">
        <f t="shared" si="96"/>
        <v>0</v>
      </c>
      <c r="S407" s="333">
        <f t="shared" si="97"/>
        <v>0</v>
      </c>
      <c r="T407" s="1177">
        <f t="shared" si="98"/>
        <v>0</v>
      </c>
      <c r="U407" s="1309">
        <f t="shared" si="92"/>
        <v>0</v>
      </c>
      <c r="V407" s="1309">
        <f t="shared" si="93"/>
        <v>0</v>
      </c>
      <c r="W407" s="1306"/>
      <c r="X407" s="1309">
        <f t="shared" si="94"/>
        <v>0</v>
      </c>
      <c r="Y407" s="1309">
        <f t="shared" si="95"/>
        <v>0</v>
      </c>
      <c r="Z407" s="1306"/>
    </row>
    <row r="408" spans="1:26">
      <c r="A408" s="74"/>
      <c r="B408" s="24"/>
      <c r="C408" s="14">
        <f t="shared" si="84"/>
        <v>1</v>
      </c>
      <c r="D408" s="706"/>
      <c r="E408" s="14">
        <f t="shared" si="85"/>
        <v>1</v>
      </c>
      <c r="F408" s="706"/>
      <c r="G408" s="14">
        <f t="shared" si="86"/>
        <v>1</v>
      </c>
      <c r="H408" s="706"/>
      <c r="I408" s="14">
        <f t="shared" si="87"/>
        <v>1</v>
      </c>
      <c r="J408" s="706"/>
      <c r="K408" s="14">
        <f t="shared" si="88"/>
        <v>1</v>
      </c>
      <c r="L408" s="706"/>
      <c r="M408" s="14">
        <f t="shared" si="89"/>
        <v>1</v>
      </c>
      <c r="N408" s="706"/>
      <c r="O408" s="14">
        <f t="shared" si="90"/>
        <v>1</v>
      </c>
      <c r="P408" s="706"/>
      <c r="Q408" s="14">
        <f t="shared" si="91"/>
        <v>1</v>
      </c>
      <c r="R408" s="702">
        <f t="shared" si="96"/>
        <v>0</v>
      </c>
      <c r="S408" s="333">
        <f t="shared" si="97"/>
        <v>0</v>
      </c>
      <c r="T408" s="1177">
        <f t="shared" si="98"/>
        <v>0</v>
      </c>
      <c r="U408" s="1309">
        <f t="shared" si="92"/>
        <v>0</v>
      </c>
      <c r="V408" s="1309">
        <f t="shared" si="93"/>
        <v>0</v>
      </c>
      <c r="W408" s="1306"/>
      <c r="X408" s="1309">
        <f t="shared" si="94"/>
        <v>0</v>
      </c>
      <c r="Y408" s="1309">
        <f t="shared" si="95"/>
        <v>0</v>
      </c>
      <c r="Z408" s="1306"/>
    </row>
    <row r="409" spans="1:26">
      <c r="A409" s="74"/>
      <c r="B409" s="24"/>
      <c r="C409" s="14">
        <f t="shared" si="84"/>
        <v>1</v>
      </c>
      <c r="D409" s="706"/>
      <c r="E409" s="14">
        <f t="shared" si="85"/>
        <v>1</v>
      </c>
      <c r="F409" s="706"/>
      <c r="G409" s="14">
        <f t="shared" si="86"/>
        <v>1</v>
      </c>
      <c r="H409" s="706"/>
      <c r="I409" s="14">
        <f t="shared" si="87"/>
        <v>1</v>
      </c>
      <c r="J409" s="706"/>
      <c r="K409" s="14">
        <f t="shared" si="88"/>
        <v>1</v>
      </c>
      <c r="L409" s="706"/>
      <c r="M409" s="14">
        <f t="shared" si="89"/>
        <v>1</v>
      </c>
      <c r="N409" s="706"/>
      <c r="O409" s="14">
        <f t="shared" si="90"/>
        <v>1</v>
      </c>
      <c r="P409" s="706"/>
      <c r="Q409" s="14">
        <f t="shared" si="91"/>
        <v>1</v>
      </c>
      <c r="R409" s="702">
        <f t="shared" si="96"/>
        <v>0</v>
      </c>
      <c r="S409" s="333">
        <f t="shared" si="97"/>
        <v>0</v>
      </c>
      <c r="T409" s="1177">
        <f t="shared" si="98"/>
        <v>0</v>
      </c>
      <c r="U409" s="1309">
        <f t="shared" si="92"/>
        <v>0</v>
      </c>
      <c r="V409" s="1309">
        <f t="shared" si="93"/>
        <v>0</v>
      </c>
      <c r="W409" s="1306"/>
      <c r="X409" s="1309">
        <f t="shared" si="94"/>
        <v>0</v>
      </c>
      <c r="Y409" s="1309">
        <f t="shared" si="95"/>
        <v>0</v>
      </c>
      <c r="Z409" s="1306"/>
    </row>
    <row r="410" spans="1:26">
      <c r="A410" s="74"/>
      <c r="B410" s="24"/>
      <c r="C410" s="14">
        <f t="shared" si="84"/>
        <v>1</v>
      </c>
      <c r="D410" s="706"/>
      <c r="E410" s="14">
        <f t="shared" si="85"/>
        <v>1</v>
      </c>
      <c r="F410" s="706"/>
      <c r="G410" s="14">
        <f t="shared" si="86"/>
        <v>1</v>
      </c>
      <c r="H410" s="706"/>
      <c r="I410" s="14">
        <f t="shared" si="87"/>
        <v>1</v>
      </c>
      <c r="J410" s="706"/>
      <c r="K410" s="14">
        <f t="shared" si="88"/>
        <v>1</v>
      </c>
      <c r="L410" s="706"/>
      <c r="M410" s="14">
        <f t="shared" si="89"/>
        <v>1</v>
      </c>
      <c r="N410" s="706"/>
      <c r="O410" s="14">
        <f t="shared" si="90"/>
        <v>1</v>
      </c>
      <c r="P410" s="706"/>
      <c r="Q410" s="14">
        <f t="shared" si="91"/>
        <v>1</v>
      </c>
      <c r="R410" s="702">
        <f t="shared" si="96"/>
        <v>0</v>
      </c>
      <c r="S410" s="333">
        <f t="shared" si="97"/>
        <v>0</v>
      </c>
      <c r="T410" s="1177">
        <f t="shared" si="98"/>
        <v>0</v>
      </c>
      <c r="U410" s="1309">
        <f t="shared" si="92"/>
        <v>0</v>
      </c>
      <c r="V410" s="1309">
        <f t="shared" si="93"/>
        <v>0</v>
      </c>
      <c r="W410" s="1306"/>
      <c r="X410" s="1309">
        <f t="shared" si="94"/>
        <v>0</v>
      </c>
      <c r="Y410" s="1309">
        <f t="shared" si="95"/>
        <v>0</v>
      </c>
      <c r="Z410" s="1306"/>
    </row>
    <row r="411" spans="1:26">
      <c r="A411" s="74"/>
      <c r="B411" s="24"/>
      <c r="C411" s="14">
        <f t="shared" si="84"/>
        <v>1</v>
      </c>
      <c r="D411" s="706"/>
      <c r="E411" s="14">
        <f t="shared" si="85"/>
        <v>1</v>
      </c>
      <c r="F411" s="706"/>
      <c r="G411" s="14">
        <f t="shared" si="86"/>
        <v>1</v>
      </c>
      <c r="H411" s="706"/>
      <c r="I411" s="14">
        <f t="shared" si="87"/>
        <v>1</v>
      </c>
      <c r="J411" s="706"/>
      <c r="K411" s="14">
        <f t="shared" si="88"/>
        <v>1</v>
      </c>
      <c r="L411" s="706"/>
      <c r="M411" s="14">
        <f t="shared" si="89"/>
        <v>1</v>
      </c>
      <c r="N411" s="706"/>
      <c r="O411" s="14">
        <f t="shared" si="90"/>
        <v>1</v>
      </c>
      <c r="P411" s="706"/>
      <c r="Q411" s="14">
        <f t="shared" si="91"/>
        <v>1</v>
      </c>
      <c r="R411" s="702">
        <f t="shared" si="96"/>
        <v>0</v>
      </c>
      <c r="S411" s="333">
        <f t="shared" si="97"/>
        <v>0</v>
      </c>
      <c r="T411" s="1177">
        <f t="shared" si="98"/>
        <v>0</v>
      </c>
      <c r="U411" s="1309">
        <f t="shared" si="92"/>
        <v>0</v>
      </c>
      <c r="V411" s="1309">
        <f t="shared" si="93"/>
        <v>0</v>
      </c>
      <c r="W411" s="1306"/>
      <c r="X411" s="1309">
        <f t="shared" si="94"/>
        <v>0</v>
      </c>
      <c r="Y411" s="1309">
        <f t="shared" si="95"/>
        <v>0</v>
      </c>
      <c r="Z411" s="1306"/>
    </row>
    <row r="412" spans="1:26">
      <c r="A412" s="74"/>
      <c r="B412" s="24"/>
      <c r="C412" s="14">
        <f t="shared" ref="C412:C475" si="99">IF(B412="",1,(LOOKUP(B412,$6:$6,$7:$7)-LOOKUP($B$27,$6:$6,$7:$7)+100)/100)</f>
        <v>1</v>
      </c>
      <c r="D412" s="706"/>
      <c r="E412" s="14">
        <f t="shared" ref="E412:E475" si="100">(SUMIF($8:$8,D412,$9:$9)-SUMIF($8:$8,$D$27,$9:$9)+100)/100</f>
        <v>1</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1</v>
      </c>
      <c r="R412" s="702">
        <f t="shared" si="96"/>
        <v>0</v>
      </c>
      <c r="S412" s="333">
        <f t="shared" si="97"/>
        <v>0</v>
      </c>
      <c r="T412" s="1177">
        <f t="shared" si="98"/>
        <v>0</v>
      </c>
      <c r="U412" s="1309">
        <f t="shared" ref="U412:U475" si="107">ROUND(W412*B412,0)</f>
        <v>0</v>
      </c>
      <c r="V412" s="1309">
        <f t="shared" ref="V412:V475" si="108">ROUND(W412*B412/10000,0)</f>
        <v>0</v>
      </c>
      <c r="W412" s="1306"/>
      <c r="X412" s="1309">
        <f t="shared" ref="X412:X475" si="109">ROUND(Z412*B412,0)</f>
        <v>0</v>
      </c>
      <c r="Y412" s="1309">
        <f t="shared" ref="Y412:Y475" si="110">ROUND(Z412*B412/10000,0)</f>
        <v>0</v>
      </c>
      <c r="Z412" s="1306"/>
    </row>
    <row r="413" spans="1:26">
      <c r="A413" s="74"/>
      <c r="B413" s="24"/>
      <c r="C413" s="14">
        <f t="shared" si="99"/>
        <v>1</v>
      </c>
      <c r="D413" s="706"/>
      <c r="E413" s="14">
        <f t="shared" si="100"/>
        <v>1</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1</v>
      </c>
      <c r="R413" s="702">
        <f t="shared" ref="R413:R476" si="111">IF(B413="",0,ROUND($R$27*C413*E413*G413*I413*K413*M413*O413*Q413,0))</f>
        <v>0</v>
      </c>
      <c r="S413" s="333">
        <f t="shared" ref="S413:S476" si="112">ROUND(R413*B413,0)</f>
        <v>0</v>
      </c>
      <c r="T413" s="1177">
        <f t="shared" ref="T413:T476" si="113">ROUND(R413*B413/10000,0)</f>
        <v>0</v>
      </c>
      <c r="U413" s="1309">
        <f t="shared" si="107"/>
        <v>0</v>
      </c>
      <c r="V413" s="1309">
        <f t="shared" si="108"/>
        <v>0</v>
      </c>
      <c r="W413" s="1306"/>
      <c r="X413" s="1309">
        <f t="shared" si="109"/>
        <v>0</v>
      </c>
      <c r="Y413" s="1309">
        <f t="shared" si="110"/>
        <v>0</v>
      </c>
      <c r="Z413" s="1306"/>
    </row>
    <row r="414" spans="1:26">
      <c r="A414" s="74"/>
      <c r="B414" s="24"/>
      <c r="C414" s="14">
        <f t="shared" si="99"/>
        <v>1</v>
      </c>
      <c r="D414" s="706"/>
      <c r="E414" s="14">
        <f t="shared" si="100"/>
        <v>1</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1</v>
      </c>
      <c r="R414" s="702">
        <f t="shared" si="111"/>
        <v>0</v>
      </c>
      <c r="S414" s="333">
        <f t="shared" si="112"/>
        <v>0</v>
      </c>
      <c r="T414" s="1177">
        <f t="shared" si="113"/>
        <v>0</v>
      </c>
      <c r="U414" s="1309">
        <f t="shared" si="107"/>
        <v>0</v>
      </c>
      <c r="V414" s="1309">
        <f t="shared" si="108"/>
        <v>0</v>
      </c>
      <c r="W414" s="1306"/>
      <c r="X414" s="1309">
        <f t="shared" si="109"/>
        <v>0</v>
      </c>
      <c r="Y414" s="1309">
        <f t="shared" si="110"/>
        <v>0</v>
      </c>
      <c r="Z414" s="1306"/>
    </row>
    <row r="415" spans="1:26">
      <c r="A415" s="74"/>
      <c r="B415" s="24"/>
      <c r="C415" s="14">
        <f t="shared" si="99"/>
        <v>1</v>
      </c>
      <c r="D415" s="706"/>
      <c r="E415" s="14">
        <f t="shared" si="100"/>
        <v>1</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1</v>
      </c>
      <c r="R415" s="702">
        <f t="shared" si="111"/>
        <v>0</v>
      </c>
      <c r="S415" s="333">
        <f t="shared" si="112"/>
        <v>0</v>
      </c>
      <c r="T415" s="1177">
        <f t="shared" si="113"/>
        <v>0</v>
      </c>
      <c r="U415" s="1309">
        <f t="shared" si="107"/>
        <v>0</v>
      </c>
      <c r="V415" s="1309">
        <f t="shared" si="108"/>
        <v>0</v>
      </c>
      <c r="W415" s="1306"/>
      <c r="X415" s="1309">
        <f t="shared" si="109"/>
        <v>0</v>
      </c>
      <c r="Y415" s="1309">
        <f t="shared" si="110"/>
        <v>0</v>
      </c>
      <c r="Z415" s="1306"/>
    </row>
    <row r="416" spans="1:26">
      <c r="A416" s="74"/>
      <c r="B416" s="24"/>
      <c r="C416" s="14">
        <f t="shared" si="99"/>
        <v>1</v>
      </c>
      <c r="D416" s="706"/>
      <c r="E416" s="14">
        <f t="shared" si="100"/>
        <v>1</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1</v>
      </c>
      <c r="R416" s="702">
        <f t="shared" si="111"/>
        <v>0</v>
      </c>
      <c r="S416" s="333">
        <f t="shared" si="112"/>
        <v>0</v>
      </c>
      <c r="T416" s="1177">
        <f t="shared" si="113"/>
        <v>0</v>
      </c>
      <c r="U416" s="1309">
        <f t="shared" si="107"/>
        <v>0</v>
      </c>
      <c r="V416" s="1309">
        <f t="shared" si="108"/>
        <v>0</v>
      </c>
      <c r="W416" s="1306"/>
      <c r="X416" s="1309">
        <f t="shared" si="109"/>
        <v>0</v>
      </c>
      <c r="Y416" s="1309">
        <f t="shared" si="110"/>
        <v>0</v>
      </c>
      <c r="Z416" s="1306"/>
    </row>
    <row r="417" spans="1:26">
      <c r="A417" s="74"/>
      <c r="B417" s="24"/>
      <c r="C417" s="14">
        <f t="shared" si="99"/>
        <v>1</v>
      </c>
      <c r="D417" s="706"/>
      <c r="E417" s="14">
        <f t="shared" si="100"/>
        <v>1</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1</v>
      </c>
      <c r="R417" s="702">
        <f t="shared" si="111"/>
        <v>0</v>
      </c>
      <c r="S417" s="333">
        <f t="shared" si="112"/>
        <v>0</v>
      </c>
      <c r="T417" s="1177">
        <f t="shared" si="113"/>
        <v>0</v>
      </c>
      <c r="U417" s="1309">
        <f t="shared" si="107"/>
        <v>0</v>
      </c>
      <c r="V417" s="1309">
        <f t="shared" si="108"/>
        <v>0</v>
      </c>
      <c r="W417" s="1306"/>
      <c r="X417" s="1309">
        <f t="shared" si="109"/>
        <v>0</v>
      </c>
      <c r="Y417" s="1309">
        <f t="shared" si="110"/>
        <v>0</v>
      </c>
      <c r="Z417" s="1306"/>
    </row>
    <row r="418" spans="1:26">
      <c r="A418" s="74"/>
      <c r="B418" s="24"/>
      <c r="C418" s="14">
        <f t="shared" si="99"/>
        <v>1</v>
      </c>
      <c r="D418" s="706"/>
      <c r="E418" s="14">
        <f t="shared" si="100"/>
        <v>1</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1</v>
      </c>
      <c r="R418" s="702">
        <f t="shared" si="111"/>
        <v>0</v>
      </c>
      <c r="S418" s="333">
        <f t="shared" si="112"/>
        <v>0</v>
      </c>
      <c r="T418" s="1177">
        <f t="shared" si="113"/>
        <v>0</v>
      </c>
      <c r="U418" s="1309">
        <f t="shared" si="107"/>
        <v>0</v>
      </c>
      <c r="V418" s="1309">
        <f t="shared" si="108"/>
        <v>0</v>
      </c>
      <c r="W418" s="1306"/>
      <c r="X418" s="1309">
        <f t="shared" si="109"/>
        <v>0</v>
      </c>
      <c r="Y418" s="1309">
        <f t="shared" si="110"/>
        <v>0</v>
      </c>
      <c r="Z418" s="1306"/>
    </row>
    <row r="419" spans="1:26">
      <c r="A419" s="74"/>
      <c r="B419" s="24"/>
      <c r="C419" s="14">
        <f t="shared" si="99"/>
        <v>1</v>
      </c>
      <c r="D419" s="706"/>
      <c r="E419" s="14">
        <f t="shared" si="100"/>
        <v>1</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1</v>
      </c>
      <c r="R419" s="702">
        <f t="shared" si="111"/>
        <v>0</v>
      </c>
      <c r="S419" s="333">
        <f t="shared" si="112"/>
        <v>0</v>
      </c>
      <c r="T419" s="1177">
        <f t="shared" si="113"/>
        <v>0</v>
      </c>
      <c r="U419" s="1309">
        <f t="shared" si="107"/>
        <v>0</v>
      </c>
      <c r="V419" s="1309">
        <f t="shared" si="108"/>
        <v>0</v>
      </c>
      <c r="W419" s="1306"/>
      <c r="X419" s="1309">
        <f t="shared" si="109"/>
        <v>0</v>
      </c>
      <c r="Y419" s="1309">
        <f t="shared" si="110"/>
        <v>0</v>
      </c>
      <c r="Z419" s="1306"/>
    </row>
    <row r="420" spans="1:26">
      <c r="A420" s="74"/>
      <c r="B420" s="24"/>
      <c r="C420" s="14">
        <f t="shared" si="99"/>
        <v>1</v>
      </c>
      <c r="D420" s="706"/>
      <c r="E420" s="14">
        <f t="shared" si="100"/>
        <v>1</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1</v>
      </c>
      <c r="R420" s="702">
        <f t="shared" si="111"/>
        <v>0</v>
      </c>
      <c r="S420" s="333">
        <f t="shared" si="112"/>
        <v>0</v>
      </c>
      <c r="T420" s="1177">
        <f t="shared" si="113"/>
        <v>0</v>
      </c>
      <c r="U420" s="1309">
        <f t="shared" si="107"/>
        <v>0</v>
      </c>
      <c r="V420" s="1309">
        <f t="shared" si="108"/>
        <v>0</v>
      </c>
      <c r="W420" s="1306"/>
      <c r="X420" s="1309">
        <f t="shared" si="109"/>
        <v>0</v>
      </c>
      <c r="Y420" s="1309">
        <f t="shared" si="110"/>
        <v>0</v>
      </c>
      <c r="Z420" s="1306"/>
    </row>
    <row r="421" spans="1:26">
      <c r="A421" s="74"/>
      <c r="B421" s="24"/>
      <c r="C421" s="14">
        <f t="shared" si="99"/>
        <v>1</v>
      </c>
      <c r="D421" s="706"/>
      <c r="E421" s="14">
        <f t="shared" si="100"/>
        <v>1</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1</v>
      </c>
      <c r="R421" s="702">
        <f t="shared" si="111"/>
        <v>0</v>
      </c>
      <c r="S421" s="333">
        <f t="shared" si="112"/>
        <v>0</v>
      </c>
      <c r="T421" s="1177">
        <f t="shared" si="113"/>
        <v>0</v>
      </c>
      <c r="U421" s="1309">
        <f t="shared" si="107"/>
        <v>0</v>
      </c>
      <c r="V421" s="1309">
        <f t="shared" si="108"/>
        <v>0</v>
      </c>
      <c r="W421" s="1306"/>
      <c r="X421" s="1309">
        <f t="shared" si="109"/>
        <v>0</v>
      </c>
      <c r="Y421" s="1309">
        <f t="shared" si="110"/>
        <v>0</v>
      </c>
      <c r="Z421" s="1306"/>
    </row>
    <row r="422" spans="1:26">
      <c r="A422" s="74"/>
      <c r="B422" s="24"/>
      <c r="C422" s="14">
        <f t="shared" si="99"/>
        <v>1</v>
      </c>
      <c r="D422" s="706"/>
      <c r="E422" s="14">
        <f t="shared" si="100"/>
        <v>1</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1</v>
      </c>
      <c r="R422" s="702">
        <f t="shared" si="111"/>
        <v>0</v>
      </c>
      <c r="S422" s="333">
        <f t="shared" si="112"/>
        <v>0</v>
      </c>
      <c r="T422" s="1177">
        <f t="shared" si="113"/>
        <v>0</v>
      </c>
      <c r="U422" s="1309">
        <f t="shared" si="107"/>
        <v>0</v>
      </c>
      <c r="V422" s="1309">
        <f t="shared" si="108"/>
        <v>0</v>
      </c>
      <c r="W422" s="1306"/>
      <c r="X422" s="1309">
        <f t="shared" si="109"/>
        <v>0</v>
      </c>
      <c r="Y422" s="1309">
        <f t="shared" si="110"/>
        <v>0</v>
      </c>
      <c r="Z422" s="1306"/>
    </row>
    <row r="423" spans="1:26">
      <c r="A423" s="74"/>
      <c r="B423" s="24"/>
      <c r="C423" s="14">
        <f t="shared" si="99"/>
        <v>1</v>
      </c>
      <c r="D423" s="706"/>
      <c r="E423" s="14">
        <f t="shared" si="100"/>
        <v>1</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1</v>
      </c>
      <c r="R423" s="702">
        <f t="shared" si="111"/>
        <v>0</v>
      </c>
      <c r="S423" s="333">
        <f t="shared" si="112"/>
        <v>0</v>
      </c>
      <c r="T423" s="1177">
        <f t="shared" si="113"/>
        <v>0</v>
      </c>
      <c r="U423" s="1309">
        <f t="shared" si="107"/>
        <v>0</v>
      </c>
      <c r="V423" s="1309">
        <f t="shared" si="108"/>
        <v>0</v>
      </c>
      <c r="W423" s="1306"/>
      <c r="X423" s="1309">
        <f t="shared" si="109"/>
        <v>0</v>
      </c>
      <c r="Y423" s="1309">
        <f t="shared" si="110"/>
        <v>0</v>
      </c>
      <c r="Z423" s="1306"/>
    </row>
    <row r="424" spans="1:26">
      <c r="A424" s="74"/>
      <c r="B424" s="24"/>
      <c r="C424" s="14">
        <f t="shared" si="99"/>
        <v>1</v>
      </c>
      <c r="D424" s="706"/>
      <c r="E424" s="14">
        <f t="shared" si="100"/>
        <v>1</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1</v>
      </c>
      <c r="R424" s="702">
        <f t="shared" si="111"/>
        <v>0</v>
      </c>
      <c r="S424" s="333">
        <f t="shared" si="112"/>
        <v>0</v>
      </c>
      <c r="T424" s="1177">
        <f t="shared" si="113"/>
        <v>0</v>
      </c>
      <c r="U424" s="1309">
        <f t="shared" si="107"/>
        <v>0</v>
      </c>
      <c r="V424" s="1309">
        <f t="shared" si="108"/>
        <v>0</v>
      </c>
      <c r="W424" s="1306"/>
      <c r="X424" s="1309">
        <f t="shared" si="109"/>
        <v>0</v>
      </c>
      <c r="Y424" s="1309">
        <f t="shared" si="110"/>
        <v>0</v>
      </c>
      <c r="Z424" s="1306"/>
    </row>
    <row r="425" spans="1:26">
      <c r="A425" s="74"/>
      <c r="B425" s="24"/>
      <c r="C425" s="14">
        <f t="shared" si="99"/>
        <v>1</v>
      </c>
      <c r="D425" s="706"/>
      <c r="E425" s="14">
        <f t="shared" si="100"/>
        <v>1</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1</v>
      </c>
      <c r="R425" s="702">
        <f t="shared" si="111"/>
        <v>0</v>
      </c>
      <c r="S425" s="333">
        <f t="shared" si="112"/>
        <v>0</v>
      </c>
      <c r="T425" s="1177">
        <f t="shared" si="113"/>
        <v>0</v>
      </c>
      <c r="U425" s="1309">
        <f t="shared" si="107"/>
        <v>0</v>
      </c>
      <c r="V425" s="1309">
        <f t="shared" si="108"/>
        <v>0</v>
      </c>
      <c r="W425" s="1306"/>
      <c r="X425" s="1309">
        <f t="shared" si="109"/>
        <v>0</v>
      </c>
      <c r="Y425" s="1309">
        <f t="shared" si="110"/>
        <v>0</v>
      </c>
      <c r="Z425" s="1306"/>
    </row>
    <row r="426" spans="1:26">
      <c r="A426" s="74"/>
      <c r="B426" s="24"/>
      <c r="C426" s="14">
        <f t="shared" si="99"/>
        <v>1</v>
      </c>
      <c r="D426" s="706"/>
      <c r="E426" s="14">
        <f t="shared" si="100"/>
        <v>1</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1</v>
      </c>
      <c r="R426" s="702">
        <f t="shared" si="111"/>
        <v>0</v>
      </c>
      <c r="S426" s="333">
        <f t="shared" si="112"/>
        <v>0</v>
      </c>
      <c r="T426" s="1177">
        <f t="shared" si="113"/>
        <v>0</v>
      </c>
      <c r="U426" s="1309">
        <f t="shared" si="107"/>
        <v>0</v>
      </c>
      <c r="V426" s="1309">
        <f t="shared" si="108"/>
        <v>0</v>
      </c>
      <c r="W426" s="1306"/>
      <c r="X426" s="1309">
        <f t="shared" si="109"/>
        <v>0</v>
      </c>
      <c r="Y426" s="1309">
        <f t="shared" si="110"/>
        <v>0</v>
      </c>
      <c r="Z426" s="1306"/>
    </row>
    <row r="427" spans="1:26">
      <c r="A427" s="74"/>
      <c r="B427" s="24"/>
      <c r="C427" s="14">
        <f t="shared" si="99"/>
        <v>1</v>
      </c>
      <c r="D427" s="706"/>
      <c r="E427" s="14">
        <f t="shared" si="100"/>
        <v>1</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1</v>
      </c>
      <c r="R427" s="702">
        <f t="shared" si="111"/>
        <v>0</v>
      </c>
      <c r="S427" s="333">
        <f t="shared" si="112"/>
        <v>0</v>
      </c>
      <c r="T427" s="1177">
        <f t="shared" si="113"/>
        <v>0</v>
      </c>
      <c r="U427" s="1309">
        <f t="shared" si="107"/>
        <v>0</v>
      </c>
      <c r="V427" s="1309">
        <f t="shared" si="108"/>
        <v>0</v>
      </c>
      <c r="W427" s="1306"/>
      <c r="X427" s="1309">
        <f t="shared" si="109"/>
        <v>0</v>
      </c>
      <c r="Y427" s="1309">
        <f t="shared" si="110"/>
        <v>0</v>
      </c>
      <c r="Z427" s="1306"/>
    </row>
    <row r="428" spans="1:26">
      <c r="A428" s="74"/>
      <c r="B428" s="24"/>
      <c r="C428" s="14">
        <f t="shared" si="99"/>
        <v>1</v>
      </c>
      <c r="D428" s="706"/>
      <c r="E428" s="14">
        <f t="shared" si="100"/>
        <v>1</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1</v>
      </c>
      <c r="R428" s="702">
        <f t="shared" si="111"/>
        <v>0</v>
      </c>
      <c r="S428" s="333">
        <f t="shared" si="112"/>
        <v>0</v>
      </c>
      <c r="T428" s="1177">
        <f t="shared" si="113"/>
        <v>0</v>
      </c>
      <c r="U428" s="1309">
        <f t="shared" si="107"/>
        <v>0</v>
      </c>
      <c r="V428" s="1309">
        <f t="shared" si="108"/>
        <v>0</v>
      </c>
      <c r="W428" s="1306"/>
      <c r="X428" s="1309">
        <f t="shared" si="109"/>
        <v>0</v>
      </c>
      <c r="Y428" s="1309">
        <f t="shared" si="110"/>
        <v>0</v>
      </c>
      <c r="Z428" s="1306"/>
    </row>
    <row r="429" spans="1:26">
      <c r="A429" s="74"/>
      <c r="B429" s="24"/>
      <c r="C429" s="14">
        <f t="shared" si="99"/>
        <v>1</v>
      </c>
      <c r="D429" s="706"/>
      <c r="E429" s="14">
        <f t="shared" si="100"/>
        <v>1</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1</v>
      </c>
      <c r="R429" s="702">
        <f t="shared" si="111"/>
        <v>0</v>
      </c>
      <c r="S429" s="333">
        <f t="shared" si="112"/>
        <v>0</v>
      </c>
      <c r="T429" s="1177">
        <f t="shared" si="113"/>
        <v>0</v>
      </c>
      <c r="U429" s="1309">
        <f t="shared" si="107"/>
        <v>0</v>
      </c>
      <c r="V429" s="1309">
        <f t="shared" si="108"/>
        <v>0</v>
      </c>
      <c r="W429" s="1306"/>
      <c r="X429" s="1309">
        <f t="shared" si="109"/>
        <v>0</v>
      </c>
      <c r="Y429" s="1309">
        <f t="shared" si="110"/>
        <v>0</v>
      </c>
      <c r="Z429" s="1306"/>
    </row>
    <row r="430" spans="1:26">
      <c r="A430" s="74"/>
      <c r="B430" s="24"/>
      <c r="C430" s="14">
        <f t="shared" si="99"/>
        <v>1</v>
      </c>
      <c r="D430" s="706"/>
      <c r="E430" s="14">
        <f t="shared" si="100"/>
        <v>1</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1</v>
      </c>
      <c r="R430" s="702">
        <f t="shared" si="111"/>
        <v>0</v>
      </c>
      <c r="S430" s="333">
        <f t="shared" si="112"/>
        <v>0</v>
      </c>
      <c r="T430" s="1177">
        <f t="shared" si="113"/>
        <v>0</v>
      </c>
      <c r="U430" s="1309">
        <f t="shared" si="107"/>
        <v>0</v>
      </c>
      <c r="V430" s="1309">
        <f t="shared" si="108"/>
        <v>0</v>
      </c>
      <c r="W430" s="1306"/>
      <c r="X430" s="1309">
        <f t="shared" si="109"/>
        <v>0</v>
      </c>
      <c r="Y430" s="1309">
        <f t="shared" si="110"/>
        <v>0</v>
      </c>
      <c r="Z430" s="1306"/>
    </row>
    <row r="431" spans="1:26">
      <c r="A431" s="74"/>
      <c r="B431" s="24"/>
      <c r="C431" s="14">
        <f t="shared" si="99"/>
        <v>1</v>
      </c>
      <c r="D431" s="706"/>
      <c r="E431" s="14">
        <f t="shared" si="100"/>
        <v>1</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1</v>
      </c>
      <c r="R431" s="702">
        <f t="shared" si="111"/>
        <v>0</v>
      </c>
      <c r="S431" s="333">
        <f t="shared" si="112"/>
        <v>0</v>
      </c>
      <c r="T431" s="1177">
        <f t="shared" si="113"/>
        <v>0</v>
      </c>
      <c r="U431" s="1309">
        <f t="shared" si="107"/>
        <v>0</v>
      </c>
      <c r="V431" s="1309">
        <f t="shared" si="108"/>
        <v>0</v>
      </c>
      <c r="W431" s="1306"/>
      <c r="X431" s="1309">
        <f t="shared" si="109"/>
        <v>0</v>
      </c>
      <c r="Y431" s="1309">
        <f t="shared" si="110"/>
        <v>0</v>
      </c>
      <c r="Z431" s="1306"/>
    </row>
    <row r="432" spans="1:26">
      <c r="A432" s="74"/>
      <c r="B432" s="24"/>
      <c r="C432" s="14">
        <f t="shared" si="99"/>
        <v>1</v>
      </c>
      <c r="D432" s="706"/>
      <c r="E432" s="14">
        <f t="shared" si="100"/>
        <v>1</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1</v>
      </c>
      <c r="R432" s="702">
        <f t="shared" si="111"/>
        <v>0</v>
      </c>
      <c r="S432" s="333">
        <f t="shared" si="112"/>
        <v>0</v>
      </c>
      <c r="T432" s="1177">
        <f t="shared" si="113"/>
        <v>0</v>
      </c>
      <c r="U432" s="1309">
        <f t="shared" si="107"/>
        <v>0</v>
      </c>
      <c r="V432" s="1309">
        <f t="shared" si="108"/>
        <v>0</v>
      </c>
      <c r="W432" s="1306"/>
      <c r="X432" s="1309">
        <f t="shared" si="109"/>
        <v>0</v>
      </c>
      <c r="Y432" s="1309">
        <f t="shared" si="110"/>
        <v>0</v>
      </c>
      <c r="Z432" s="1306"/>
    </row>
    <row r="433" spans="1:26">
      <c r="A433" s="74"/>
      <c r="B433" s="24"/>
      <c r="C433" s="14">
        <f t="shared" si="99"/>
        <v>1</v>
      </c>
      <c r="D433" s="706"/>
      <c r="E433" s="14">
        <f t="shared" si="100"/>
        <v>1</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1</v>
      </c>
      <c r="R433" s="702">
        <f t="shared" si="111"/>
        <v>0</v>
      </c>
      <c r="S433" s="333">
        <f t="shared" si="112"/>
        <v>0</v>
      </c>
      <c r="T433" s="1177">
        <f t="shared" si="113"/>
        <v>0</v>
      </c>
      <c r="U433" s="1309">
        <f t="shared" si="107"/>
        <v>0</v>
      </c>
      <c r="V433" s="1309">
        <f t="shared" si="108"/>
        <v>0</v>
      </c>
      <c r="W433" s="1306"/>
      <c r="X433" s="1309">
        <f t="shared" si="109"/>
        <v>0</v>
      </c>
      <c r="Y433" s="1309">
        <f t="shared" si="110"/>
        <v>0</v>
      </c>
      <c r="Z433" s="1306"/>
    </row>
    <row r="434" spans="1:26">
      <c r="A434" s="74"/>
      <c r="B434" s="24"/>
      <c r="C434" s="14">
        <f t="shared" si="99"/>
        <v>1</v>
      </c>
      <c r="D434" s="706"/>
      <c r="E434" s="14">
        <f t="shared" si="100"/>
        <v>1</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1</v>
      </c>
      <c r="R434" s="702">
        <f t="shared" si="111"/>
        <v>0</v>
      </c>
      <c r="S434" s="333">
        <f t="shared" si="112"/>
        <v>0</v>
      </c>
      <c r="T434" s="1177">
        <f t="shared" si="113"/>
        <v>0</v>
      </c>
      <c r="U434" s="1309">
        <f t="shared" si="107"/>
        <v>0</v>
      </c>
      <c r="V434" s="1309">
        <f t="shared" si="108"/>
        <v>0</v>
      </c>
      <c r="W434" s="1306"/>
      <c r="X434" s="1309">
        <f t="shared" si="109"/>
        <v>0</v>
      </c>
      <c r="Y434" s="1309">
        <f t="shared" si="110"/>
        <v>0</v>
      </c>
      <c r="Z434" s="1306"/>
    </row>
    <row r="435" spans="1:26">
      <c r="A435" s="74"/>
      <c r="B435" s="24"/>
      <c r="C435" s="14">
        <f t="shared" si="99"/>
        <v>1</v>
      </c>
      <c r="D435" s="706"/>
      <c r="E435" s="14">
        <f t="shared" si="100"/>
        <v>1</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1</v>
      </c>
      <c r="R435" s="702">
        <f t="shared" si="111"/>
        <v>0</v>
      </c>
      <c r="S435" s="333">
        <f t="shared" si="112"/>
        <v>0</v>
      </c>
      <c r="T435" s="1177">
        <f t="shared" si="113"/>
        <v>0</v>
      </c>
      <c r="U435" s="1309">
        <f t="shared" si="107"/>
        <v>0</v>
      </c>
      <c r="V435" s="1309">
        <f t="shared" si="108"/>
        <v>0</v>
      </c>
      <c r="W435" s="1306"/>
      <c r="X435" s="1309">
        <f t="shared" si="109"/>
        <v>0</v>
      </c>
      <c r="Y435" s="1309">
        <f t="shared" si="110"/>
        <v>0</v>
      </c>
      <c r="Z435" s="1306"/>
    </row>
    <row r="436" spans="1:26">
      <c r="A436" s="74"/>
      <c r="B436" s="24"/>
      <c r="C436" s="14">
        <f t="shared" si="99"/>
        <v>1</v>
      </c>
      <c r="D436" s="706"/>
      <c r="E436" s="14">
        <f t="shared" si="100"/>
        <v>1</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1</v>
      </c>
      <c r="R436" s="702">
        <f t="shared" si="111"/>
        <v>0</v>
      </c>
      <c r="S436" s="333">
        <f t="shared" si="112"/>
        <v>0</v>
      </c>
      <c r="T436" s="1177">
        <f t="shared" si="113"/>
        <v>0</v>
      </c>
      <c r="U436" s="1309">
        <f t="shared" si="107"/>
        <v>0</v>
      </c>
      <c r="V436" s="1309">
        <f t="shared" si="108"/>
        <v>0</v>
      </c>
      <c r="W436" s="1306"/>
      <c r="X436" s="1309">
        <f t="shared" si="109"/>
        <v>0</v>
      </c>
      <c r="Y436" s="1309">
        <f t="shared" si="110"/>
        <v>0</v>
      </c>
      <c r="Z436" s="1306"/>
    </row>
    <row r="437" spans="1:26">
      <c r="A437" s="74"/>
      <c r="B437" s="24"/>
      <c r="C437" s="14">
        <f t="shared" si="99"/>
        <v>1</v>
      </c>
      <c r="D437" s="706"/>
      <c r="E437" s="14">
        <f t="shared" si="100"/>
        <v>1</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1</v>
      </c>
      <c r="R437" s="702">
        <f t="shared" si="111"/>
        <v>0</v>
      </c>
      <c r="S437" s="333">
        <f t="shared" si="112"/>
        <v>0</v>
      </c>
      <c r="T437" s="1177">
        <f t="shared" si="113"/>
        <v>0</v>
      </c>
      <c r="U437" s="1309">
        <f t="shared" si="107"/>
        <v>0</v>
      </c>
      <c r="V437" s="1309">
        <f t="shared" si="108"/>
        <v>0</v>
      </c>
      <c r="W437" s="1306"/>
      <c r="X437" s="1309">
        <f t="shared" si="109"/>
        <v>0</v>
      </c>
      <c r="Y437" s="1309">
        <f t="shared" si="110"/>
        <v>0</v>
      </c>
      <c r="Z437" s="1306"/>
    </row>
    <row r="438" spans="1:26">
      <c r="A438" s="74"/>
      <c r="B438" s="24"/>
      <c r="C438" s="14">
        <f t="shared" si="99"/>
        <v>1</v>
      </c>
      <c r="D438" s="706"/>
      <c r="E438" s="14">
        <f t="shared" si="100"/>
        <v>1</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1</v>
      </c>
      <c r="R438" s="702">
        <f t="shared" si="111"/>
        <v>0</v>
      </c>
      <c r="S438" s="333">
        <f t="shared" si="112"/>
        <v>0</v>
      </c>
      <c r="T438" s="1177">
        <f t="shared" si="113"/>
        <v>0</v>
      </c>
      <c r="U438" s="1309">
        <f t="shared" si="107"/>
        <v>0</v>
      </c>
      <c r="V438" s="1309">
        <f t="shared" si="108"/>
        <v>0</v>
      </c>
      <c r="W438" s="1306"/>
      <c r="X438" s="1309">
        <f t="shared" si="109"/>
        <v>0</v>
      </c>
      <c r="Y438" s="1309">
        <f t="shared" si="110"/>
        <v>0</v>
      </c>
      <c r="Z438" s="1306"/>
    </row>
    <row r="439" spans="1:26">
      <c r="A439" s="74"/>
      <c r="B439" s="24"/>
      <c r="C439" s="14">
        <f t="shared" si="99"/>
        <v>1</v>
      </c>
      <c r="D439" s="706"/>
      <c r="E439" s="14">
        <f t="shared" si="100"/>
        <v>1</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1</v>
      </c>
      <c r="R439" s="702">
        <f t="shared" si="111"/>
        <v>0</v>
      </c>
      <c r="S439" s="333">
        <f t="shared" si="112"/>
        <v>0</v>
      </c>
      <c r="T439" s="1177">
        <f t="shared" si="113"/>
        <v>0</v>
      </c>
      <c r="U439" s="1309">
        <f t="shared" si="107"/>
        <v>0</v>
      </c>
      <c r="V439" s="1309">
        <f t="shared" si="108"/>
        <v>0</v>
      </c>
      <c r="W439" s="1306"/>
      <c r="X439" s="1309">
        <f t="shared" si="109"/>
        <v>0</v>
      </c>
      <c r="Y439" s="1309">
        <f t="shared" si="110"/>
        <v>0</v>
      </c>
      <c r="Z439" s="1306"/>
    </row>
    <row r="440" spans="1:26">
      <c r="A440" s="74"/>
      <c r="B440" s="24"/>
      <c r="C440" s="14">
        <f t="shared" si="99"/>
        <v>1</v>
      </c>
      <c r="D440" s="706"/>
      <c r="E440" s="14">
        <f t="shared" si="100"/>
        <v>1</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1</v>
      </c>
      <c r="R440" s="702">
        <f t="shared" si="111"/>
        <v>0</v>
      </c>
      <c r="S440" s="333">
        <f t="shared" si="112"/>
        <v>0</v>
      </c>
      <c r="T440" s="1177">
        <f t="shared" si="113"/>
        <v>0</v>
      </c>
      <c r="U440" s="1309">
        <f t="shared" si="107"/>
        <v>0</v>
      </c>
      <c r="V440" s="1309">
        <f t="shared" si="108"/>
        <v>0</v>
      </c>
      <c r="W440" s="1306"/>
      <c r="X440" s="1309">
        <f t="shared" si="109"/>
        <v>0</v>
      </c>
      <c r="Y440" s="1309">
        <f t="shared" si="110"/>
        <v>0</v>
      </c>
      <c r="Z440" s="1306"/>
    </row>
    <row r="441" spans="1:26">
      <c r="A441" s="74"/>
      <c r="B441" s="24"/>
      <c r="C441" s="14">
        <f t="shared" si="99"/>
        <v>1</v>
      </c>
      <c r="D441" s="706"/>
      <c r="E441" s="14">
        <f t="shared" si="100"/>
        <v>1</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1</v>
      </c>
      <c r="R441" s="702">
        <f t="shared" si="111"/>
        <v>0</v>
      </c>
      <c r="S441" s="333">
        <f t="shared" si="112"/>
        <v>0</v>
      </c>
      <c r="T441" s="1177">
        <f t="shared" si="113"/>
        <v>0</v>
      </c>
      <c r="U441" s="1309">
        <f t="shared" si="107"/>
        <v>0</v>
      </c>
      <c r="V441" s="1309">
        <f t="shared" si="108"/>
        <v>0</v>
      </c>
      <c r="W441" s="1306"/>
      <c r="X441" s="1309">
        <f t="shared" si="109"/>
        <v>0</v>
      </c>
      <c r="Y441" s="1309">
        <f t="shared" si="110"/>
        <v>0</v>
      </c>
      <c r="Z441" s="1306"/>
    </row>
    <row r="442" spans="1:26">
      <c r="A442" s="74"/>
      <c r="B442" s="24"/>
      <c r="C442" s="14">
        <f t="shared" si="99"/>
        <v>1</v>
      </c>
      <c r="D442" s="706"/>
      <c r="E442" s="14">
        <f t="shared" si="100"/>
        <v>1</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1</v>
      </c>
      <c r="R442" s="702">
        <f t="shared" si="111"/>
        <v>0</v>
      </c>
      <c r="S442" s="333">
        <f t="shared" si="112"/>
        <v>0</v>
      </c>
      <c r="T442" s="1177">
        <f t="shared" si="113"/>
        <v>0</v>
      </c>
      <c r="U442" s="1309">
        <f t="shared" si="107"/>
        <v>0</v>
      </c>
      <c r="V442" s="1309">
        <f t="shared" si="108"/>
        <v>0</v>
      </c>
      <c r="W442" s="1306"/>
      <c r="X442" s="1309">
        <f t="shared" si="109"/>
        <v>0</v>
      </c>
      <c r="Y442" s="1309">
        <f t="shared" si="110"/>
        <v>0</v>
      </c>
      <c r="Z442" s="1306"/>
    </row>
    <row r="443" spans="1:26">
      <c r="A443" s="74"/>
      <c r="B443" s="24"/>
      <c r="C443" s="14">
        <f t="shared" si="99"/>
        <v>1</v>
      </c>
      <c r="D443" s="706"/>
      <c r="E443" s="14">
        <f t="shared" si="100"/>
        <v>1</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1</v>
      </c>
      <c r="R443" s="702">
        <f t="shared" si="111"/>
        <v>0</v>
      </c>
      <c r="S443" s="333">
        <f t="shared" si="112"/>
        <v>0</v>
      </c>
      <c r="T443" s="1177">
        <f t="shared" si="113"/>
        <v>0</v>
      </c>
      <c r="U443" s="1309">
        <f t="shared" si="107"/>
        <v>0</v>
      </c>
      <c r="V443" s="1309">
        <f t="shared" si="108"/>
        <v>0</v>
      </c>
      <c r="W443" s="1306"/>
      <c r="X443" s="1309">
        <f t="shared" si="109"/>
        <v>0</v>
      </c>
      <c r="Y443" s="1309">
        <f t="shared" si="110"/>
        <v>0</v>
      </c>
      <c r="Z443" s="1306"/>
    </row>
    <row r="444" spans="1:26">
      <c r="A444" s="74"/>
      <c r="B444" s="24"/>
      <c r="C444" s="14">
        <f t="shared" si="99"/>
        <v>1</v>
      </c>
      <c r="D444" s="706"/>
      <c r="E444" s="14">
        <f t="shared" si="100"/>
        <v>1</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1</v>
      </c>
      <c r="R444" s="702">
        <f t="shared" si="111"/>
        <v>0</v>
      </c>
      <c r="S444" s="333">
        <f t="shared" si="112"/>
        <v>0</v>
      </c>
      <c r="T444" s="1177">
        <f t="shared" si="113"/>
        <v>0</v>
      </c>
      <c r="U444" s="1309">
        <f t="shared" si="107"/>
        <v>0</v>
      </c>
      <c r="V444" s="1309">
        <f t="shared" si="108"/>
        <v>0</v>
      </c>
      <c r="W444" s="1306"/>
      <c r="X444" s="1309">
        <f t="shared" si="109"/>
        <v>0</v>
      </c>
      <c r="Y444" s="1309">
        <f t="shared" si="110"/>
        <v>0</v>
      </c>
      <c r="Z444" s="1306"/>
    </row>
    <row r="445" spans="1:26">
      <c r="A445" s="74"/>
      <c r="B445" s="24"/>
      <c r="C445" s="14">
        <f t="shared" si="99"/>
        <v>1</v>
      </c>
      <c r="D445" s="706"/>
      <c r="E445" s="14">
        <f t="shared" si="100"/>
        <v>1</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1</v>
      </c>
      <c r="R445" s="702">
        <f t="shared" si="111"/>
        <v>0</v>
      </c>
      <c r="S445" s="333">
        <f t="shared" si="112"/>
        <v>0</v>
      </c>
      <c r="T445" s="1177">
        <f t="shared" si="113"/>
        <v>0</v>
      </c>
      <c r="U445" s="1309">
        <f t="shared" si="107"/>
        <v>0</v>
      </c>
      <c r="V445" s="1309">
        <f t="shared" si="108"/>
        <v>0</v>
      </c>
      <c r="W445" s="1306"/>
      <c r="X445" s="1309">
        <f t="shared" si="109"/>
        <v>0</v>
      </c>
      <c r="Y445" s="1309">
        <f t="shared" si="110"/>
        <v>0</v>
      </c>
      <c r="Z445" s="1306"/>
    </row>
    <row r="446" spans="1:26">
      <c r="A446" s="74"/>
      <c r="B446" s="24"/>
      <c r="C446" s="14">
        <f t="shared" si="99"/>
        <v>1</v>
      </c>
      <c r="D446" s="706"/>
      <c r="E446" s="14">
        <f t="shared" si="100"/>
        <v>1</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1</v>
      </c>
      <c r="R446" s="702">
        <f t="shared" si="111"/>
        <v>0</v>
      </c>
      <c r="S446" s="333">
        <f t="shared" si="112"/>
        <v>0</v>
      </c>
      <c r="T446" s="1177">
        <f t="shared" si="113"/>
        <v>0</v>
      </c>
      <c r="U446" s="1309">
        <f t="shared" si="107"/>
        <v>0</v>
      </c>
      <c r="V446" s="1309">
        <f t="shared" si="108"/>
        <v>0</v>
      </c>
      <c r="W446" s="1306"/>
      <c r="X446" s="1309">
        <f t="shared" si="109"/>
        <v>0</v>
      </c>
      <c r="Y446" s="1309">
        <f t="shared" si="110"/>
        <v>0</v>
      </c>
      <c r="Z446" s="1306"/>
    </row>
    <row r="447" spans="1:26">
      <c r="A447" s="74"/>
      <c r="B447" s="24"/>
      <c r="C447" s="14">
        <f t="shared" si="99"/>
        <v>1</v>
      </c>
      <c r="D447" s="706"/>
      <c r="E447" s="14">
        <f t="shared" si="100"/>
        <v>1</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1</v>
      </c>
      <c r="R447" s="702">
        <f t="shared" si="111"/>
        <v>0</v>
      </c>
      <c r="S447" s="333">
        <f t="shared" si="112"/>
        <v>0</v>
      </c>
      <c r="T447" s="1177">
        <f t="shared" si="113"/>
        <v>0</v>
      </c>
      <c r="U447" s="1309">
        <f t="shared" si="107"/>
        <v>0</v>
      </c>
      <c r="V447" s="1309">
        <f t="shared" si="108"/>
        <v>0</v>
      </c>
      <c r="W447" s="1306"/>
      <c r="X447" s="1309">
        <f t="shared" si="109"/>
        <v>0</v>
      </c>
      <c r="Y447" s="1309">
        <f t="shared" si="110"/>
        <v>0</v>
      </c>
      <c r="Z447" s="1306"/>
    </row>
    <row r="448" spans="1:26">
      <c r="A448" s="74"/>
      <c r="B448" s="24"/>
      <c r="C448" s="14">
        <f t="shared" si="99"/>
        <v>1</v>
      </c>
      <c r="D448" s="706"/>
      <c r="E448" s="14">
        <f t="shared" si="100"/>
        <v>1</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1</v>
      </c>
      <c r="R448" s="702">
        <f t="shared" si="111"/>
        <v>0</v>
      </c>
      <c r="S448" s="333">
        <f t="shared" si="112"/>
        <v>0</v>
      </c>
      <c r="T448" s="1177">
        <f t="shared" si="113"/>
        <v>0</v>
      </c>
      <c r="U448" s="1309">
        <f t="shared" si="107"/>
        <v>0</v>
      </c>
      <c r="V448" s="1309">
        <f t="shared" si="108"/>
        <v>0</v>
      </c>
      <c r="W448" s="1306"/>
      <c r="X448" s="1309">
        <f t="shared" si="109"/>
        <v>0</v>
      </c>
      <c r="Y448" s="1309">
        <f t="shared" si="110"/>
        <v>0</v>
      </c>
      <c r="Z448" s="1306"/>
    </row>
    <row r="449" spans="1:26">
      <c r="A449" s="74"/>
      <c r="B449" s="24"/>
      <c r="C449" s="14">
        <f t="shared" si="99"/>
        <v>1</v>
      </c>
      <c r="D449" s="706"/>
      <c r="E449" s="14">
        <f t="shared" si="100"/>
        <v>1</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1</v>
      </c>
      <c r="R449" s="702">
        <f t="shared" si="111"/>
        <v>0</v>
      </c>
      <c r="S449" s="333">
        <f t="shared" si="112"/>
        <v>0</v>
      </c>
      <c r="T449" s="1177">
        <f t="shared" si="113"/>
        <v>0</v>
      </c>
      <c r="U449" s="1309">
        <f t="shared" si="107"/>
        <v>0</v>
      </c>
      <c r="V449" s="1309">
        <f t="shared" si="108"/>
        <v>0</v>
      </c>
      <c r="W449" s="1306"/>
      <c r="X449" s="1309">
        <f t="shared" si="109"/>
        <v>0</v>
      </c>
      <c r="Y449" s="1309">
        <f t="shared" si="110"/>
        <v>0</v>
      </c>
      <c r="Z449" s="1306"/>
    </row>
    <row r="450" spans="1:26">
      <c r="A450" s="74"/>
      <c r="B450" s="24"/>
      <c r="C450" s="14">
        <f t="shared" si="99"/>
        <v>1</v>
      </c>
      <c r="D450" s="706"/>
      <c r="E450" s="14">
        <f t="shared" si="100"/>
        <v>1</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1</v>
      </c>
      <c r="R450" s="702">
        <f t="shared" si="111"/>
        <v>0</v>
      </c>
      <c r="S450" s="333">
        <f t="shared" si="112"/>
        <v>0</v>
      </c>
      <c r="T450" s="1177">
        <f t="shared" si="113"/>
        <v>0</v>
      </c>
      <c r="U450" s="1309">
        <f t="shared" si="107"/>
        <v>0</v>
      </c>
      <c r="V450" s="1309">
        <f t="shared" si="108"/>
        <v>0</v>
      </c>
      <c r="W450" s="1306"/>
      <c r="X450" s="1309">
        <f t="shared" si="109"/>
        <v>0</v>
      </c>
      <c r="Y450" s="1309">
        <f t="shared" si="110"/>
        <v>0</v>
      </c>
      <c r="Z450" s="1306"/>
    </row>
    <row r="451" spans="1:26">
      <c r="A451" s="74"/>
      <c r="B451" s="24"/>
      <c r="C451" s="14">
        <f t="shared" si="99"/>
        <v>1</v>
      </c>
      <c r="D451" s="706"/>
      <c r="E451" s="14">
        <f t="shared" si="100"/>
        <v>1</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1</v>
      </c>
      <c r="R451" s="702">
        <f t="shared" si="111"/>
        <v>0</v>
      </c>
      <c r="S451" s="333">
        <f t="shared" si="112"/>
        <v>0</v>
      </c>
      <c r="T451" s="1177">
        <f t="shared" si="113"/>
        <v>0</v>
      </c>
      <c r="U451" s="1309">
        <f t="shared" si="107"/>
        <v>0</v>
      </c>
      <c r="V451" s="1309">
        <f t="shared" si="108"/>
        <v>0</v>
      </c>
      <c r="W451" s="1306"/>
      <c r="X451" s="1309">
        <f t="shared" si="109"/>
        <v>0</v>
      </c>
      <c r="Y451" s="1309">
        <f t="shared" si="110"/>
        <v>0</v>
      </c>
      <c r="Z451" s="1306"/>
    </row>
    <row r="452" spans="1:26">
      <c r="A452" s="74"/>
      <c r="B452" s="24"/>
      <c r="C452" s="14">
        <f t="shared" si="99"/>
        <v>1</v>
      </c>
      <c r="D452" s="706"/>
      <c r="E452" s="14">
        <f t="shared" si="100"/>
        <v>1</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1</v>
      </c>
      <c r="R452" s="702">
        <f t="shared" si="111"/>
        <v>0</v>
      </c>
      <c r="S452" s="333">
        <f t="shared" si="112"/>
        <v>0</v>
      </c>
      <c r="T452" s="1177">
        <f t="shared" si="113"/>
        <v>0</v>
      </c>
      <c r="U452" s="1309">
        <f t="shared" si="107"/>
        <v>0</v>
      </c>
      <c r="V452" s="1309">
        <f t="shared" si="108"/>
        <v>0</v>
      </c>
      <c r="W452" s="1306"/>
      <c r="X452" s="1309">
        <f t="shared" si="109"/>
        <v>0</v>
      </c>
      <c r="Y452" s="1309">
        <f t="shared" si="110"/>
        <v>0</v>
      </c>
      <c r="Z452" s="1306"/>
    </row>
    <row r="453" spans="1:26">
      <c r="A453" s="74"/>
      <c r="B453" s="24"/>
      <c r="C453" s="14">
        <f t="shared" si="99"/>
        <v>1</v>
      </c>
      <c r="D453" s="706"/>
      <c r="E453" s="14">
        <f t="shared" si="100"/>
        <v>1</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1</v>
      </c>
      <c r="R453" s="702">
        <f t="shared" si="111"/>
        <v>0</v>
      </c>
      <c r="S453" s="333">
        <f t="shared" si="112"/>
        <v>0</v>
      </c>
      <c r="T453" s="1177">
        <f t="shared" si="113"/>
        <v>0</v>
      </c>
      <c r="U453" s="1309">
        <f t="shared" si="107"/>
        <v>0</v>
      </c>
      <c r="V453" s="1309">
        <f t="shared" si="108"/>
        <v>0</v>
      </c>
      <c r="W453" s="1306"/>
      <c r="X453" s="1309">
        <f t="shared" si="109"/>
        <v>0</v>
      </c>
      <c r="Y453" s="1309">
        <f t="shared" si="110"/>
        <v>0</v>
      </c>
      <c r="Z453" s="1306"/>
    </row>
    <row r="454" spans="1:26">
      <c r="A454" s="74"/>
      <c r="B454" s="24"/>
      <c r="C454" s="14">
        <f t="shared" si="99"/>
        <v>1</v>
      </c>
      <c r="D454" s="706"/>
      <c r="E454" s="14">
        <f t="shared" si="100"/>
        <v>1</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1</v>
      </c>
      <c r="R454" s="702">
        <f t="shared" si="111"/>
        <v>0</v>
      </c>
      <c r="S454" s="333">
        <f t="shared" si="112"/>
        <v>0</v>
      </c>
      <c r="T454" s="1177">
        <f t="shared" si="113"/>
        <v>0</v>
      </c>
      <c r="U454" s="1309">
        <f t="shared" si="107"/>
        <v>0</v>
      </c>
      <c r="V454" s="1309">
        <f t="shared" si="108"/>
        <v>0</v>
      </c>
      <c r="W454" s="1306"/>
      <c r="X454" s="1309">
        <f t="shared" si="109"/>
        <v>0</v>
      </c>
      <c r="Y454" s="1309">
        <f t="shared" si="110"/>
        <v>0</v>
      </c>
      <c r="Z454" s="1306"/>
    </row>
    <row r="455" spans="1:26">
      <c r="A455" s="74"/>
      <c r="B455" s="24"/>
      <c r="C455" s="14">
        <f t="shared" si="99"/>
        <v>1</v>
      </c>
      <c r="D455" s="706"/>
      <c r="E455" s="14">
        <f t="shared" si="100"/>
        <v>1</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1</v>
      </c>
      <c r="R455" s="702">
        <f t="shared" si="111"/>
        <v>0</v>
      </c>
      <c r="S455" s="333">
        <f t="shared" si="112"/>
        <v>0</v>
      </c>
      <c r="T455" s="1177">
        <f t="shared" si="113"/>
        <v>0</v>
      </c>
      <c r="U455" s="1309">
        <f t="shared" si="107"/>
        <v>0</v>
      </c>
      <c r="V455" s="1309">
        <f t="shared" si="108"/>
        <v>0</v>
      </c>
      <c r="W455" s="1306"/>
      <c r="X455" s="1309">
        <f t="shared" si="109"/>
        <v>0</v>
      </c>
      <c r="Y455" s="1309">
        <f t="shared" si="110"/>
        <v>0</v>
      </c>
      <c r="Z455" s="1306"/>
    </row>
    <row r="456" spans="1:26">
      <c r="A456" s="74"/>
      <c r="B456" s="24"/>
      <c r="C456" s="14">
        <f t="shared" si="99"/>
        <v>1</v>
      </c>
      <c r="D456" s="706"/>
      <c r="E456" s="14">
        <f t="shared" si="100"/>
        <v>1</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1</v>
      </c>
      <c r="R456" s="702">
        <f t="shared" si="111"/>
        <v>0</v>
      </c>
      <c r="S456" s="333">
        <f t="shared" si="112"/>
        <v>0</v>
      </c>
      <c r="T456" s="1177">
        <f t="shared" si="113"/>
        <v>0</v>
      </c>
      <c r="U456" s="1309">
        <f t="shared" si="107"/>
        <v>0</v>
      </c>
      <c r="V456" s="1309">
        <f t="shared" si="108"/>
        <v>0</v>
      </c>
      <c r="W456" s="1306"/>
      <c r="X456" s="1309">
        <f t="shared" si="109"/>
        <v>0</v>
      </c>
      <c r="Y456" s="1309">
        <f t="shared" si="110"/>
        <v>0</v>
      </c>
      <c r="Z456" s="1306"/>
    </row>
    <row r="457" spans="1:26">
      <c r="A457" s="74"/>
      <c r="B457" s="24"/>
      <c r="C457" s="14">
        <f t="shared" si="99"/>
        <v>1</v>
      </c>
      <c r="D457" s="706"/>
      <c r="E457" s="14">
        <f t="shared" si="100"/>
        <v>1</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1</v>
      </c>
      <c r="R457" s="702">
        <f t="shared" si="111"/>
        <v>0</v>
      </c>
      <c r="S457" s="333">
        <f t="shared" si="112"/>
        <v>0</v>
      </c>
      <c r="T457" s="1177">
        <f t="shared" si="113"/>
        <v>0</v>
      </c>
      <c r="U457" s="1309">
        <f t="shared" si="107"/>
        <v>0</v>
      </c>
      <c r="V457" s="1309">
        <f t="shared" si="108"/>
        <v>0</v>
      </c>
      <c r="W457" s="1306"/>
      <c r="X457" s="1309">
        <f t="shared" si="109"/>
        <v>0</v>
      </c>
      <c r="Y457" s="1309">
        <f t="shared" si="110"/>
        <v>0</v>
      </c>
      <c r="Z457" s="1306"/>
    </row>
    <row r="458" spans="1:26">
      <c r="A458" s="74"/>
      <c r="B458" s="24"/>
      <c r="C458" s="14">
        <f t="shared" si="99"/>
        <v>1</v>
      </c>
      <c r="D458" s="706"/>
      <c r="E458" s="14">
        <f t="shared" si="100"/>
        <v>1</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1</v>
      </c>
      <c r="R458" s="702">
        <f t="shared" si="111"/>
        <v>0</v>
      </c>
      <c r="S458" s="333">
        <f t="shared" si="112"/>
        <v>0</v>
      </c>
      <c r="T458" s="1177">
        <f t="shared" si="113"/>
        <v>0</v>
      </c>
      <c r="U458" s="1309">
        <f t="shared" si="107"/>
        <v>0</v>
      </c>
      <c r="V458" s="1309">
        <f t="shared" si="108"/>
        <v>0</v>
      </c>
      <c r="W458" s="1306"/>
      <c r="X458" s="1309">
        <f t="shared" si="109"/>
        <v>0</v>
      </c>
      <c r="Y458" s="1309">
        <f t="shared" si="110"/>
        <v>0</v>
      </c>
      <c r="Z458" s="1306"/>
    </row>
    <row r="459" spans="1:26">
      <c r="A459" s="74"/>
      <c r="B459" s="24"/>
      <c r="C459" s="14">
        <f t="shared" si="99"/>
        <v>1</v>
      </c>
      <c r="D459" s="706"/>
      <c r="E459" s="14">
        <f t="shared" si="100"/>
        <v>1</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1</v>
      </c>
      <c r="R459" s="702">
        <f t="shared" si="111"/>
        <v>0</v>
      </c>
      <c r="S459" s="333">
        <f t="shared" si="112"/>
        <v>0</v>
      </c>
      <c r="T459" s="1177">
        <f t="shared" si="113"/>
        <v>0</v>
      </c>
      <c r="U459" s="1309">
        <f t="shared" si="107"/>
        <v>0</v>
      </c>
      <c r="V459" s="1309">
        <f t="shared" si="108"/>
        <v>0</v>
      </c>
      <c r="W459" s="1306"/>
      <c r="X459" s="1309">
        <f t="shared" si="109"/>
        <v>0</v>
      </c>
      <c r="Y459" s="1309">
        <f t="shared" si="110"/>
        <v>0</v>
      </c>
      <c r="Z459" s="1306"/>
    </row>
    <row r="460" spans="1:26">
      <c r="A460" s="74"/>
      <c r="B460" s="24"/>
      <c r="C460" s="14">
        <f t="shared" si="99"/>
        <v>1</v>
      </c>
      <c r="D460" s="706"/>
      <c r="E460" s="14">
        <f t="shared" si="100"/>
        <v>1</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1</v>
      </c>
      <c r="R460" s="702">
        <f t="shared" si="111"/>
        <v>0</v>
      </c>
      <c r="S460" s="333">
        <f t="shared" si="112"/>
        <v>0</v>
      </c>
      <c r="T460" s="1177">
        <f t="shared" si="113"/>
        <v>0</v>
      </c>
      <c r="U460" s="1309">
        <f t="shared" si="107"/>
        <v>0</v>
      </c>
      <c r="V460" s="1309">
        <f t="shared" si="108"/>
        <v>0</v>
      </c>
      <c r="W460" s="1306"/>
      <c r="X460" s="1309">
        <f t="shared" si="109"/>
        <v>0</v>
      </c>
      <c r="Y460" s="1309">
        <f t="shared" si="110"/>
        <v>0</v>
      </c>
      <c r="Z460" s="1306"/>
    </row>
    <row r="461" spans="1:26">
      <c r="A461" s="74"/>
      <c r="B461" s="24"/>
      <c r="C461" s="14">
        <f t="shared" si="99"/>
        <v>1</v>
      </c>
      <c r="D461" s="706"/>
      <c r="E461" s="14">
        <f t="shared" si="100"/>
        <v>1</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1</v>
      </c>
      <c r="R461" s="702">
        <f t="shared" si="111"/>
        <v>0</v>
      </c>
      <c r="S461" s="333">
        <f t="shared" si="112"/>
        <v>0</v>
      </c>
      <c r="T461" s="1177">
        <f t="shared" si="113"/>
        <v>0</v>
      </c>
      <c r="U461" s="1309">
        <f t="shared" si="107"/>
        <v>0</v>
      </c>
      <c r="V461" s="1309">
        <f t="shared" si="108"/>
        <v>0</v>
      </c>
      <c r="W461" s="1306"/>
      <c r="X461" s="1309">
        <f t="shared" si="109"/>
        <v>0</v>
      </c>
      <c r="Y461" s="1309">
        <f t="shared" si="110"/>
        <v>0</v>
      </c>
      <c r="Z461" s="1306"/>
    </row>
    <row r="462" spans="1:26">
      <c r="A462" s="74"/>
      <c r="B462" s="24"/>
      <c r="C462" s="14">
        <f t="shared" si="99"/>
        <v>1</v>
      </c>
      <c r="D462" s="706"/>
      <c r="E462" s="14">
        <f t="shared" si="100"/>
        <v>1</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1</v>
      </c>
      <c r="R462" s="702">
        <f t="shared" si="111"/>
        <v>0</v>
      </c>
      <c r="S462" s="333">
        <f t="shared" si="112"/>
        <v>0</v>
      </c>
      <c r="T462" s="1177">
        <f t="shared" si="113"/>
        <v>0</v>
      </c>
      <c r="U462" s="1309">
        <f t="shared" si="107"/>
        <v>0</v>
      </c>
      <c r="V462" s="1309">
        <f t="shared" si="108"/>
        <v>0</v>
      </c>
      <c r="W462" s="1306"/>
      <c r="X462" s="1309">
        <f t="shared" si="109"/>
        <v>0</v>
      </c>
      <c r="Y462" s="1309">
        <f t="shared" si="110"/>
        <v>0</v>
      </c>
      <c r="Z462" s="1306"/>
    </row>
    <row r="463" spans="1:26">
      <c r="A463" s="74"/>
      <c r="B463" s="24"/>
      <c r="C463" s="14">
        <f t="shared" si="99"/>
        <v>1</v>
      </c>
      <c r="D463" s="706"/>
      <c r="E463" s="14">
        <f t="shared" si="100"/>
        <v>1</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1</v>
      </c>
      <c r="R463" s="702">
        <f t="shared" si="111"/>
        <v>0</v>
      </c>
      <c r="S463" s="333">
        <f t="shared" si="112"/>
        <v>0</v>
      </c>
      <c r="T463" s="1177">
        <f t="shared" si="113"/>
        <v>0</v>
      </c>
      <c r="U463" s="1309">
        <f t="shared" si="107"/>
        <v>0</v>
      </c>
      <c r="V463" s="1309">
        <f t="shared" si="108"/>
        <v>0</v>
      </c>
      <c r="W463" s="1306"/>
      <c r="X463" s="1309">
        <f t="shared" si="109"/>
        <v>0</v>
      </c>
      <c r="Y463" s="1309">
        <f t="shared" si="110"/>
        <v>0</v>
      </c>
      <c r="Z463" s="1306"/>
    </row>
    <row r="464" spans="1:26">
      <c r="A464" s="74"/>
      <c r="B464" s="24"/>
      <c r="C464" s="14">
        <f t="shared" si="99"/>
        <v>1</v>
      </c>
      <c r="D464" s="706"/>
      <c r="E464" s="14">
        <f t="shared" si="100"/>
        <v>1</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1</v>
      </c>
      <c r="R464" s="702">
        <f t="shared" si="111"/>
        <v>0</v>
      </c>
      <c r="S464" s="333">
        <f t="shared" si="112"/>
        <v>0</v>
      </c>
      <c r="T464" s="1177">
        <f t="shared" si="113"/>
        <v>0</v>
      </c>
      <c r="U464" s="1309">
        <f t="shared" si="107"/>
        <v>0</v>
      </c>
      <c r="V464" s="1309">
        <f t="shared" si="108"/>
        <v>0</v>
      </c>
      <c r="W464" s="1306"/>
      <c r="X464" s="1309">
        <f t="shared" si="109"/>
        <v>0</v>
      </c>
      <c r="Y464" s="1309">
        <f t="shared" si="110"/>
        <v>0</v>
      </c>
      <c r="Z464" s="1306"/>
    </row>
    <row r="465" spans="1:26">
      <c r="A465" s="74"/>
      <c r="B465" s="24"/>
      <c r="C465" s="14">
        <f t="shared" si="99"/>
        <v>1</v>
      </c>
      <c r="D465" s="706"/>
      <c r="E465" s="14">
        <f t="shared" si="100"/>
        <v>1</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1</v>
      </c>
      <c r="R465" s="702">
        <f t="shared" si="111"/>
        <v>0</v>
      </c>
      <c r="S465" s="333">
        <f t="shared" si="112"/>
        <v>0</v>
      </c>
      <c r="T465" s="1177">
        <f t="shared" si="113"/>
        <v>0</v>
      </c>
      <c r="U465" s="1309">
        <f t="shared" si="107"/>
        <v>0</v>
      </c>
      <c r="V465" s="1309">
        <f t="shared" si="108"/>
        <v>0</v>
      </c>
      <c r="W465" s="1306"/>
      <c r="X465" s="1309">
        <f t="shared" si="109"/>
        <v>0</v>
      </c>
      <c r="Y465" s="1309">
        <f t="shared" si="110"/>
        <v>0</v>
      </c>
      <c r="Z465" s="1306"/>
    </row>
    <row r="466" spans="1:26">
      <c r="A466" s="74"/>
      <c r="B466" s="24"/>
      <c r="C466" s="14">
        <f t="shared" si="99"/>
        <v>1</v>
      </c>
      <c r="D466" s="706"/>
      <c r="E466" s="14">
        <f t="shared" si="100"/>
        <v>1</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1</v>
      </c>
      <c r="R466" s="702">
        <f t="shared" si="111"/>
        <v>0</v>
      </c>
      <c r="S466" s="333">
        <f t="shared" si="112"/>
        <v>0</v>
      </c>
      <c r="T466" s="1177">
        <f t="shared" si="113"/>
        <v>0</v>
      </c>
      <c r="U466" s="1309">
        <f t="shared" si="107"/>
        <v>0</v>
      </c>
      <c r="V466" s="1309">
        <f t="shared" si="108"/>
        <v>0</v>
      </c>
      <c r="W466" s="1306"/>
      <c r="X466" s="1309">
        <f t="shared" si="109"/>
        <v>0</v>
      </c>
      <c r="Y466" s="1309">
        <f t="shared" si="110"/>
        <v>0</v>
      </c>
      <c r="Z466" s="1306"/>
    </row>
    <row r="467" spans="1:26">
      <c r="A467" s="74"/>
      <c r="B467" s="24"/>
      <c r="C467" s="14">
        <f t="shared" si="99"/>
        <v>1</v>
      </c>
      <c r="D467" s="706"/>
      <c r="E467" s="14">
        <f t="shared" si="100"/>
        <v>1</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1</v>
      </c>
      <c r="R467" s="702">
        <f t="shared" si="111"/>
        <v>0</v>
      </c>
      <c r="S467" s="333">
        <f t="shared" si="112"/>
        <v>0</v>
      </c>
      <c r="T467" s="1177">
        <f t="shared" si="113"/>
        <v>0</v>
      </c>
      <c r="U467" s="1309">
        <f t="shared" si="107"/>
        <v>0</v>
      </c>
      <c r="V467" s="1309">
        <f t="shared" si="108"/>
        <v>0</v>
      </c>
      <c r="W467" s="1306"/>
      <c r="X467" s="1309">
        <f t="shared" si="109"/>
        <v>0</v>
      </c>
      <c r="Y467" s="1309">
        <f t="shared" si="110"/>
        <v>0</v>
      </c>
      <c r="Z467" s="1306"/>
    </row>
    <row r="468" spans="1:26">
      <c r="A468" s="74"/>
      <c r="B468" s="24"/>
      <c r="C468" s="14">
        <f t="shared" si="99"/>
        <v>1</v>
      </c>
      <c r="D468" s="706"/>
      <c r="E468" s="14">
        <f t="shared" si="100"/>
        <v>1</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1</v>
      </c>
      <c r="R468" s="702">
        <f t="shared" si="111"/>
        <v>0</v>
      </c>
      <c r="S468" s="333">
        <f t="shared" si="112"/>
        <v>0</v>
      </c>
      <c r="T468" s="1177">
        <f t="shared" si="113"/>
        <v>0</v>
      </c>
      <c r="U468" s="1309">
        <f t="shared" si="107"/>
        <v>0</v>
      </c>
      <c r="V468" s="1309">
        <f t="shared" si="108"/>
        <v>0</v>
      </c>
      <c r="W468" s="1306"/>
      <c r="X468" s="1309">
        <f t="shared" si="109"/>
        <v>0</v>
      </c>
      <c r="Y468" s="1309">
        <f t="shared" si="110"/>
        <v>0</v>
      </c>
      <c r="Z468" s="1306"/>
    </row>
    <row r="469" spans="1:26">
      <c r="A469" s="74"/>
      <c r="B469" s="24"/>
      <c r="C469" s="14">
        <f t="shared" si="99"/>
        <v>1</v>
      </c>
      <c r="D469" s="706"/>
      <c r="E469" s="14">
        <f t="shared" si="100"/>
        <v>1</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1</v>
      </c>
      <c r="R469" s="702">
        <f t="shared" si="111"/>
        <v>0</v>
      </c>
      <c r="S469" s="333">
        <f t="shared" si="112"/>
        <v>0</v>
      </c>
      <c r="T469" s="1177">
        <f t="shared" si="113"/>
        <v>0</v>
      </c>
      <c r="U469" s="1309">
        <f t="shared" si="107"/>
        <v>0</v>
      </c>
      <c r="V469" s="1309">
        <f t="shared" si="108"/>
        <v>0</v>
      </c>
      <c r="W469" s="1306"/>
      <c r="X469" s="1309">
        <f t="shared" si="109"/>
        <v>0</v>
      </c>
      <c r="Y469" s="1309">
        <f t="shared" si="110"/>
        <v>0</v>
      </c>
      <c r="Z469" s="1306"/>
    </row>
    <row r="470" spans="1:26">
      <c r="A470" s="74"/>
      <c r="B470" s="24"/>
      <c r="C470" s="14">
        <f t="shared" si="99"/>
        <v>1</v>
      </c>
      <c r="D470" s="706"/>
      <c r="E470" s="14">
        <f t="shared" si="100"/>
        <v>1</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1</v>
      </c>
      <c r="R470" s="702">
        <f t="shared" si="111"/>
        <v>0</v>
      </c>
      <c r="S470" s="333">
        <f t="shared" si="112"/>
        <v>0</v>
      </c>
      <c r="T470" s="1177">
        <f t="shared" si="113"/>
        <v>0</v>
      </c>
      <c r="U470" s="1309">
        <f t="shared" si="107"/>
        <v>0</v>
      </c>
      <c r="V470" s="1309">
        <f t="shared" si="108"/>
        <v>0</v>
      </c>
      <c r="W470" s="1306"/>
      <c r="X470" s="1309">
        <f t="shared" si="109"/>
        <v>0</v>
      </c>
      <c r="Y470" s="1309">
        <f t="shared" si="110"/>
        <v>0</v>
      </c>
      <c r="Z470" s="1306"/>
    </row>
    <row r="471" spans="1:26">
      <c r="A471" s="74"/>
      <c r="B471" s="24"/>
      <c r="C471" s="14">
        <f t="shared" si="99"/>
        <v>1</v>
      </c>
      <c r="D471" s="706"/>
      <c r="E471" s="14">
        <f t="shared" si="100"/>
        <v>1</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1</v>
      </c>
      <c r="R471" s="702">
        <f t="shared" si="111"/>
        <v>0</v>
      </c>
      <c r="S471" s="333">
        <f t="shared" si="112"/>
        <v>0</v>
      </c>
      <c r="T471" s="1177">
        <f t="shared" si="113"/>
        <v>0</v>
      </c>
      <c r="U471" s="1309">
        <f t="shared" si="107"/>
        <v>0</v>
      </c>
      <c r="V471" s="1309">
        <f t="shared" si="108"/>
        <v>0</v>
      </c>
      <c r="W471" s="1306"/>
      <c r="X471" s="1309">
        <f t="shared" si="109"/>
        <v>0</v>
      </c>
      <c r="Y471" s="1309">
        <f t="shared" si="110"/>
        <v>0</v>
      </c>
      <c r="Z471" s="1306"/>
    </row>
    <row r="472" spans="1:26">
      <c r="A472" s="74"/>
      <c r="B472" s="24"/>
      <c r="C472" s="14">
        <f t="shared" si="99"/>
        <v>1</v>
      </c>
      <c r="D472" s="706"/>
      <c r="E472" s="14">
        <f t="shared" si="100"/>
        <v>1</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1</v>
      </c>
      <c r="R472" s="702">
        <f t="shared" si="111"/>
        <v>0</v>
      </c>
      <c r="S472" s="333">
        <f t="shared" si="112"/>
        <v>0</v>
      </c>
      <c r="T472" s="1177">
        <f t="shared" si="113"/>
        <v>0</v>
      </c>
      <c r="U472" s="1309">
        <f t="shared" si="107"/>
        <v>0</v>
      </c>
      <c r="V472" s="1309">
        <f t="shared" si="108"/>
        <v>0</v>
      </c>
      <c r="W472" s="1306"/>
      <c r="X472" s="1309">
        <f t="shared" si="109"/>
        <v>0</v>
      </c>
      <c r="Y472" s="1309">
        <f t="shared" si="110"/>
        <v>0</v>
      </c>
      <c r="Z472" s="1306"/>
    </row>
    <row r="473" spans="1:26">
      <c r="A473" s="74"/>
      <c r="B473" s="24"/>
      <c r="C473" s="14">
        <f t="shared" si="99"/>
        <v>1</v>
      </c>
      <c r="D473" s="706"/>
      <c r="E473" s="14">
        <f t="shared" si="100"/>
        <v>1</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1</v>
      </c>
      <c r="R473" s="702">
        <f t="shared" si="111"/>
        <v>0</v>
      </c>
      <c r="S473" s="333">
        <f t="shared" si="112"/>
        <v>0</v>
      </c>
      <c r="T473" s="1177">
        <f t="shared" si="113"/>
        <v>0</v>
      </c>
      <c r="U473" s="1309">
        <f t="shared" si="107"/>
        <v>0</v>
      </c>
      <c r="V473" s="1309">
        <f t="shared" si="108"/>
        <v>0</v>
      </c>
      <c r="W473" s="1306"/>
      <c r="X473" s="1309">
        <f t="shared" si="109"/>
        <v>0</v>
      </c>
      <c r="Y473" s="1309">
        <f t="shared" si="110"/>
        <v>0</v>
      </c>
      <c r="Z473" s="1306"/>
    </row>
    <row r="474" spans="1:26">
      <c r="A474" s="74"/>
      <c r="B474" s="24"/>
      <c r="C474" s="14">
        <f t="shared" si="99"/>
        <v>1</v>
      </c>
      <c r="D474" s="706"/>
      <c r="E474" s="14">
        <f t="shared" si="100"/>
        <v>1</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1</v>
      </c>
      <c r="R474" s="702">
        <f t="shared" si="111"/>
        <v>0</v>
      </c>
      <c r="S474" s="333">
        <f t="shared" si="112"/>
        <v>0</v>
      </c>
      <c r="T474" s="1177">
        <f t="shared" si="113"/>
        <v>0</v>
      </c>
      <c r="U474" s="1309">
        <f t="shared" si="107"/>
        <v>0</v>
      </c>
      <c r="V474" s="1309">
        <f t="shared" si="108"/>
        <v>0</v>
      </c>
      <c r="W474" s="1306"/>
      <c r="X474" s="1309">
        <f t="shared" si="109"/>
        <v>0</v>
      </c>
      <c r="Y474" s="1309">
        <f t="shared" si="110"/>
        <v>0</v>
      </c>
      <c r="Z474" s="1306"/>
    </row>
    <row r="475" spans="1:26">
      <c r="A475" s="74"/>
      <c r="B475" s="24"/>
      <c r="C475" s="14">
        <f t="shared" si="99"/>
        <v>1</v>
      </c>
      <c r="D475" s="706"/>
      <c r="E475" s="14">
        <f t="shared" si="100"/>
        <v>1</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1</v>
      </c>
      <c r="R475" s="702">
        <f t="shared" si="111"/>
        <v>0</v>
      </c>
      <c r="S475" s="333">
        <f t="shared" si="112"/>
        <v>0</v>
      </c>
      <c r="T475" s="1177">
        <f t="shared" si="113"/>
        <v>0</v>
      </c>
      <c r="U475" s="1309">
        <f t="shared" si="107"/>
        <v>0</v>
      </c>
      <c r="V475" s="1309">
        <f t="shared" si="108"/>
        <v>0</v>
      </c>
      <c r="W475" s="1306"/>
      <c r="X475" s="1309">
        <f t="shared" si="109"/>
        <v>0</v>
      </c>
      <c r="Y475" s="1309">
        <f t="shared" si="110"/>
        <v>0</v>
      </c>
      <c r="Z475" s="1306"/>
    </row>
    <row r="476" spans="1:26">
      <c r="A476" s="74"/>
      <c r="B476" s="24"/>
      <c r="C476" s="14">
        <f t="shared" ref="C476:C527" si="114">IF(B476="",1,(LOOKUP(B476,$6:$6,$7:$7)-LOOKUP($B$27,$6:$6,$7:$7)+100)/100)</f>
        <v>1</v>
      </c>
      <c r="D476" s="706"/>
      <c r="E476" s="14">
        <f t="shared" ref="E476:E527" si="115">(SUMIF($8:$8,D476,$9:$9)-SUMIF($8:$8,$D$27,$9:$9)+100)/100</f>
        <v>1</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1</v>
      </c>
      <c r="R476" s="702">
        <f t="shared" si="111"/>
        <v>0</v>
      </c>
      <c r="S476" s="333">
        <f t="shared" si="112"/>
        <v>0</v>
      </c>
      <c r="T476" s="1177">
        <f t="shared" si="113"/>
        <v>0</v>
      </c>
      <c r="U476" s="1309">
        <f t="shared" ref="U476:U527" si="122">ROUND(W476*B476,0)</f>
        <v>0</v>
      </c>
      <c r="V476" s="1309">
        <f t="shared" ref="V476:V527" si="123">ROUND(W476*B476/10000,0)</f>
        <v>0</v>
      </c>
      <c r="W476" s="1306"/>
      <c r="X476" s="1309">
        <f t="shared" ref="X476:X527" si="124">ROUND(Z476*B476,0)</f>
        <v>0</v>
      </c>
      <c r="Y476" s="1309">
        <f t="shared" ref="Y476:Y527" si="125">ROUND(Z476*B476/10000,0)</f>
        <v>0</v>
      </c>
      <c r="Z476" s="1306"/>
    </row>
    <row r="477" spans="1:26">
      <c r="A477" s="74"/>
      <c r="B477" s="24"/>
      <c r="C477" s="14">
        <f t="shared" si="114"/>
        <v>1</v>
      </c>
      <c r="D477" s="706"/>
      <c r="E477" s="14">
        <f t="shared" si="115"/>
        <v>1</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1</v>
      </c>
      <c r="R477" s="702">
        <f t="shared" ref="R477:R527" si="126">IF(B477="",0,ROUND($R$27*C477*E477*G477*I477*K477*M477*O477*Q477,0))</f>
        <v>0</v>
      </c>
      <c r="S477" s="333">
        <f t="shared" ref="S477:S527" si="127">ROUND(R477*B477,0)</f>
        <v>0</v>
      </c>
      <c r="T477" s="1177">
        <f t="shared" ref="T477:T527" si="128">ROUND(R477*B477/10000,0)</f>
        <v>0</v>
      </c>
      <c r="U477" s="1309">
        <f t="shared" si="122"/>
        <v>0</v>
      </c>
      <c r="V477" s="1309">
        <f t="shared" si="123"/>
        <v>0</v>
      </c>
      <c r="W477" s="1306"/>
      <c r="X477" s="1309">
        <f t="shared" si="124"/>
        <v>0</v>
      </c>
      <c r="Y477" s="1309">
        <f t="shared" si="125"/>
        <v>0</v>
      </c>
      <c r="Z477" s="1306"/>
    </row>
    <row r="478" spans="1:26">
      <c r="A478" s="74"/>
      <c r="B478" s="24"/>
      <c r="C478" s="14">
        <f t="shared" si="114"/>
        <v>1</v>
      </c>
      <c r="D478" s="706"/>
      <c r="E478" s="14">
        <f t="shared" si="115"/>
        <v>1</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1</v>
      </c>
      <c r="R478" s="702">
        <f t="shared" si="126"/>
        <v>0</v>
      </c>
      <c r="S478" s="333">
        <f t="shared" si="127"/>
        <v>0</v>
      </c>
      <c r="T478" s="1177">
        <f t="shared" si="128"/>
        <v>0</v>
      </c>
      <c r="U478" s="1309">
        <f t="shared" si="122"/>
        <v>0</v>
      </c>
      <c r="V478" s="1309">
        <f t="shared" si="123"/>
        <v>0</v>
      </c>
      <c r="W478" s="1306"/>
      <c r="X478" s="1309">
        <f t="shared" si="124"/>
        <v>0</v>
      </c>
      <c r="Y478" s="1309">
        <f t="shared" si="125"/>
        <v>0</v>
      </c>
      <c r="Z478" s="1306"/>
    </row>
    <row r="479" spans="1:26">
      <c r="A479" s="74"/>
      <c r="B479" s="24"/>
      <c r="C479" s="14">
        <f t="shared" si="114"/>
        <v>1</v>
      </c>
      <c r="D479" s="706"/>
      <c r="E479" s="14">
        <f t="shared" si="115"/>
        <v>1</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1</v>
      </c>
      <c r="R479" s="702">
        <f t="shared" si="126"/>
        <v>0</v>
      </c>
      <c r="S479" s="333">
        <f t="shared" si="127"/>
        <v>0</v>
      </c>
      <c r="T479" s="1177">
        <f t="shared" si="128"/>
        <v>0</v>
      </c>
      <c r="U479" s="1309">
        <f t="shared" si="122"/>
        <v>0</v>
      </c>
      <c r="V479" s="1309">
        <f t="shared" si="123"/>
        <v>0</v>
      </c>
      <c r="W479" s="1306"/>
      <c r="X479" s="1309">
        <f t="shared" si="124"/>
        <v>0</v>
      </c>
      <c r="Y479" s="1309">
        <f t="shared" si="125"/>
        <v>0</v>
      </c>
      <c r="Z479" s="1306"/>
    </row>
    <row r="480" spans="1:26">
      <c r="A480" s="74"/>
      <c r="B480" s="24"/>
      <c r="C480" s="14">
        <f t="shared" si="114"/>
        <v>1</v>
      </c>
      <c r="D480" s="706"/>
      <c r="E480" s="14">
        <f t="shared" si="115"/>
        <v>1</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1</v>
      </c>
      <c r="R480" s="702">
        <f t="shared" si="126"/>
        <v>0</v>
      </c>
      <c r="S480" s="333">
        <f t="shared" si="127"/>
        <v>0</v>
      </c>
      <c r="T480" s="1177">
        <f t="shared" si="128"/>
        <v>0</v>
      </c>
      <c r="U480" s="1309">
        <f t="shared" si="122"/>
        <v>0</v>
      </c>
      <c r="V480" s="1309">
        <f t="shared" si="123"/>
        <v>0</v>
      </c>
      <c r="W480" s="1306"/>
      <c r="X480" s="1309">
        <f t="shared" si="124"/>
        <v>0</v>
      </c>
      <c r="Y480" s="1309">
        <f t="shared" si="125"/>
        <v>0</v>
      </c>
      <c r="Z480" s="1306"/>
    </row>
    <row r="481" spans="1:26">
      <c r="A481" s="74"/>
      <c r="B481" s="24"/>
      <c r="C481" s="14">
        <f t="shared" si="114"/>
        <v>1</v>
      </c>
      <c r="D481" s="706"/>
      <c r="E481" s="14">
        <f t="shared" si="115"/>
        <v>1</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1</v>
      </c>
      <c r="R481" s="702">
        <f t="shared" si="126"/>
        <v>0</v>
      </c>
      <c r="S481" s="333">
        <f t="shared" si="127"/>
        <v>0</v>
      </c>
      <c r="T481" s="1177">
        <f t="shared" si="128"/>
        <v>0</v>
      </c>
      <c r="U481" s="1309">
        <f t="shared" si="122"/>
        <v>0</v>
      </c>
      <c r="V481" s="1309">
        <f t="shared" si="123"/>
        <v>0</v>
      </c>
      <c r="W481" s="1306"/>
      <c r="X481" s="1309">
        <f t="shared" si="124"/>
        <v>0</v>
      </c>
      <c r="Y481" s="1309">
        <f t="shared" si="125"/>
        <v>0</v>
      </c>
      <c r="Z481" s="1306"/>
    </row>
    <row r="482" spans="1:26">
      <c r="A482" s="74"/>
      <c r="B482" s="24"/>
      <c r="C482" s="14">
        <f t="shared" si="114"/>
        <v>1</v>
      </c>
      <c r="D482" s="706"/>
      <c r="E482" s="14">
        <f t="shared" si="115"/>
        <v>1</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1</v>
      </c>
      <c r="R482" s="702">
        <f t="shared" si="126"/>
        <v>0</v>
      </c>
      <c r="S482" s="333">
        <f t="shared" si="127"/>
        <v>0</v>
      </c>
      <c r="T482" s="1177">
        <f t="shared" si="128"/>
        <v>0</v>
      </c>
      <c r="U482" s="1309">
        <f t="shared" si="122"/>
        <v>0</v>
      </c>
      <c r="V482" s="1309">
        <f t="shared" si="123"/>
        <v>0</v>
      </c>
      <c r="W482" s="1306"/>
      <c r="X482" s="1309">
        <f t="shared" si="124"/>
        <v>0</v>
      </c>
      <c r="Y482" s="1309">
        <f t="shared" si="125"/>
        <v>0</v>
      </c>
      <c r="Z482" s="1306"/>
    </row>
    <row r="483" spans="1:26">
      <c r="A483" s="74"/>
      <c r="B483" s="24"/>
      <c r="C483" s="14">
        <f t="shared" si="114"/>
        <v>1</v>
      </c>
      <c r="D483" s="706"/>
      <c r="E483" s="14">
        <f t="shared" si="115"/>
        <v>1</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1</v>
      </c>
      <c r="R483" s="702">
        <f t="shared" si="126"/>
        <v>0</v>
      </c>
      <c r="S483" s="333">
        <f t="shared" si="127"/>
        <v>0</v>
      </c>
      <c r="T483" s="1177">
        <f t="shared" si="128"/>
        <v>0</v>
      </c>
      <c r="U483" s="1309">
        <f t="shared" si="122"/>
        <v>0</v>
      </c>
      <c r="V483" s="1309">
        <f t="shared" si="123"/>
        <v>0</v>
      </c>
      <c r="W483" s="1306"/>
      <c r="X483" s="1309">
        <f t="shared" si="124"/>
        <v>0</v>
      </c>
      <c r="Y483" s="1309">
        <f t="shared" si="125"/>
        <v>0</v>
      </c>
      <c r="Z483" s="1306"/>
    </row>
    <row r="484" spans="1:26">
      <c r="A484" s="74"/>
      <c r="B484" s="24"/>
      <c r="C484" s="14">
        <f t="shared" si="114"/>
        <v>1</v>
      </c>
      <c r="D484" s="706"/>
      <c r="E484" s="14">
        <f t="shared" si="115"/>
        <v>1</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1</v>
      </c>
      <c r="R484" s="702">
        <f t="shared" si="126"/>
        <v>0</v>
      </c>
      <c r="S484" s="333">
        <f t="shared" si="127"/>
        <v>0</v>
      </c>
      <c r="T484" s="1177">
        <f t="shared" si="128"/>
        <v>0</v>
      </c>
      <c r="U484" s="1309">
        <f t="shared" si="122"/>
        <v>0</v>
      </c>
      <c r="V484" s="1309">
        <f t="shared" si="123"/>
        <v>0</v>
      </c>
      <c r="W484" s="1306"/>
      <c r="X484" s="1309">
        <f t="shared" si="124"/>
        <v>0</v>
      </c>
      <c r="Y484" s="1309">
        <f t="shared" si="125"/>
        <v>0</v>
      </c>
      <c r="Z484" s="1306"/>
    </row>
    <row r="485" spans="1:26">
      <c r="A485" s="74"/>
      <c r="B485" s="24"/>
      <c r="C485" s="14">
        <f t="shared" si="114"/>
        <v>1</v>
      </c>
      <c r="D485" s="706"/>
      <c r="E485" s="14">
        <f t="shared" si="115"/>
        <v>1</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1</v>
      </c>
      <c r="R485" s="702">
        <f t="shared" si="126"/>
        <v>0</v>
      </c>
      <c r="S485" s="333">
        <f t="shared" si="127"/>
        <v>0</v>
      </c>
      <c r="T485" s="1177">
        <f t="shared" si="128"/>
        <v>0</v>
      </c>
      <c r="U485" s="1309">
        <f t="shared" si="122"/>
        <v>0</v>
      </c>
      <c r="V485" s="1309">
        <f t="shared" si="123"/>
        <v>0</v>
      </c>
      <c r="W485" s="1306"/>
      <c r="X485" s="1309">
        <f t="shared" si="124"/>
        <v>0</v>
      </c>
      <c r="Y485" s="1309">
        <f t="shared" si="125"/>
        <v>0</v>
      </c>
      <c r="Z485" s="1306"/>
    </row>
    <row r="486" spans="1:26">
      <c r="A486" s="74"/>
      <c r="B486" s="24"/>
      <c r="C486" s="14">
        <f t="shared" si="114"/>
        <v>1</v>
      </c>
      <c r="D486" s="706"/>
      <c r="E486" s="14">
        <f t="shared" si="115"/>
        <v>1</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1</v>
      </c>
      <c r="R486" s="702">
        <f t="shared" si="126"/>
        <v>0</v>
      </c>
      <c r="S486" s="333">
        <f t="shared" si="127"/>
        <v>0</v>
      </c>
      <c r="T486" s="1177">
        <f t="shared" si="128"/>
        <v>0</v>
      </c>
      <c r="U486" s="1309">
        <f t="shared" si="122"/>
        <v>0</v>
      </c>
      <c r="V486" s="1309">
        <f t="shared" si="123"/>
        <v>0</v>
      </c>
      <c r="W486" s="1306"/>
      <c r="X486" s="1309">
        <f t="shared" si="124"/>
        <v>0</v>
      </c>
      <c r="Y486" s="1309">
        <f t="shared" si="125"/>
        <v>0</v>
      </c>
      <c r="Z486" s="1306"/>
    </row>
    <row r="487" spans="1:26">
      <c r="A487" s="74"/>
      <c r="B487" s="24"/>
      <c r="C487" s="14">
        <f t="shared" si="114"/>
        <v>1</v>
      </c>
      <c r="D487" s="706"/>
      <c r="E487" s="14">
        <f t="shared" si="115"/>
        <v>1</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1</v>
      </c>
      <c r="R487" s="702">
        <f t="shared" si="126"/>
        <v>0</v>
      </c>
      <c r="S487" s="333">
        <f t="shared" si="127"/>
        <v>0</v>
      </c>
      <c r="T487" s="1177">
        <f t="shared" si="128"/>
        <v>0</v>
      </c>
      <c r="U487" s="1309">
        <f t="shared" si="122"/>
        <v>0</v>
      </c>
      <c r="V487" s="1309">
        <f t="shared" si="123"/>
        <v>0</v>
      </c>
      <c r="W487" s="1306"/>
      <c r="X487" s="1309">
        <f t="shared" si="124"/>
        <v>0</v>
      </c>
      <c r="Y487" s="1309">
        <f t="shared" si="125"/>
        <v>0</v>
      </c>
      <c r="Z487" s="1306"/>
    </row>
    <row r="488" spans="1:26">
      <c r="A488" s="74"/>
      <c r="B488" s="24"/>
      <c r="C488" s="14">
        <f t="shared" si="114"/>
        <v>1</v>
      </c>
      <c r="D488" s="706"/>
      <c r="E488" s="14">
        <f t="shared" si="115"/>
        <v>1</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1</v>
      </c>
      <c r="R488" s="702">
        <f t="shared" si="126"/>
        <v>0</v>
      </c>
      <c r="S488" s="333">
        <f t="shared" si="127"/>
        <v>0</v>
      </c>
      <c r="T488" s="1177">
        <f t="shared" si="128"/>
        <v>0</v>
      </c>
      <c r="U488" s="1309">
        <f t="shared" si="122"/>
        <v>0</v>
      </c>
      <c r="V488" s="1309">
        <f t="shared" si="123"/>
        <v>0</v>
      </c>
      <c r="W488" s="1306"/>
      <c r="X488" s="1309">
        <f t="shared" si="124"/>
        <v>0</v>
      </c>
      <c r="Y488" s="1309">
        <f t="shared" si="125"/>
        <v>0</v>
      </c>
      <c r="Z488" s="1306"/>
    </row>
    <row r="489" spans="1:26">
      <c r="A489" s="74"/>
      <c r="B489" s="24"/>
      <c r="C489" s="14">
        <f t="shared" si="114"/>
        <v>1</v>
      </c>
      <c r="D489" s="706"/>
      <c r="E489" s="14">
        <f t="shared" si="115"/>
        <v>1</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1</v>
      </c>
      <c r="R489" s="702">
        <f t="shared" si="126"/>
        <v>0</v>
      </c>
      <c r="S489" s="333">
        <f t="shared" si="127"/>
        <v>0</v>
      </c>
      <c r="T489" s="1177">
        <f t="shared" si="128"/>
        <v>0</v>
      </c>
      <c r="U489" s="1309">
        <f t="shared" si="122"/>
        <v>0</v>
      </c>
      <c r="V489" s="1309">
        <f t="shared" si="123"/>
        <v>0</v>
      </c>
      <c r="W489" s="1306"/>
      <c r="X489" s="1309">
        <f t="shared" si="124"/>
        <v>0</v>
      </c>
      <c r="Y489" s="1309">
        <f t="shared" si="125"/>
        <v>0</v>
      </c>
      <c r="Z489" s="1306"/>
    </row>
    <row r="490" spans="1:26">
      <c r="A490" s="74"/>
      <c r="B490" s="24"/>
      <c r="C490" s="14">
        <f t="shared" si="114"/>
        <v>1</v>
      </c>
      <c r="D490" s="706"/>
      <c r="E490" s="14">
        <f t="shared" si="115"/>
        <v>1</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1</v>
      </c>
      <c r="R490" s="702">
        <f t="shared" si="126"/>
        <v>0</v>
      </c>
      <c r="S490" s="333">
        <f t="shared" si="127"/>
        <v>0</v>
      </c>
      <c r="T490" s="1177">
        <f t="shared" si="128"/>
        <v>0</v>
      </c>
      <c r="U490" s="1309">
        <f t="shared" si="122"/>
        <v>0</v>
      </c>
      <c r="V490" s="1309">
        <f t="shared" si="123"/>
        <v>0</v>
      </c>
      <c r="W490" s="1306"/>
      <c r="X490" s="1309">
        <f t="shared" si="124"/>
        <v>0</v>
      </c>
      <c r="Y490" s="1309">
        <f t="shared" si="125"/>
        <v>0</v>
      </c>
      <c r="Z490" s="1306"/>
    </row>
    <row r="491" spans="1:26">
      <c r="A491" s="74"/>
      <c r="B491" s="24"/>
      <c r="C491" s="14">
        <f t="shared" si="114"/>
        <v>1</v>
      </c>
      <c r="D491" s="706"/>
      <c r="E491" s="14">
        <f t="shared" si="115"/>
        <v>1</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1</v>
      </c>
      <c r="R491" s="702">
        <f t="shared" si="126"/>
        <v>0</v>
      </c>
      <c r="S491" s="333">
        <f t="shared" si="127"/>
        <v>0</v>
      </c>
      <c r="T491" s="1177">
        <f t="shared" si="128"/>
        <v>0</v>
      </c>
      <c r="U491" s="1309">
        <f t="shared" si="122"/>
        <v>0</v>
      </c>
      <c r="V491" s="1309">
        <f t="shared" si="123"/>
        <v>0</v>
      </c>
      <c r="W491" s="1306"/>
      <c r="X491" s="1309">
        <f t="shared" si="124"/>
        <v>0</v>
      </c>
      <c r="Y491" s="1309">
        <f t="shared" si="125"/>
        <v>0</v>
      </c>
      <c r="Z491" s="1306"/>
    </row>
    <row r="492" spans="1:26">
      <c r="A492" s="74"/>
      <c r="B492" s="24"/>
      <c r="C492" s="14">
        <f t="shared" si="114"/>
        <v>1</v>
      </c>
      <c r="D492" s="706"/>
      <c r="E492" s="14">
        <f t="shared" si="115"/>
        <v>1</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1</v>
      </c>
      <c r="R492" s="702">
        <f t="shared" si="126"/>
        <v>0</v>
      </c>
      <c r="S492" s="333">
        <f t="shared" si="127"/>
        <v>0</v>
      </c>
      <c r="T492" s="1177">
        <f t="shared" si="128"/>
        <v>0</v>
      </c>
      <c r="U492" s="1309">
        <f t="shared" si="122"/>
        <v>0</v>
      </c>
      <c r="V492" s="1309">
        <f t="shared" si="123"/>
        <v>0</v>
      </c>
      <c r="W492" s="1306"/>
      <c r="X492" s="1309">
        <f t="shared" si="124"/>
        <v>0</v>
      </c>
      <c r="Y492" s="1309">
        <f t="shared" si="125"/>
        <v>0</v>
      </c>
      <c r="Z492" s="1306"/>
    </row>
    <row r="493" spans="1:26">
      <c r="A493" s="74"/>
      <c r="B493" s="24"/>
      <c r="C493" s="14">
        <f t="shared" si="114"/>
        <v>1</v>
      </c>
      <c r="D493" s="706"/>
      <c r="E493" s="14">
        <f t="shared" si="115"/>
        <v>1</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1</v>
      </c>
      <c r="R493" s="702">
        <f t="shared" si="126"/>
        <v>0</v>
      </c>
      <c r="S493" s="333">
        <f t="shared" si="127"/>
        <v>0</v>
      </c>
      <c r="T493" s="1177">
        <f t="shared" si="128"/>
        <v>0</v>
      </c>
      <c r="U493" s="1309">
        <f t="shared" si="122"/>
        <v>0</v>
      </c>
      <c r="V493" s="1309">
        <f t="shared" si="123"/>
        <v>0</v>
      </c>
      <c r="W493" s="1306"/>
      <c r="X493" s="1309">
        <f t="shared" si="124"/>
        <v>0</v>
      </c>
      <c r="Y493" s="1309">
        <f t="shared" si="125"/>
        <v>0</v>
      </c>
      <c r="Z493" s="1306"/>
    </row>
    <row r="494" spans="1:26">
      <c r="A494" s="74"/>
      <c r="B494" s="24"/>
      <c r="C494" s="14">
        <f t="shared" si="114"/>
        <v>1</v>
      </c>
      <c r="D494" s="706"/>
      <c r="E494" s="14">
        <f t="shared" si="115"/>
        <v>1</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1</v>
      </c>
      <c r="R494" s="702">
        <f t="shared" si="126"/>
        <v>0</v>
      </c>
      <c r="S494" s="333">
        <f t="shared" si="127"/>
        <v>0</v>
      </c>
      <c r="T494" s="1177">
        <f t="shared" si="128"/>
        <v>0</v>
      </c>
      <c r="U494" s="1309">
        <f t="shared" si="122"/>
        <v>0</v>
      </c>
      <c r="V494" s="1309">
        <f t="shared" si="123"/>
        <v>0</v>
      </c>
      <c r="W494" s="1306"/>
      <c r="X494" s="1309">
        <f t="shared" si="124"/>
        <v>0</v>
      </c>
      <c r="Y494" s="1309">
        <f t="shared" si="125"/>
        <v>0</v>
      </c>
      <c r="Z494" s="1306"/>
    </row>
    <row r="495" spans="1:26">
      <c r="A495" s="74"/>
      <c r="B495" s="24"/>
      <c r="C495" s="14">
        <f t="shared" si="114"/>
        <v>1</v>
      </c>
      <c r="D495" s="706"/>
      <c r="E495" s="14">
        <f t="shared" si="115"/>
        <v>1</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1</v>
      </c>
      <c r="R495" s="702">
        <f t="shared" si="126"/>
        <v>0</v>
      </c>
      <c r="S495" s="333">
        <f t="shared" si="127"/>
        <v>0</v>
      </c>
      <c r="T495" s="1177">
        <f t="shared" si="128"/>
        <v>0</v>
      </c>
      <c r="U495" s="1309">
        <f t="shared" si="122"/>
        <v>0</v>
      </c>
      <c r="V495" s="1309">
        <f t="shared" si="123"/>
        <v>0</v>
      </c>
      <c r="W495" s="1306"/>
      <c r="X495" s="1309">
        <f t="shared" si="124"/>
        <v>0</v>
      </c>
      <c r="Y495" s="1309">
        <f t="shared" si="125"/>
        <v>0</v>
      </c>
      <c r="Z495" s="1306"/>
    </row>
    <row r="496" spans="1:26">
      <c r="A496" s="74"/>
      <c r="B496" s="24"/>
      <c r="C496" s="14">
        <f t="shared" si="114"/>
        <v>1</v>
      </c>
      <c r="D496" s="706"/>
      <c r="E496" s="14">
        <f t="shared" si="115"/>
        <v>1</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1</v>
      </c>
      <c r="R496" s="702">
        <f t="shared" si="126"/>
        <v>0</v>
      </c>
      <c r="S496" s="333">
        <f t="shared" si="127"/>
        <v>0</v>
      </c>
      <c r="T496" s="1177">
        <f t="shared" si="128"/>
        <v>0</v>
      </c>
      <c r="U496" s="1309">
        <f t="shared" si="122"/>
        <v>0</v>
      </c>
      <c r="V496" s="1309">
        <f t="shared" si="123"/>
        <v>0</v>
      </c>
      <c r="W496" s="1306"/>
      <c r="X496" s="1309">
        <f t="shared" si="124"/>
        <v>0</v>
      </c>
      <c r="Y496" s="1309">
        <f t="shared" si="125"/>
        <v>0</v>
      </c>
      <c r="Z496" s="1306"/>
    </row>
    <row r="497" spans="1:26">
      <c r="A497" s="74"/>
      <c r="B497" s="24"/>
      <c r="C497" s="14">
        <f t="shared" si="114"/>
        <v>1</v>
      </c>
      <c r="D497" s="706"/>
      <c r="E497" s="14">
        <f t="shared" si="115"/>
        <v>1</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1</v>
      </c>
      <c r="R497" s="702">
        <f t="shared" si="126"/>
        <v>0</v>
      </c>
      <c r="S497" s="333">
        <f t="shared" si="127"/>
        <v>0</v>
      </c>
      <c r="T497" s="1177">
        <f t="shared" si="128"/>
        <v>0</v>
      </c>
      <c r="U497" s="1309">
        <f t="shared" si="122"/>
        <v>0</v>
      </c>
      <c r="V497" s="1309">
        <f t="shared" si="123"/>
        <v>0</v>
      </c>
      <c r="W497" s="1306"/>
      <c r="X497" s="1309">
        <f t="shared" si="124"/>
        <v>0</v>
      </c>
      <c r="Y497" s="1309">
        <f t="shared" si="125"/>
        <v>0</v>
      </c>
      <c r="Z497" s="1306"/>
    </row>
    <row r="498" spans="1:26">
      <c r="A498" s="74"/>
      <c r="B498" s="24"/>
      <c r="C498" s="14">
        <f t="shared" si="114"/>
        <v>1</v>
      </c>
      <c r="D498" s="706"/>
      <c r="E498" s="14">
        <f t="shared" si="115"/>
        <v>1</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1</v>
      </c>
      <c r="R498" s="702">
        <f t="shared" si="126"/>
        <v>0</v>
      </c>
      <c r="S498" s="333">
        <f t="shared" si="127"/>
        <v>0</v>
      </c>
      <c r="T498" s="1177">
        <f t="shared" si="128"/>
        <v>0</v>
      </c>
      <c r="U498" s="1309">
        <f t="shared" si="122"/>
        <v>0</v>
      </c>
      <c r="V498" s="1309">
        <f t="shared" si="123"/>
        <v>0</v>
      </c>
      <c r="W498" s="1306"/>
      <c r="X498" s="1309">
        <f t="shared" si="124"/>
        <v>0</v>
      </c>
      <c r="Y498" s="1309">
        <f t="shared" si="125"/>
        <v>0</v>
      </c>
      <c r="Z498" s="1306"/>
    </row>
    <row r="499" spans="1:26">
      <c r="A499" s="74"/>
      <c r="B499" s="24"/>
      <c r="C499" s="14">
        <f t="shared" si="114"/>
        <v>1</v>
      </c>
      <c r="D499" s="706"/>
      <c r="E499" s="14">
        <f t="shared" si="115"/>
        <v>1</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1</v>
      </c>
      <c r="R499" s="702">
        <f t="shared" si="126"/>
        <v>0</v>
      </c>
      <c r="S499" s="333">
        <f t="shared" si="127"/>
        <v>0</v>
      </c>
      <c r="T499" s="1177">
        <f t="shared" si="128"/>
        <v>0</v>
      </c>
      <c r="U499" s="1309">
        <f t="shared" si="122"/>
        <v>0</v>
      </c>
      <c r="V499" s="1309">
        <f t="shared" si="123"/>
        <v>0</v>
      </c>
      <c r="W499" s="1306"/>
      <c r="X499" s="1309">
        <f t="shared" si="124"/>
        <v>0</v>
      </c>
      <c r="Y499" s="1309">
        <f t="shared" si="125"/>
        <v>0</v>
      </c>
      <c r="Z499" s="1306"/>
    </row>
    <row r="500" spans="1:26">
      <c r="A500" s="74"/>
      <c r="B500" s="24"/>
      <c r="C500" s="14">
        <f t="shared" si="114"/>
        <v>1</v>
      </c>
      <c r="D500" s="706"/>
      <c r="E500" s="14">
        <f t="shared" si="115"/>
        <v>1</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1</v>
      </c>
      <c r="R500" s="702">
        <f t="shared" si="126"/>
        <v>0</v>
      </c>
      <c r="S500" s="333">
        <f t="shared" si="127"/>
        <v>0</v>
      </c>
      <c r="T500" s="1177">
        <f t="shared" si="128"/>
        <v>0</v>
      </c>
      <c r="U500" s="1309">
        <f t="shared" si="122"/>
        <v>0</v>
      </c>
      <c r="V500" s="1309">
        <f t="shared" si="123"/>
        <v>0</v>
      </c>
      <c r="W500" s="1306"/>
      <c r="X500" s="1309">
        <f t="shared" si="124"/>
        <v>0</v>
      </c>
      <c r="Y500" s="1309">
        <f t="shared" si="125"/>
        <v>0</v>
      </c>
      <c r="Z500" s="1306"/>
    </row>
    <row r="501" spans="1:26">
      <c r="A501" s="74"/>
      <c r="B501" s="24"/>
      <c r="C501" s="14">
        <f t="shared" si="114"/>
        <v>1</v>
      </c>
      <c r="D501" s="706"/>
      <c r="E501" s="14">
        <f t="shared" si="115"/>
        <v>1</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1</v>
      </c>
      <c r="R501" s="702">
        <f t="shared" si="126"/>
        <v>0</v>
      </c>
      <c r="S501" s="333">
        <f t="shared" si="127"/>
        <v>0</v>
      </c>
      <c r="T501" s="1177">
        <f t="shared" si="128"/>
        <v>0</v>
      </c>
      <c r="U501" s="1309">
        <f t="shared" si="122"/>
        <v>0</v>
      </c>
      <c r="V501" s="1309">
        <f t="shared" si="123"/>
        <v>0</v>
      </c>
      <c r="W501" s="1306"/>
      <c r="X501" s="1309">
        <f t="shared" si="124"/>
        <v>0</v>
      </c>
      <c r="Y501" s="1309">
        <f t="shared" si="125"/>
        <v>0</v>
      </c>
      <c r="Z501" s="1306"/>
    </row>
    <row r="502" spans="1:26">
      <c r="A502" s="74"/>
      <c r="B502" s="24"/>
      <c r="C502" s="14">
        <f t="shared" si="114"/>
        <v>1</v>
      </c>
      <c r="D502" s="706"/>
      <c r="E502" s="14">
        <f t="shared" si="115"/>
        <v>1</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1</v>
      </c>
      <c r="R502" s="702">
        <f t="shared" si="126"/>
        <v>0</v>
      </c>
      <c r="S502" s="333">
        <f t="shared" si="127"/>
        <v>0</v>
      </c>
      <c r="T502" s="1177">
        <f t="shared" si="128"/>
        <v>0</v>
      </c>
      <c r="U502" s="1309">
        <f t="shared" si="122"/>
        <v>0</v>
      </c>
      <c r="V502" s="1309">
        <f t="shared" si="123"/>
        <v>0</v>
      </c>
      <c r="W502" s="1306"/>
      <c r="X502" s="1309">
        <f t="shared" si="124"/>
        <v>0</v>
      </c>
      <c r="Y502" s="1309">
        <f t="shared" si="125"/>
        <v>0</v>
      </c>
      <c r="Z502" s="1306"/>
    </row>
    <row r="503" spans="1:26">
      <c r="A503" s="74"/>
      <c r="B503" s="24"/>
      <c r="C503" s="14">
        <f t="shared" si="114"/>
        <v>1</v>
      </c>
      <c r="D503" s="706"/>
      <c r="E503" s="14">
        <f t="shared" si="115"/>
        <v>1</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1</v>
      </c>
      <c r="R503" s="702">
        <f t="shared" si="126"/>
        <v>0</v>
      </c>
      <c r="S503" s="333">
        <f t="shared" si="127"/>
        <v>0</v>
      </c>
      <c r="T503" s="1177">
        <f t="shared" si="128"/>
        <v>0</v>
      </c>
      <c r="U503" s="1309">
        <f t="shared" si="122"/>
        <v>0</v>
      </c>
      <c r="V503" s="1309">
        <f t="shared" si="123"/>
        <v>0</v>
      </c>
      <c r="W503" s="1306"/>
      <c r="X503" s="1309">
        <f t="shared" si="124"/>
        <v>0</v>
      </c>
      <c r="Y503" s="1309">
        <f t="shared" si="125"/>
        <v>0</v>
      </c>
      <c r="Z503" s="1306"/>
    </row>
    <row r="504" spans="1:26">
      <c r="A504" s="74"/>
      <c r="B504" s="24"/>
      <c r="C504" s="14">
        <f t="shared" si="114"/>
        <v>1</v>
      </c>
      <c r="D504" s="706"/>
      <c r="E504" s="14">
        <f t="shared" si="115"/>
        <v>1</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1</v>
      </c>
      <c r="R504" s="702">
        <f t="shared" si="126"/>
        <v>0</v>
      </c>
      <c r="S504" s="333">
        <f t="shared" si="127"/>
        <v>0</v>
      </c>
      <c r="T504" s="1177">
        <f t="shared" si="128"/>
        <v>0</v>
      </c>
      <c r="U504" s="1309">
        <f t="shared" si="122"/>
        <v>0</v>
      </c>
      <c r="V504" s="1309">
        <f t="shared" si="123"/>
        <v>0</v>
      </c>
      <c r="W504" s="1306"/>
      <c r="X504" s="1309">
        <f t="shared" si="124"/>
        <v>0</v>
      </c>
      <c r="Y504" s="1309">
        <f t="shared" si="125"/>
        <v>0</v>
      </c>
      <c r="Z504" s="1306"/>
    </row>
    <row r="505" spans="1:26">
      <c r="A505" s="74"/>
      <c r="B505" s="24"/>
      <c r="C505" s="14">
        <f t="shared" si="114"/>
        <v>1</v>
      </c>
      <c r="D505" s="706"/>
      <c r="E505" s="14">
        <f t="shared" si="115"/>
        <v>1</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1</v>
      </c>
      <c r="R505" s="702">
        <f t="shared" si="126"/>
        <v>0</v>
      </c>
      <c r="S505" s="333">
        <f t="shared" si="127"/>
        <v>0</v>
      </c>
      <c r="T505" s="1177">
        <f t="shared" si="128"/>
        <v>0</v>
      </c>
      <c r="U505" s="1309">
        <f t="shared" si="122"/>
        <v>0</v>
      </c>
      <c r="V505" s="1309">
        <f t="shared" si="123"/>
        <v>0</v>
      </c>
      <c r="W505" s="1306"/>
      <c r="X505" s="1309">
        <f t="shared" si="124"/>
        <v>0</v>
      </c>
      <c r="Y505" s="1309">
        <f t="shared" si="125"/>
        <v>0</v>
      </c>
      <c r="Z505" s="1306"/>
    </row>
    <row r="506" spans="1:26">
      <c r="A506" s="74"/>
      <c r="B506" s="24"/>
      <c r="C506" s="14">
        <f t="shared" si="114"/>
        <v>1</v>
      </c>
      <c r="D506" s="706"/>
      <c r="E506" s="14">
        <f t="shared" si="115"/>
        <v>1</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1</v>
      </c>
      <c r="R506" s="702">
        <f t="shared" si="126"/>
        <v>0</v>
      </c>
      <c r="S506" s="333">
        <f t="shared" si="127"/>
        <v>0</v>
      </c>
      <c r="T506" s="1177">
        <f t="shared" si="128"/>
        <v>0</v>
      </c>
      <c r="U506" s="1309">
        <f t="shared" si="122"/>
        <v>0</v>
      </c>
      <c r="V506" s="1309">
        <f t="shared" si="123"/>
        <v>0</v>
      </c>
      <c r="W506" s="1306"/>
      <c r="X506" s="1309">
        <f t="shared" si="124"/>
        <v>0</v>
      </c>
      <c r="Y506" s="1309">
        <f t="shared" si="125"/>
        <v>0</v>
      </c>
      <c r="Z506" s="1306"/>
    </row>
    <row r="507" spans="1:26">
      <c r="A507" s="74"/>
      <c r="B507" s="24"/>
      <c r="C507" s="14">
        <f t="shared" si="114"/>
        <v>1</v>
      </c>
      <c r="D507" s="706"/>
      <c r="E507" s="14">
        <f t="shared" si="115"/>
        <v>1</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1</v>
      </c>
      <c r="R507" s="702">
        <f t="shared" si="126"/>
        <v>0</v>
      </c>
      <c r="S507" s="333">
        <f t="shared" si="127"/>
        <v>0</v>
      </c>
      <c r="T507" s="1177">
        <f t="shared" si="128"/>
        <v>0</v>
      </c>
      <c r="U507" s="1309">
        <f t="shared" si="122"/>
        <v>0</v>
      </c>
      <c r="V507" s="1309">
        <f t="shared" si="123"/>
        <v>0</v>
      </c>
      <c r="W507" s="1306"/>
      <c r="X507" s="1309">
        <f t="shared" si="124"/>
        <v>0</v>
      </c>
      <c r="Y507" s="1309">
        <f t="shared" si="125"/>
        <v>0</v>
      </c>
      <c r="Z507" s="1306"/>
    </row>
    <row r="508" spans="1:26">
      <c r="A508" s="74"/>
      <c r="B508" s="24"/>
      <c r="C508" s="14">
        <f t="shared" si="114"/>
        <v>1</v>
      </c>
      <c r="D508" s="706"/>
      <c r="E508" s="14">
        <f t="shared" si="115"/>
        <v>1</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1</v>
      </c>
      <c r="R508" s="702">
        <f t="shared" si="126"/>
        <v>0</v>
      </c>
      <c r="S508" s="333">
        <f t="shared" si="127"/>
        <v>0</v>
      </c>
      <c r="T508" s="1177">
        <f t="shared" si="128"/>
        <v>0</v>
      </c>
      <c r="U508" s="1309">
        <f t="shared" si="122"/>
        <v>0</v>
      </c>
      <c r="V508" s="1309">
        <f t="shared" si="123"/>
        <v>0</v>
      </c>
      <c r="W508" s="1306"/>
      <c r="X508" s="1309">
        <f t="shared" si="124"/>
        <v>0</v>
      </c>
      <c r="Y508" s="1309">
        <f t="shared" si="125"/>
        <v>0</v>
      </c>
      <c r="Z508" s="1306"/>
    </row>
    <row r="509" spans="1:26">
      <c r="A509" s="74"/>
      <c r="B509" s="24"/>
      <c r="C509" s="14">
        <f t="shared" si="114"/>
        <v>1</v>
      </c>
      <c r="D509" s="706"/>
      <c r="E509" s="14">
        <f t="shared" si="115"/>
        <v>1</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1</v>
      </c>
      <c r="R509" s="702">
        <f t="shared" si="126"/>
        <v>0</v>
      </c>
      <c r="S509" s="333">
        <f t="shared" si="127"/>
        <v>0</v>
      </c>
      <c r="T509" s="1177">
        <f t="shared" si="128"/>
        <v>0</v>
      </c>
      <c r="U509" s="1309">
        <f t="shared" si="122"/>
        <v>0</v>
      </c>
      <c r="V509" s="1309">
        <f t="shared" si="123"/>
        <v>0</v>
      </c>
      <c r="W509" s="1306"/>
      <c r="X509" s="1309">
        <f t="shared" si="124"/>
        <v>0</v>
      </c>
      <c r="Y509" s="1309">
        <f t="shared" si="125"/>
        <v>0</v>
      </c>
      <c r="Z509" s="1306"/>
    </row>
    <row r="510" spans="1:26">
      <c r="A510" s="74"/>
      <c r="B510" s="24"/>
      <c r="C510" s="14">
        <f t="shared" si="114"/>
        <v>1</v>
      </c>
      <c r="D510" s="706"/>
      <c r="E510" s="14">
        <f t="shared" si="115"/>
        <v>1</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1</v>
      </c>
      <c r="R510" s="702">
        <f t="shared" si="126"/>
        <v>0</v>
      </c>
      <c r="S510" s="333">
        <f t="shared" si="127"/>
        <v>0</v>
      </c>
      <c r="T510" s="1177">
        <f t="shared" si="128"/>
        <v>0</v>
      </c>
      <c r="U510" s="1309">
        <f t="shared" si="122"/>
        <v>0</v>
      </c>
      <c r="V510" s="1309">
        <f t="shared" si="123"/>
        <v>0</v>
      </c>
      <c r="W510" s="1306"/>
      <c r="X510" s="1309">
        <f t="shared" si="124"/>
        <v>0</v>
      </c>
      <c r="Y510" s="1309">
        <f t="shared" si="125"/>
        <v>0</v>
      </c>
      <c r="Z510" s="1306"/>
    </row>
    <row r="511" spans="1:26">
      <c r="A511" s="74"/>
      <c r="B511" s="24"/>
      <c r="C511" s="14">
        <f t="shared" si="114"/>
        <v>1</v>
      </c>
      <c r="D511" s="706"/>
      <c r="E511" s="14">
        <f t="shared" si="115"/>
        <v>1</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1</v>
      </c>
      <c r="R511" s="702">
        <f t="shared" si="126"/>
        <v>0</v>
      </c>
      <c r="S511" s="333">
        <f t="shared" si="127"/>
        <v>0</v>
      </c>
      <c r="T511" s="1177">
        <f t="shared" si="128"/>
        <v>0</v>
      </c>
      <c r="U511" s="1309">
        <f t="shared" si="122"/>
        <v>0</v>
      </c>
      <c r="V511" s="1309">
        <f t="shared" si="123"/>
        <v>0</v>
      </c>
      <c r="W511" s="1306"/>
      <c r="X511" s="1309">
        <f t="shared" si="124"/>
        <v>0</v>
      </c>
      <c r="Y511" s="1309">
        <f t="shared" si="125"/>
        <v>0</v>
      </c>
      <c r="Z511" s="1306"/>
    </row>
    <row r="512" spans="1:26">
      <c r="A512" s="74"/>
      <c r="B512" s="24"/>
      <c r="C512" s="14">
        <f t="shared" si="114"/>
        <v>1</v>
      </c>
      <c r="D512" s="706"/>
      <c r="E512" s="14">
        <f t="shared" si="115"/>
        <v>1</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1</v>
      </c>
      <c r="R512" s="702">
        <f t="shared" si="126"/>
        <v>0</v>
      </c>
      <c r="S512" s="333">
        <f t="shared" si="127"/>
        <v>0</v>
      </c>
      <c r="T512" s="1177">
        <f t="shared" si="128"/>
        <v>0</v>
      </c>
      <c r="U512" s="1309">
        <f t="shared" si="122"/>
        <v>0</v>
      </c>
      <c r="V512" s="1309">
        <f t="shared" si="123"/>
        <v>0</v>
      </c>
      <c r="W512" s="1306"/>
      <c r="X512" s="1309">
        <f t="shared" si="124"/>
        <v>0</v>
      </c>
      <c r="Y512" s="1309">
        <f t="shared" si="125"/>
        <v>0</v>
      </c>
      <c r="Z512" s="1306"/>
    </row>
    <row r="513" spans="1:26">
      <c r="A513" s="74"/>
      <c r="B513" s="24"/>
      <c r="C513" s="14">
        <f t="shared" si="114"/>
        <v>1</v>
      </c>
      <c r="D513" s="706"/>
      <c r="E513" s="14">
        <f t="shared" si="115"/>
        <v>1</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1</v>
      </c>
      <c r="R513" s="702">
        <f t="shared" si="126"/>
        <v>0</v>
      </c>
      <c r="S513" s="333">
        <f t="shared" si="127"/>
        <v>0</v>
      </c>
      <c r="T513" s="1177">
        <f t="shared" si="128"/>
        <v>0</v>
      </c>
      <c r="U513" s="1309">
        <f t="shared" si="122"/>
        <v>0</v>
      </c>
      <c r="V513" s="1309">
        <f t="shared" si="123"/>
        <v>0</v>
      </c>
      <c r="W513" s="1306"/>
      <c r="X513" s="1309">
        <f t="shared" si="124"/>
        <v>0</v>
      </c>
      <c r="Y513" s="1309">
        <f t="shared" si="125"/>
        <v>0</v>
      </c>
      <c r="Z513" s="1306"/>
    </row>
    <row r="514" spans="1:26">
      <c r="A514" s="74"/>
      <c r="B514" s="24"/>
      <c r="C514" s="14">
        <f t="shared" si="114"/>
        <v>1</v>
      </c>
      <c r="D514" s="706"/>
      <c r="E514" s="14">
        <f t="shared" si="115"/>
        <v>1</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1</v>
      </c>
      <c r="R514" s="702">
        <f t="shared" si="126"/>
        <v>0</v>
      </c>
      <c r="S514" s="333">
        <f t="shared" si="127"/>
        <v>0</v>
      </c>
      <c r="T514" s="1177">
        <f t="shared" si="128"/>
        <v>0</v>
      </c>
      <c r="U514" s="1309">
        <f t="shared" si="122"/>
        <v>0</v>
      </c>
      <c r="V514" s="1309">
        <f t="shared" si="123"/>
        <v>0</v>
      </c>
      <c r="W514" s="1306"/>
      <c r="X514" s="1309">
        <f t="shared" si="124"/>
        <v>0</v>
      </c>
      <c r="Y514" s="1309">
        <f t="shared" si="125"/>
        <v>0</v>
      </c>
      <c r="Z514" s="1306"/>
    </row>
    <row r="515" spans="1:26">
      <c r="A515" s="74"/>
      <c r="B515" s="24"/>
      <c r="C515" s="14">
        <f t="shared" si="114"/>
        <v>1</v>
      </c>
      <c r="D515" s="706"/>
      <c r="E515" s="14">
        <f t="shared" si="115"/>
        <v>1</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1</v>
      </c>
      <c r="R515" s="702">
        <f t="shared" si="126"/>
        <v>0</v>
      </c>
      <c r="S515" s="333">
        <f t="shared" si="127"/>
        <v>0</v>
      </c>
      <c r="T515" s="1177">
        <f t="shared" si="128"/>
        <v>0</v>
      </c>
      <c r="U515" s="1309">
        <f t="shared" si="122"/>
        <v>0</v>
      </c>
      <c r="V515" s="1309">
        <f t="shared" si="123"/>
        <v>0</v>
      </c>
      <c r="W515" s="1306"/>
      <c r="X515" s="1309">
        <f t="shared" si="124"/>
        <v>0</v>
      </c>
      <c r="Y515" s="1309">
        <f t="shared" si="125"/>
        <v>0</v>
      </c>
      <c r="Z515" s="1306"/>
    </row>
    <row r="516" spans="1:26">
      <c r="A516" s="74"/>
      <c r="B516" s="24"/>
      <c r="C516" s="14">
        <f t="shared" si="114"/>
        <v>1</v>
      </c>
      <c r="D516" s="706"/>
      <c r="E516" s="14">
        <f t="shared" si="115"/>
        <v>1</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1</v>
      </c>
      <c r="R516" s="702">
        <f t="shared" si="126"/>
        <v>0</v>
      </c>
      <c r="S516" s="333">
        <f t="shared" si="127"/>
        <v>0</v>
      </c>
      <c r="T516" s="1177">
        <f t="shared" si="128"/>
        <v>0</v>
      </c>
      <c r="U516" s="1309">
        <f t="shared" si="122"/>
        <v>0</v>
      </c>
      <c r="V516" s="1309">
        <f t="shared" si="123"/>
        <v>0</v>
      </c>
      <c r="W516" s="1306"/>
      <c r="X516" s="1309">
        <f t="shared" si="124"/>
        <v>0</v>
      </c>
      <c r="Y516" s="1309">
        <f t="shared" si="125"/>
        <v>0</v>
      </c>
      <c r="Z516" s="1306"/>
    </row>
    <row r="517" spans="1:26">
      <c r="A517" s="74"/>
      <c r="B517" s="24"/>
      <c r="C517" s="14">
        <f t="shared" si="114"/>
        <v>1</v>
      </c>
      <c r="D517" s="706"/>
      <c r="E517" s="14">
        <f t="shared" si="115"/>
        <v>1</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1</v>
      </c>
      <c r="R517" s="702">
        <f t="shared" si="126"/>
        <v>0</v>
      </c>
      <c r="S517" s="333">
        <f t="shared" si="127"/>
        <v>0</v>
      </c>
      <c r="T517" s="1177">
        <f t="shared" si="128"/>
        <v>0</v>
      </c>
      <c r="U517" s="1309">
        <f t="shared" si="122"/>
        <v>0</v>
      </c>
      <c r="V517" s="1309">
        <f t="shared" si="123"/>
        <v>0</v>
      </c>
      <c r="W517" s="1306"/>
      <c r="X517" s="1309">
        <f t="shared" si="124"/>
        <v>0</v>
      </c>
      <c r="Y517" s="1309">
        <f t="shared" si="125"/>
        <v>0</v>
      </c>
      <c r="Z517" s="1306"/>
    </row>
    <row r="518" spans="1:26">
      <c r="A518" s="74"/>
      <c r="B518" s="24"/>
      <c r="C518" s="14">
        <f t="shared" si="114"/>
        <v>1</v>
      </c>
      <c r="D518" s="706"/>
      <c r="E518" s="14">
        <f t="shared" si="115"/>
        <v>1</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1</v>
      </c>
      <c r="R518" s="702">
        <f t="shared" si="126"/>
        <v>0</v>
      </c>
      <c r="S518" s="333">
        <f t="shared" si="127"/>
        <v>0</v>
      </c>
      <c r="T518" s="1177">
        <f t="shared" si="128"/>
        <v>0</v>
      </c>
      <c r="U518" s="1309">
        <f t="shared" si="122"/>
        <v>0</v>
      </c>
      <c r="V518" s="1309">
        <f t="shared" si="123"/>
        <v>0</v>
      </c>
      <c r="W518" s="1306"/>
      <c r="X518" s="1309">
        <f t="shared" si="124"/>
        <v>0</v>
      </c>
      <c r="Y518" s="1309">
        <f t="shared" si="125"/>
        <v>0</v>
      </c>
      <c r="Z518" s="1306"/>
    </row>
    <row r="519" spans="1:26">
      <c r="A519" s="74"/>
      <c r="B519" s="24"/>
      <c r="C519" s="14">
        <f t="shared" si="114"/>
        <v>1</v>
      </c>
      <c r="D519" s="706"/>
      <c r="E519" s="14">
        <f t="shared" si="115"/>
        <v>1</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1</v>
      </c>
      <c r="R519" s="702">
        <f t="shared" si="126"/>
        <v>0</v>
      </c>
      <c r="S519" s="333">
        <f t="shared" si="127"/>
        <v>0</v>
      </c>
      <c r="T519" s="1177">
        <f t="shared" si="128"/>
        <v>0</v>
      </c>
      <c r="U519" s="1309">
        <f t="shared" si="122"/>
        <v>0</v>
      </c>
      <c r="V519" s="1309">
        <f t="shared" si="123"/>
        <v>0</v>
      </c>
      <c r="W519" s="1306"/>
      <c r="X519" s="1309">
        <f t="shared" si="124"/>
        <v>0</v>
      </c>
      <c r="Y519" s="1309">
        <f t="shared" si="125"/>
        <v>0</v>
      </c>
      <c r="Z519" s="1306"/>
    </row>
    <row r="520" spans="1:26">
      <c r="A520" s="74"/>
      <c r="B520" s="24"/>
      <c r="C520" s="14">
        <f t="shared" si="114"/>
        <v>1</v>
      </c>
      <c r="D520" s="706"/>
      <c r="E520" s="14">
        <f t="shared" si="115"/>
        <v>1</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1</v>
      </c>
      <c r="R520" s="702">
        <f t="shared" si="126"/>
        <v>0</v>
      </c>
      <c r="S520" s="333">
        <f t="shared" si="127"/>
        <v>0</v>
      </c>
      <c r="T520" s="1177">
        <f t="shared" si="128"/>
        <v>0</v>
      </c>
      <c r="U520" s="1309">
        <f t="shared" si="122"/>
        <v>0</v>
      </c>
      <c r="V520" s="1309">
        <f t="shared" si="123"/>
        <v>0</v>
      </c>
      <c r="W520" s="1306"/>
      <c r="X520" s="1309">
        <f t="shared" si="124"/>
        <v>0</v>
      </c>
      <c r="Y520" s="1309">
        <f t="shared" si="125"/>
        <v>0</v>
      </c>
      <c r="Z520" s="1306"/>
    </row>
    <row r="521" spans="1:26">
      <c r="A521" s="74"/>
      <c r="B521" s="24"/>
      <c r="C521" s="14">
        <f t="shared" si="114"/>
        <v>1</v>
      </c>
      <c r="D521" s="706"/>
      <c r="E521" s="14">
        <f t="shared" si="115"/>
        <v>1</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1</v>
      </c>
      <c r="R521" s="702">
        <f t="shared" si="126"/>
        <v>0</v>
      </c>
      <c r="S521" s="333">
        <f t="shared" si="127"/>
        <v>0</v>
      </c>
      <c r="T521" s="1177">
        <f t="shared" si="128"/>
        <v>0</v>
      </c>
      <c r="U521" s="1309">
        <f t="shared" si="122"/>
        <v>0</v>
      </c>
      <c r="V521" s="1309">
        <f t="shared" si="123"/>
        <v>0</v>
      </c>
      <c r="W521" s="1306"/>
      <c r="X521" s="1309">
        <f t="shared" si="124"/>
        <v>0</v>
      </c>
      <c r="Y521" s="1309">
        <f t="shared" si="125"/>
        <v>0</v>
      </c>
      <c r="Z521" s="1306"/>
    </row>
    <row r="522" spans="1:26">
      <c r="A522" s="74"/>
      <c r="B522" s="24"/>
      <c r="C522" s="14">
        <f t="shared" si="114"/>
        <v>1</v>
      </c>
      <c r="D522" s="706"/>
      <c r="E522" s="14">
        <f t="shared" si="115"/>
        <v>1</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1</v>
      </c>
      <c r="R522" s="702">
        <f t="shared" si="126"/>
        <v>0</v>
      </c>
      <c r="S522" s="333">
        <f t="shared" si="127"/>
        <v>0</v>
      </c>
      <c r="T522" s="1177">
        <f t="shared" si="128"/>
        <v>0</v>
      </c>
      <c r="U522" s="1309">
        <f t="shared" si="122"/>
        <v>0</v>
      </c>
      <c r="V522" s="1309">
        <f t="shared" si="123"/>
        <v>0</v>
      </c>
      <c r="W522" s="1306"/>
      <c r="X522" s="1309">
        <f t="shared" si="124"/>
        <v>0</v>
      </c>
      <c r="Y522" s="1309">
        <f t="shared" si="125"/>
        <v>0</v>
      </c>
      <c r="Z522" s="1306"/>
    </row>
    <row r="523" spans="1:26">
      <c r="A523" s="74"/>
      <c r="B523" s="24"/>
      <c r="C523" s="14">
        <f t="shared" si="114"/>
        <v>1</v>
      </c>
      <c r="D523" s="706"/>
      <c r="E523" s="14">
        <f t="shared" si="115"/>
        <v>1</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1</v>
      </c>
      <c r="R523" s="702">
        <f t="shared" si="126"/>
        <v>0</v>
      </c>
      <c r="S523" s="333">
        <f t="shared" si="127"/>
        <v>0</v>
      </c>
      <c r="T523" s="1177">
        <f t="shared" si="128"/>
        <v>0</v>
      </c>
      <c r="U523" s="1309">
        <f t="shared" si="122"/>
        <v>0</v>
      </c>
      <c r="V523" s="1309">
        <f t="shared" si="123"/>
        <v>0</v>
      </c>
      <c r="W523" s="1306"/>
      <c r="X523" s="1309">
        <f t="shared" si="124"/>
        <v>0</v>
      </c>
      <c r="Y523" s="1309">
        <f t="shared" si="125"/>
        <v>0</v>
      </c>
      <c r="Z523" s="1306"/>
    </row>
    <row r="524" spans="1:26">
      <c r="A524" s="74"/>
      <c r="B524" s="24"/>
      <c r="C524" s="14">
        <f t="shared" si="114"/>
        <v>1</v>
      </c>
      <c r="D524" s="706"/>
      <c r="E524" s="14">
        <f t="shared" si="115"/>
        <v>1</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1</v>
      </c>
      <c r="R524" s="702">
        <f t="shared" si="126"/>
        <v>0</v>
      </c>
      <c r="S524" s="333">
        <f t="shared" si="127"/>
        <v>0</v>
      </c>
      <c r="T524" s="1177">
        <f t="shared" si="128"/>
        <v>0</v>
      </c>
      <c r="U524" s="1309">
        <f t="shared" si="122"/>
        <v>0</v>
      </c>
      <c r="V524" s="1309">
        <f t="shared" si="123"/>
        <v>0</v>
      </c>
      <c r="W524" s="1306"/>
      <c r="X524" s="1309">
        <f t="shared" si="124"/>
        <v>0</v>
      </c>
      <c r="Y524" s="1309">
        <f t="shared" si="125"/>
        <v>0</v>
      </c>
      <c r="Z524" s="1306"/>
    </row>
    <row r="525" spans="1:26">
      <c r="A525" s="74"/>
      <c r="B525" s="24"/>
      <c r="C525" s="14">
        <f t="shared" si="114"/>
        <v>1</v>
      </c>
      <c r="D525" s="706"/>
      <c r="E525" s="14">
        <f t="shared" si="115"/>
        <v>1</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1</v>
      </c>
      <c r="R525" s="702">
        <f t="shared" si="126"/>
        <v>0</v>
      </c>
      <c r="S525" s="333">
        <f t="shared" si="127"/>
        <v>0</v>
      </c>
      <c r="T525" s="1177">
        <f t="shared" si="128"/>
        <v>0</v>
      </c>
      <c r="U525" s="1309">
        <f t="shared" si="122"/>
        <v>0</v>
      </c>
      <c r="V525" s="1309">
        <f t="shared" si="123"/>
        <v>0</v>
      </c>
      <c r="W525" s="1306"/>
      <c r="X525" s="1309">
        <f t="shared" si="124"/>
        <v>0</v>
      </c>
      <c r="Y525" s="1309">
        <f t="shared" si="125"/>
        <v>0</v>
      </c>
      <c r="Z525" s="1306"/>
    </row>
    <row r="526" spans="1:26">
      <c r="A526" s="74"/>
      <c r="B526" s="24"/>
      <c r="C526" s="14">
        <f t="shared" si="114"/>
        <v>1</v>
      </c>
      <c r="D526" s="706"/>
      <c r="E526" s="14">
        <f t="shared" si="115"/>
        <v>1</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1</v>
      </c>
      <c r="R526" s="702">
        <f t="shared" si="126"/>
        <v>0</v>
      </c>
      <c r="S526" s="333">
        <f t="shared" si="127"/>
        <v>0</v>
      </c>
      <c r="T526" s="1177">
        <f t="shared" si="128"/>
        <v>0</v>
      </c>
      <c r="U526" s="1309">
        <f t="shared" si="122"/>
        <v>0</v>
      </c>
      <c r="V526" s="1309">
        <f t="shared" si="123"/>
        <v>0</v>
      </c>
      <c r="W526" s="1306"/>
      <c r="X526" s="1309">
        <f t="shared" si="124"/>
        <v>0</v>
      </c>
      <c r="Y526" s="1309">
        <f t="shared" si="125"/>
        <v>0</v>
      </c>
      <c r="Z526" s="1306"/>
    </row>
    <row r="527" spans="1:26">
      <c r="A527" s="74"/>
      <c r="B527" s="24"/>
      <c r="C527" s="14">
        <f t="shared" si="114"/>
        <v>1</v>
      </c>
      <c r="D527" s="706"/>
      <c r="E527" s="14">
        <f t="shared" si="115"/>
        <v>1</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1</v>
      </c>
      <c r="R527" s="702">
        <f t="shared" si="126"/>
        <v>0</v>
      </c>
      <c r="S527" s="333">
        <f t="shared" si="127"/>
        <v>0</v>
      </c>
      <c r="T527" s="1177">
        <f t="shared" si="128"/>
        <v>0</v>
      </c>
      <c r="U527" s="1309">
        <f t="shared" si="122"/>
        <v>0</v>
      </c>
      <c r="V527" s="1309">
        <f t="shared" si="123"/>
        <v>0</v>
      </c>
      <c r="W527" s="1306"/>
      <c r="X527" s="1309">
        <f t="shared" si="124"/>
        <v>0</v>
      </c>
      <c r="Y527" s="1309">
        <f t="shared" si="125"/>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2339</v>
      </c>
      <c r="B1" s="1729" t="s">
        <v>2452</v>
      </c>
      <c r="C1" s="1721"/>
      <c r="D1" s="2449"/>
      <c r="E1" s="2379"/>
      <c r="F1" s="1735" t="s">
        <v>2341</v>
      </c>
      <c r="G1" s="1734"/>
      <c r="H1" s="1734"/>
      <c r="I1" s="1734"/>
      <c r="J1" s="1734"/>
      <c r="K1" s="1736"/>
      <c r="L1" s="1728"/>
      <c r="M1" s="1729"/>
      <c r="N1" s="1729"/>
      <c r="O1" s="1729"/>
      <c r="P1" s="2380"/>
      <c r="Q1" s="1730"/>
      <c r="R1" s="1730"/>
      <c r="S1" s="1730"/>
      <c r="T1" s="1730"/>
      <c r="U1" s="1730"/>
      <c r="V1" s="1730"/>
      <c r="W1" s="1730"/>
      <c r="X1" s="1730"/>
      <c r="Y1" s="1730"/>
      <c r="Z1" s="1730"/>
      <c r="AA1" s="1730"/>
      <c r="AB1" s="1730"/>
      <c r="AC1" s="1731"/>
    </row>
    <row r="2" spans="1:29" s="376" customFormat="1" ht="28.5" customHeight="1" thickTop="1">
      <c r="A2" s="1722" t="s">
        <v>2009</v>
      </c>
      <c r="B2" s="1720" t="e">
        <f ca="1">IF(D2="——",IF(C2="元",ROUND(C49*D3,0),ROUND(C49*D3/10000,0)),IF(C2="元",ROUND(C49*D3,0),ROUND(C49*D3/10000,0))-E2)</f>
        <v>#DIV/0!</v>
      </c>
      <c r="C2" s="162" t="str">
        <f>'数据-取费表'!B3</f>
        <v>元</v>
      </c>
      <c r="D2" s="2381"/>
      <c r="E2" s="2450" t="e">
        <f ca="1">SUMIF(INDIRECT("'"&amp;G2&amp;"'"&amp;"!A:A"),"承租人权益价值",INDIRECT("'"&amp;G2&amp;"'"&amp;"!c:c"))</f>
        <v>#REF!</v>
      </c>
      <c r="F2" s="2382" t="str">
        <f>C2</f>
        <v>元</v>
      </c>
      <c r="G2" s="2383"/>
      <c r="H2" s="979"/>
      <c r="I2" s="979"/>
      <c r="J2" s="979"/>
      <c r="K2" s="979"/>
      <c r="L2" s="1236"/>
      <c r="M2" s="1237"/>
      <c r="N2" s="1237"/>
      <c r="O2" s="1237"/>
      <c r="P2" s="2451"/>
      <c r="Q2" s="745"/>
      <c r="R2" s="745"/>
      <c r="S2" s="745"/>
      <c r="T2" s="745"/>
      <c r="U2" s="745"/>
      <c r="V2" s="745"/>
      <c r="W2" s="745"/>
      <c r="X2" s="745"/>
      <c r="Y2" s="745"/>
      <c r="Z2" s="745"/>
      <c r="AA2" s="745"/>
      <c r="AB2" s="745"/>
      <c r="AC2" s="746"/>
    </row>
    <row r="3" spans="1:29" s="376" customFormat="1" ht="28.5" customHeight="1" thickBot="1">
      <c r="A3" s="166" t="s">
        <v>2010</v>
      </c>
      <c r="B3" s="592" t="e">
        <f ca="1">ROUND(IF(D2="——",C49,IF(C2="万元",B2*10000/D3,B2/D3)),0)</f>
        <v>#DIV/0!</v>
      </c>
      <c r="C3" s="378" t="s">
        <v>2342</v>
      </c>
      <c r="D3" s="377">
        <f>IF(C1="仅计算典型户型",'数据-取费表'!E5,'数据-取费表'!B5)</f>
        <v>103.71</v>
      </c>
      <c r="E3" s="2452"/>
      <c r="F3" s="980"/>
      <c r="G3" s="979"/>
      <c r="H3" s="979"/>
      <c r="I3" s="979"/>
      <c r="J3" s="979"/>
      <c r="K3" s="981"/>
      <c r="L3" s="1236"/>
      <c r="M3" s="1237"/>
      <c r="N3" s="1237"/>
      <c r="O3" s="1237"/>
      <c r="P3" s="2451"/>
      <c r="Q3" s="745"/>
      <c r="R3" s="745"/>
      <c r="S3" s="745"/>
      <c r="T3" s="745"/>
      <c r="U3" s="745"/>
      <c r="V3" s="745"/>
      <c r="W3" s="745"/>
      <c r="X3" s="745"/>
      <c r="Y3" s="745"/>
      <c r="Z3" s="745"/>
      <c r="AA3" s="745"/>
      <c r="AB3" s="745"/>
      <c r="AC3" s="759"/>
    </row>
    <row r="4" spans="1:29" ht="15">
      <c r="A4" s="379" t="s">
        <v>2343</v>
      </c>
      <c r="B4" s="380"/>
      <c r="C4" s="2993" t="s">
        <v>2344</v>
      </c>
      <c r="D4" s="2994"/>
      <c r="E4" s="2995" t="s">
        <v>2345</v>
      </c>
      <c r="F4" s="2996"/>
      <c r="G4" s="2993" t="s">
        <v>2346</v>
      </c>
      <c r="H4" s="2994"/>
      <c r="I4" s="2993" t="s">
        <v>2347</v>
      </c>
      <c r="J4" s="2994"/>
      <c r="K4" s="593"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3009" t="s">
        <v>2346</v>
      </c>
      <c r="AC4" s="2990" t="s">
        <v>2347</v>
      </c>
    </row>
    <row r="5" spans="1:29" ht="15">
      <c r="A5" s="382"/>
      <c r="B5" s="383"/>
      <c r="C5" s="3012" t="s">
        <v>2350</v>
      </c>
      <c r="D5" s="3013"/>
      <c r="E5" s="3044" t="s">
        <v>2351</v>
      </c>
      <c r="F5" s="3011"/>
      <c r="G5" s="3012" t="s">
        <v>2352</v>
      </c>
      <c r="H5" s="3013"/>
      <c r="I5" s="3012" t="s">
        <v>2353</v>
      </c>
      <c r="J5" s="3013"/>
      <c r="K5" s="593"/>
      <c r="L5" s="1238"/>
      <c r="M5" s="1239"/>
      <c r="N5" s="1239"/>
      <c r="O5" s="1239"/>
      <c r="P5" s="2999"/>
      <c r="Q5" s="3000"/>
      <c r="R5" s="3005"/>
      <c r="S5" s="3006"/>
      <c r="T5" s="3005"/>
      <c r="U5" s="3006"/>
      <c r="V5" s="3009"/>
      <c r="W5" s="3009"/>
      <c r="X5" s="1895"/>
      <c r="Y5" s="3005"/>
      <c r="Z5" s="3006"/>
      <c r="AA5" s="2991"/>
      <c r="AB5" s="3009"/>
      <c r="AC5" s="2991"/>
    </row>
    <row r="6" spans="1:29" ht="15.75" thickBot="1">
      <c r="A6" s="384"/>
      <c r="B6" s="385"/>
      <c r="C6" s="3014" t="s">
        <v>2354</v>
      </c>
      <c r="D6" s="3015"/>
      <c r="E6" s="3016" t="s">
        <v>2354</v>
      </c>
      <c r="F6" s="3017"/>
      <c r="G6" s="3014" t="s">
        <v>2354</v>
      </c>
      <c r="H6" s="3015"/>
      <c r="I6" s="3014" t="s">
        <v>2354</v>
      </c>
      <c r="J6" s="3015"/>
      <c r="K6" s="593" t="s">
        <v>2355</v>
      </c>
      <c r="L6" s="1238"/>
      <c r="M6" s="1239"/>
      <c r="N6" s="1239"/>
      <c r="O6" s="1239"/>
      <c r="P6" s="3001"/>
      <c r="Q6" s="3002"/>
      <c r="R6" s="3005"/>
      <c r="S6" s="3006"/>
      <c r="T6" s="3007"/>
      <c r="U6" s="3008"/>
      <c r="V6" s="3009"/>
      <c r="W6" s="3009"/>
      <c r="X6" s="1895"/>
      <c r="Y6" s="3007"/>
      <c r="Z6" s="3008"/>
      <c r="AA6" s="2992"/>
      <c r="AB6" s="3009"/>
      <c r="AC6" s="2992"/>
    </row>
    <row r="7" spans="1:29" s="35" customFormat="1" ht="15.75" thickBot="1">
      <c r="A7" s="386" t="s">
        <v>2356</v>
      </c>
      <c r="B7" s="387"/>
      <c r="C7" s="388">
        <f>'数据-取费表'!B2</f>
        <v>43257</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25" t="s">
        <v>2357</v>
      </c>
      <c r="Q7" s="3027"/>
      <c r="R7" s="747" t="s">
        <v>25</v>
      </c>
      <c r="S7" s="748">
        <f t="shared" ref="S7:S15" si="0">F7</f>
        <v>0</v>
      </c>
      <c r="T7" s="747" t="s">
        <v>25</v>
      </c>
      <c r="U7" s="748">
        <f t="shared" ref="U7:U15" si="1">H7</f>
        <v>0</v>
      </c>
      <c r="V7" s="747" t="s">
        <v>25</v>
      </c>
      <c r="W7" s="748">
        <f t="shared" ref="W7:W15" si="2">J7</f>
        <v>0</v>
      </c>
      <c r="X7" s="749"/>
      <c r="Y7" s="3025" t="s">
        <v>2357</v>
      </c>
      <c r="Z7" s="3026"/>
      <c r="AA7" s="750" t="e">
        <f>D7/F7</f>
        <v>#DIV/0!</v>
      </c>
      <c r="AB7" s="750" t="e">
        <f>D7/H7</f>
        <v>#DIV/0!</v>
      </c>
      <c r="AC7" s="750" t="e">
        <f>D7/J7</f>
        <v>#DIV/0!</v>
      </c>
    </row>
    <row r="8" spans="1:29" s="35" customFormat="1" ht="15.75" thickBot="1">
      <c r="A8" s="386" t="s">
        <v>2358</v>
      </c>
      <c r="B8" s="387"/>
      <c r="C8" s="393" t="s">
        <v>2359</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25" t="s">
        <v>2360</v>
      </c>
      <c r="Q8" s="3026"/>
      <c r="R8" s="747" t="s">
        <v>25</v>
      </c>
      <c r="S8" s="748">
        <f t="shared" si="0"/>
        <v>0</v>
      </c>
      <c r="T8" s="747" t="s">
        <v>25</v>
      </c>
      <c r="U8" s="748">
        <f t="shared" si="1"/>
        <v>0</v>
      </c>
      <c r="V8" s="747" t="s">
        <v>25</v>
      </c>
      <c r="W8" s="748">
        <f t="shared" si="2"/>
        <v>0</v>
      </c>
      <c r="X8" s="749"/>
      <c r="Y8" s="3025" t="s">
        <v>2360</v>
      </c>
      <c r="Z8" s="3026"/>
      <c r="AA8" s="750" t="e">
        <f t="shared" ref="AA8:AA46" si="3">D8/F8</f>
        <v>#DIV/0!</v>
      </c>
      <c r="AB8" s="750" t="e">
        <f t="shared" ref="AB8:AB46" si="4">D8/H8</f>
        <v>#DIV/0!</v>
      </c>
      <c r="AC8" s="750" t="e">
        <f t="shared" ref="AC8:AC46" si="5">D8/J8</f>
        <v>#DIV/0!</v>
      </c>
    </row>
    <row r="9" spans="1:29" s="35" customFormat="1">
      <c r="A9" s="394" t="s">
        <v>2361</v>
      </c>
      <c r="B9" s="28" t="s">
        <v>2362</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28"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29" s="406" customFormat="1" ht="27">
      <c r="A10" s="400"/>
      <c r="B10" s="401" t="s">
        <v>2365</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28"/>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2366</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28"/>
      <c r="Q11" s="1882"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6">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28"/>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6">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28"/>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8">
        <v>111</v>
      </c>
      <c r="C14" s="2399"/>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28"/>
      <c r="Q14" s="1882">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8" t="s">
        <v>2367</v>
      </c>
      <c r="B15" s="26" t="s">
        <v>2453</v>
      </c>
      <c r="C15" s="2400"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31" t="s">
        <v>2368</v>
      </c>
      <c r="Q15" s="1894" t="str">
        <f t="shared" si="6"/>
        <v>商业繁华度</v>
      </c>
      <c r="R15" s="751" t="s">
        <v>25</v>
      </c>
      <c r="S15" s="752">
        <f t="shared" si="0"/>
        <v>100</v>
      </c>
      <c r="T15" s="751" t="s">
        <v>25</v>
      </c>
      <c r="U15" s="752">
        <f t="shared" si="1"/>
        <v>100</v>
      </c>
      <c r="V15" s="751" t="s">
        <v>25</v>
      </c>
      <c r="W15" s="752">
        <f t="shared" si="2"/>
        <v>100</v>
      </c>
      <c r="X15" s="1895"/>
      <c r="Y15" s="3018" t="s">
        <v>2368</v>
      </c>
      <c r="Z15" s="1897" t="str">
        <f t="shared" si="7"/>
        <v>商业繁华度</v>
      </c>
      <c r="AA15" s="1898">
        <f t="shared" si="3"/>
        <v>1</v>
      </c>
      <c r="AB15" s="1898">
        <f t="shared" si="4"/>
        <v>1</v>
      </c>
      <c r="AC15" s="1898">
        <f t="shared" si="5"/>
        <v>1</v>
      </c>
    </row>
    <row r="16" spans="1:29" ht="15">
      <c r="A16" s="407"/>
      <c r="B16" s="424"/>
      <c r="C16" s="425"/>
      <c r="D16" s="426"/>
      <c r="E16" s="425"/>
      <c r="F16" s="428"/>
      <c r="G16" s="425"/>
      <c r="H16" s="429"/>
      <c r="I16" s="425"/>
      <c r="J16" s="426"/>
      <c r="K16" s="598"/>
      <c r="L16" s="1248"/>
      <c r="M16" s="1239"/>
      <c r="N16" s="1239"/>
      <c r="O16" s="1239"/>
      <c r="P16" s="3032"/>
      <c r="Q16" s="1894"/>
      <c r="R16" s="751"/>
      <c r="S16" s="752"/>
      <c r="T16" s="751"/>
      <c r="U16" s="752"/>
      <c r="V16" s="751"/>
      <c r="W16" s="752"/>
      <c r="X16" s="1895"/>
      <c r="Y16" s="3019"/>
      <c r="Z16" s="1897"/>
      <c r="AA16" s="1898">
        <v>1</v>
      </c>
      <c r="AB16" s="1898">
        <v>1</v>
      </c>
      <c r="AC16" s="1898">
        <v>1</v>
      </c>
    </row>
    <row r="17" spans="1:29" ht="85.5">
      <c r="A17" s="407"/>
      <c r="B17" s="430" t="s">
        <v>1751</v>
      </c>
      <c r="C17" s="240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32"/>
      <c r="Q17" s="1894" t="str">
        <f>B17</f>
        <v>交通便捷度</v>
      </c>
      <c r="R17" s="751" t="s">
        <v>25</v>
      </c>
      <c r="S17" s="752">
        <f>F17</f>
        <v>100</v>
      </c>
      <c r="T17" s="751" t="s">
        <v>25</v>
      </c>
      <c r="U17" s="752">
        <f>H17</f>
        <v>100</v>
      </c>
      <c r="V17" s="751" t="s">
        <v>25</v>
      </c>
      <c r="W17" s="752">
        <f>J17</f>
        <v>100</v>
      </c>
      <c r="X17" s="1895"/>
      <c r="Y17" s="3019"/>
      <c r="Z17" s="1897" t="str">
        <f>Q17</f>
        <v>交通便捷度</v>
      </c>
      <c r="AA17" s="1898">
        <f t="shared" si="3"/>
        <v>1</v>
      </c>
      <c r="AB17" s="1898">
        <f t="shared" si="4"/>
        <v>1</v>
      </c>
      <c r="AC17" s="1898">
        <f t="shared" si="5"/>
        <v>1</v>
      </c>
    </row>
    <row r="18" spans="1:29" ht="15">
      <c r="A18" s="407"/>
      <c r="B18" s="435"/>
      <c r="C18" s="436"/>
      <c r="D18" s="429"/>
      <c r="E18" s="1463"/>
      <c r="F18" s="432"/>
      <c r="G18" s="2404"/>
      <c r="H18" s="426"/>
      <c r="I18" s="1463"/>
      <c r="J18" s="426"/>
      <c r="K18" s="598"/>
      <c r="L18" s="1248"/>
      <c r="M18" s="1239"/>
      <c r="N18" s="1239"/>
      <c r="O18" s="1239"/>
      <c r="P18" s="3032"/>
      <c r="Q18" s="1894"/>
      <c r="R18" s="751"/>
      <c r="S18" s="752"/>
      <c r="T18" s="751"/>
      <c r="U18" s="752"/>
      <c r="V18" s="751"/>
      <c r="W18" s="752"/>
      <c r="X18" s="1895"/>
      <c r="Y18" s="3019"/>
      <c r="Z18" s="1897"/>
      <c r="AA18" s="1898">
        <v>1</v>
      </c>
      <c r="AB18" s="1898">
        <v>1</v>
      </c>
      <c r="AC18" s="1898">
        <v>1</v>
      </c>
    </row>
    <row r="19" spans="1:29" ht="42.75">
      <c r="A19" s="407"/>
      <c r="B19" s="430" t="s">
        <v>2454</v>
      </c>
      <c r="C19" s="240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32"/>
      <c r="Q19" s="1894" t="str">
        <f>B19</f>
        <v>公共配套设施</v>
      </c>
      <c r="R19" s="751" t="s">
        <v>25</v>
      </c>
      <c r="S19" s="752">
        <f>F19</f>
        <v>100</v>
      </c>
      <c r="T19" s="751" t="s">
        <v>25</v>
      </c>
      <c r="U19" s="752">
        <f>H19</f>
        <v>100</v>
      </c>
      <c r="V19" s="751" t="s">
        <v>25</v>
      </c>
      <c r="W19" s="752">
        <f>J19</f>
        <v>100</v>
      </c>
      <c r="X19" s="1895"/>
      <c r="Y19" s="3019"/>
      <c r="Z19" s="1897" t="str">
        <f>Q19</f>
        <v>公共配套设施</v>
      </c>
      <c r="AA19" s="1898">
        <f t="shared" si="3"/>
        <v>1</v>
      </c>
      <c r="AB19" s="1898">
        <f t="shared" si="4"/>
        <v>1</v>
      </c>
      <c r="AC19" s="1898">
        <f t="shared" si="5"/>
        <v>1</v>
      </c>
    </row>
    <row r="20" spans="1:29" ht="15">
      <c r="A20" s="407"/>
      <c r="B20" s="435"/>
      <c r="C20" s="425"/>
      <c r="D20" s="426"/>
      <c r="E20" s="427"/>
      <c r="F20" s="428"/>
      <c r="G20" s="2401"/>
      <c r="H20" s="426"/>
      <c r="I20" s="427"/>
      <c r="J20" s="426"/>
      <c r="K20" s="598"/>
      <c r="L20" s="1248"/>
      <c r="M20" s="1239"/>
      <c r="N20" s="1239"/>
      <c r="O20" s="1239"/>
      <c r="P20" s="3032"/>
      <c r="Q20" s="1894"/>
      <c r="R20" s="751"/>
      <c r="S20" s="752"/>
      <c r="T20" s="751"/>
      <c r="U20" s="752"/>
      <c r="V20" s="751"/>
      <c r="W20" s="752"/>
      <c r="X20" s="1895"/>
      <c r="Y20" s="3019"/>
      <c r="Z20" s="1897"/>
      <c r="AA20" s="1898">
        <v>1</v>
      </c>
      <c r="AB20" s="1898">
        <v>1</v>
      </c>
      <c r="AC20" s="1898">
        <v>1</v>
      </c>
    </row>
    <row r="21" spans="1:29" ht="28.5">
      <c r="A21" s="407"/>
      <c r="B21" s="2405" t="s">
        <v>2455</v>
      </c>
      <c r="C21" s="240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32"/>
      <c r="Q21" s="1894" t="str">
        <f>B21</f>
        <v>基础设施水平</v>
      </c>
      <c r="R21" s="751" t="s">
        <v>25</v>
      </c>
      <c r="S21" s="752">
        <f>F21</f>
        <v>100</v>
      </c>
      <c r="T21" s="751" t="s">
        <v>25</v>
      </c>
      <c r="U21" s="752">
        <f>H21</f>
        <v>100</v>
      </c>
      <c r="V21" s="751" t="s">
        <v>25</v>
      </c>
      <c r="W21" s="752">
        <f>J21</f>
        <v>100</v>
      </c>
      <c r="X21" s="1895"/>
      <c r="Y21" s="3019"/>
      <c r="Z21" s="1897" t="str">
        <f>Q21</f>
        <v>基础设施水平</v>
      </c>
      <c r="AA21" s="1898">
        <f>D21/F21</f>
        <v>1</v>
      </c>
      <c r="AB21" s="1898">
        <f>D21/H21</f>
        <v>1</v>
      </c>
      <c r="AC21" s="1898">
        <f>D21/J21</f>
        <v>1</v>
      </c>
    </row>
    <row r="22" spans="1:29" ht="15">
      <c r="A22" s="407"/>
      <c r="B22" s="2405"/>
      <c r="C22" s="436"/>
      <c r="D22" s="426"/>
      <c r="E22" s="425"/>
      <c r="F22" s="428"/>
      <c r="G22" s="425"/>
      <c r="H22" s="426"/>
      <c r="I22" s="425"/>
      <c r="J22" s="426"/>
      <c r="K22" s="1464"/>
      <c r="L22" s="1248"/>
      <c r="M22" s="1239"/>
      <c r="N22" s="1239"/>
      <c r="O22" s="1239"/>
      <c r="P22" s="3032"/>
      <c r="Q22" s="1894"/>
      <c r="R22" s="751"/>
      <c r="S22" s="752"/>
      <c r="T22" s="751"/>
      <c r="U22" s="752"/>
      <c r="V22" s="751"/>
      <c r="W22" s="752"/>
      <c r="X22" s="1895"/>
      <c r="Y22" s="3019"/>
      <c r="Z22" s="1897"/>
      <c r="AA22" s="1898">
        <v>1</v>
      </c>
      <c r="AB22" s="1898">
        <v>1</v>
      </c>
      <c r="AC22" s="1898">
        <v>1</v>
      </c>
    </row>
    <row r="23" spans="1:29" ht="57">
      <c r="A23" s="407"/>
      <c r="B23" s="430" t="s">
        <v>1756</v>
      </c>
      <c r="C23" s="245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32"/>
      <c r="Q23" s="1894" t="str">
        <f>B23</f>
        <v>自然及人文环境</v>
      </c>
      <c r="R23" s="751" t="s">
        <v>25</v>
      </c>
      <c r="S23" s="752">
        <f>F23</f>
        <v>100</v>
      </c>
      <c r="T23" s="751" t="s">
        <v>25</v>
      </c>
      <c r="U23" s="752">
        <f>H23</f>
        <v>100</v>
      </c>
      <c r="V23" s="751" t="s">
        <v>25</v>
      </c>
      <c r="W23" s="752">
        <f>J23</f>
        <v>100</v>
      </c>
      <c r="X23" s="1895"/>
      <c r="Y23" s="3019"/>
      <c r="Z23" s="1897" t="str">
        <f>Q23</f>
        <v>自然及人文环境</v>
      </c>
      <c r="AA23" s="1898">
        <f t="shared" si="3"/>
        <v>1</v>
      </c>
      <c r="AB23" s="1898">
        <f t="shared" si="4"/>
        <v>1</v>
      </c>
      <c r="AC23" s="1898">
        <f t="shared" si="5"/>
        <v>1</v>
      </c>
    </row>
    <row r="24" spans="1:29" ht="15">
      <c r="A24" s="407"/>
      <c r="B24" s="435"/>
      <c r="C24" s="425"/>
      <c r="D24" s="426"/>
      <c r="E24" s="427"/>
      <c r="F24" s="428"/>
      <c r="G24" s="2401"/>
      <c r="H24" s="426"/>
      <c r="I24" s="427"/>
      <c r="J24" s="426"/>
      <c r="K24" s="598"/>
      <c r="L24" s="1248"/>
      <c r="M24" s="1239"/>
      <c r="N24" s="1239"/>
      <c r="O24" s="1239"/>
      <c r="P24" s="3032"/>
      <c r="Q24" s="1894"/>
      <c r="R24" s="751"/>
      <c r="S24" s="752"/>
      <c r="T24" s="751"/>
      <c r="U24" s="752"/>
      <c r="V24" s="751"/>
      <c r="W24" s="752"/>
      <c r="X24" s="1895"/>
      <c r="Y24" s="3019"/>
      <c r="Z24" s="1897"/>
      <c r="AA24" s="1898">
        <v>1</v>
      </c>
      <c r="AB24" s="1898">
        <v>1</v>
      </c>
      <c r="AC24" s="1898">
        <v>1</v>
      </c>
    </row>
    <row r="25" spans="1:29" ht="15">
      <c r="A25" s="407"/>
      <c r="B25" s="401" t="s">
        <v>2456</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32"/>
      <c r="Q25" s="1894" t="str">
        <f t="shared" ref="Q25:Q46" si="8">B25</f>
        <v>临街状况</v>
      </c>
      <c r="R25" s="751" t="s">
        <v>25</v>
      </c>
      <c r="S25" s="752">
        <f>F25</f>
        <v>100</v>
      </c>
      <c r="T25" s="751" t="s">
        <v>25</v>
      </c>
      <c r="U25" s="752">
        <f>H25</f>
        <v>100</v>
      </c>
      <c r="V25" s="751" t="s">
        <v>25</v>
      </c>
      <c r="W25" s="752">
        <f>J25</f>
        <v>100</v>
      </c>
      <c r="X25" s="1895"/>
      <c r="Y25" s="3019"/>
      <c r="Z25" s="1897" t="str">
        <f>Q25</f>
        <v>临街状况</v>
      </c>
      <c r="AA25" s="1898">
        <f t="shared" si="3"/>
        <v>1</v>
      </c>
      <c r="AB25" s="1898">
        <f t="shared" si="4"/>
        <v>1</v>
      </c>
      <c r="AC25" s="1898">
        <f t="shared" si="5"/>
        <v>1</v>
      </c>
    </row>
    <row r="26" spans="1:29" ht="15">
      <c r="A26" s="407"/>
      <c r="B26" s="2409" t="s">
        <v>2457</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32"/>
      <c r="Q26" s="1894" t="str">
        <f t="shared" si="8"/>
        <v>平面位置/可视性</v>
      </c>
      <c r="R26" s="751" t="s">
        <v>25</v>
      </c>
      <c r="S26" s="752">
        <f>F26</f>
        <v>100</v>
      </c>
      <c r="T26" s="751" t="s">
        <v>25</v>
      </c>
      <c r="U26" s="752">
        <f>H26</f>
        <v>100</v>
      </c>
      <c r="V26" s="751" t="s">
        <v>25</v>
      </c>
      <c r="W26" s="752">
        <f>J26</f>
        <v>100</v>
      </c>
      <c r="X26" s="1895"/>
      <c r="Y26" s="3019"/>
      <c r="Z26" s="1897" t="str">
        <f>Q26</f>
        <v>平面位置/可视性</v>
      </c>
      <c r="AA26" s="1898">
        <f t="shared" si="3"/>
        <v>1</v>
      </c>
      <c r="AB26" s="1898">
        <f t="shared" si="4"/>
        <v>1</v>
      </c>
      <c r="AC26" s="1898">
        <f t="shared" si="5"/>
        <v>1</v>
      </c>
    </row>
    <row r="27" spans="1:29" s="35" customFormat="1" ht="15">
      <c r="A27" s="410"/>
      <c r="B27" s="430" t="s">
        <v>2458</v>
      </c>
      <c r="C27" s="2454"/>
      <c r="D27" s="442">
        <v>100</v>
      </c>
      <c r="E27" s="2454"/>
      <c r="F27" s="444">
        <f>SUMIF(90:90,E27,91:91)-SUMIF(90:90,C27,91:91)+100</f>
        <v>100</v>
      </c>
      <c r="G27" s="2454"/>
      <c r="H27" s="442">
        <f>SUMIF(90:90,G27,91:91)-SUMIF(90:90,C27,91:91)+100</f>
        <v>100</v>
      </c>
      <c r="I27" s="2454"/>
      <c r="J27" s="442">
        <f>SUMIF(90:90,I27,91:91)-SUMIF(90:90,C27,91:91)+100</f>
        <v>100</v>
      </c>
      <c r="K27" s="595"/>
      <c r="L27" s="1240"/>
      <c r="M27" s="1241"/>
      <c r="N27" s="1241"/>
      <c r="O27" s="1241"/>
      <c r="P27" s="3032"/>
      <c r="Q27" s="1882" t="str">
        <f t="shared" si="8"/>
        <v>人流量</v>
      </c>
      <c r="R27" s="747" t="s">
        <v>25</v>
      </c>
      <c r="S27" s="748">
        <f>F27</f>
        <v>100</v>
      </c>
      <c r="T27" s="747" t="s">
        <v>25</v>
      </c>
      <c r="U27" s="748">
        <f>H27</f>
        <v>100</v>
      </c>
      <c r="V27" s="747" t="s">
        <v>25</v>
      </c>
      <c r="W27" s="748">
        <f>J27</f>
        <v>100</v>
      </c>
      <c r="X27" s="749"/>
      <c r="Y27" s="3019"/>
      <c r="Z27" s="23" t="str">
        <f>Q27</f>
        <v>人流量</v>
      </c>
      <c r="AA27" s="1898">
        <f>D27/F27</f>
        <v>1</v>
      </c>
      <c r="AB27" s="1898">
        <f>D27/H27</f>
        <v>1</v>
      </c>
      <c r="AC27" s="1898">
        <f>D27/J27</f>
        <v>1</v>
      </c>
    </row>
    <row r="28" spans="1:29" ht="15">
      <c r="A28" s="407"/>
      <c r="B28" s="401" t="s">
        <v>2459</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32"/>
      <c r="Q28" s="1894" t="str">
        <f t="shared" si="8"/>
        <v>楼层</v>
      </c>
      <c r="R28" s="751" t="s">
        <v>25</v>
      </c>
      <c r="S28" s="752">
        <f t="shared" ref="S28:S46" si="9">F28</f>
        <v>100</v>
      </c>
      <c r="T28" s="751" t="s">
        <v>25</v>
      </c>
      <c r="U28" s="752">
        <f t="shared" ref="U28:U46" si="10">H28</f>
        <v>100</v>
      </c>
      <c r="V28" s="751" t="s">
        <v>25</v>
      </c>
      <c r="W28" s="752">
        <f t="shared" ref="W28:W46" si="11">J28</f>
        <v>100</v>
      </c>
      <c r="X28" s="1895"/>
      <c r="Y28" s="3019"/>
      <c r="Z28" s="1897" t="str">
        <f t="shared" ref="Z28:Z46" si="12">Q28</f>
        <v>楼层</v>
      </c>
      <c r="AA28" s="1898">
        <f t="shared" si="3"/>
        <v>1</v>
      </c>
      <c r="AB28" s="1898">
        <f t="shared" si="4"/>
        <v>1</v>
      </c>
      <c r="AC28" s="1898">
        <f t="shared" si="5"/>
        <v>1</v>
      </c>
    </row>
    <row r="29" spans="1:29" ht="15">
      <c r="A29" s="407"/>
      <c r="B29" s="2409">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32"/>
      <c r="Q29" s="1894">
        <f t="shared" si="8"/>
        <v>111</v>
      </c>
      <c r="R29" s="751" t="s">
        <v>25</v>
      </c>
      <c r="S29" s="752">
        <f t="shared" si="9"/>
        <v>100</v>
      </c>
      <c r="T29" s="751" t="s">
        <v>25</v>
      </c>
      <c r="U29" s="752">
        <f t="shared" si="10"/>
        <v>100</v>
      </c>
      <c r="V29" s="751" t="s">
        <v>25</v>
      </c>
      <c r="W29" s="752">
        <f t="shared" si="11"/>
        <v>100</v>
      </c>
      <c r="X29" s="1895"/>
      <c r="Y29" s="3019"/>
      <c r="Z29" s="1897">
        <f t="shared" si="12"/>
        <v>111</v>
      </c>
      <c r="AA29" s="1898">
        <f t="shared" si="3"/>
        <v>1</v>
      </c>
      <c r="AB29" s="1898">
        <f t="shared" si="4"/>
        <v>1</v>
      </c>
      <c r="AC29" s="1898">
        <f t="shared" si="5"/>
        <v>1</v>
      </c>
    </row>
    <row r="30" spans="1:29" ht="15">
      <c r="A30" s="407"/>
      <c r="B30" s="2409">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32"/>
      <c r="Q30" s="1894">
        <f t="shared" si="8"/>
        <v>111</v>
      </c>
      <c r="R30" s="751" t="s">
        <v>25</v>
      </c>
      <c r="S30" s="752">
        <f t="shared" si="9"/>
        <v>100</v>
      </c>
      <c r="T30" s="751" t="s">
        <v>25</v>
      </c>
      <c r="U30" s="752">
        <f t="shared" si="10"/>
        <v>100</v>
      </c>
      <c r="V30" s="751" t="s">
        <v>25</v>
      </c>
      <c r="W30" s="752">
        <f t="shared" si="11"/>
        <v>100</v>
      </c>
      <c r="X30" s="1895"/>
      <c r="Y30" s="3019"/>
      <c r="Z30" s="1897">
        <f t="shared" si="12"/>
        <v>111</v>
      </c>
      <c r="AA30" s="1898">
        <f t="shared" si="3"/>
        <v>1</v>
      </c>
      <c r="AB30" s="1898">
        <f t="shared" si="4"/>
        <v>1</v>
      </c>
      <c r="AC30" s="1898">
        <f t="shared" si="5"/>
        <v>1</v>
      </c>
    </row>
    <row r="31" spans="1:29" ht="15.75" thickBot="1">
      <c r="A31" s="415"/>
      <c r="B31" s="2409">
        <v>111</v>
      </c>
      <c r="C31" s="2399"/>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32"/>
      <c r="Q31" s="1894">
        <f t="shared" si="8"/>
        <v>111</v>
      </c>
      <c r="R31" s="751" t="s">
        <v>25</v>
      </c>
      <c r="S31" s="752">
        <f t="shared" si="9"/>
        <v>100</v>
      </c>
      <c r="T31" s="751" t="s">
        <v>25</v>
      </c>
      <c r="U31" s="752">
        <f t="shared" si="10"/>
        <v>100</v>
      </c>
      <c r="V31" s="751" t="s">
        <v>25</v>
      </c>
      <c r="W31" s="752">
        <f t="shared" si="11"/>
        <v>100</v>
      </c>
      <c r="X31" s="1895"/>
      <c r="Y31" s="3019"/>
      <c r="Z31" s="1897">
        <f t="shared" si="12"/>
        <v>111</v>
      </c>
      <c r="AA31" s="1898">
        <f t="shared" si="3"/>
        <v>1</v>
      </c>
      <c r="AB31" s="1898">
        <f t="shared" si="4"/>
        <v>1</v>
      </c>
      <c r="AC31" s="1898">
        <f t="shared" si="5"/>
        <v>1</v>
      </c>
    </row>
    <row r="32" spans="1:29" ht="15">
      <c r="A32" s="418" t="s">
        <v>2372</v>
      </c>
      <c r="B32" s="28" t="s">
        <v>2460</v>
      </c>
      <c r="C32" s="2410"/>
      <c r="D32" s="447">
        <v>100</v>
      </c>
      <c r="E32" s="2410"/>
      <c r="F32" s="441">
        <f>SUMIF(100:100,E32,101:101)-SUMIF(100:100,C32,101:101)+100</f>
        <v>100</v>
      </c>
      <c r="G32" s="2410"/>
      <c r="H32" s="414">
        <f>SUMIF(100:100,G32,101:101)-SUMIF(100:100,C32,101:101)+100</f>
        <v>100</v>
      </c>
      <c r="I32" s="2410"/>
      <c r="J32" s="447">
        <f>SUMIF(100:100,I32,101:101)-SUMIF(100:100,C32,101:101)+100</f>
        <v>100</v>
      </c>
      <c r="K32" s="595"/>
      <c r="L32" s="1248"/>
      <c r="M32" s="1239"/>
      <c r="N32" s="1239"/>
      <c r="O32" s="1239"/>
      <c r="P32" s="3020" t="s">
        <v>2374</v>
      </c>
      <c r="Q32" s="1894" t="str">
        <f t="shared" si="8"/>
        <v>商业类型</v>
      </c>
      <c r="R32" s="751" t="s">
        <v>25</v>
      </c>
      <c r="S32" s="752">
        <f t="shared" si="9"/>
        <v>100</v>
      </c>
      <c r="T32" s="751" t="s">
        <v>25</v>
      </c>
      <c r="U32" s="752">
        <f t="shared" si="10"/>
        <v>100</v>
      </c>
      <c r="V32" s="751" t="s">
        <v>25</v>
      </c>
      <c r="W32" s="752">
        <f t="shared" si="11"/>
        <v>100</v>
      </c>
      <c r="X32" s="1895"/>
      <c r="Y32" s="3023" t="s">
        <v>2374</v>
      </c>
      <c r="Z32" s="1897" t="str">
        <f t="shared" si="12"/>
        <v>商业类型</v>
      </c>
      <c r="AA32" s="1898">
        <f t="shared" si="3"/>
        <v>1</v>
      </c>
      <c r="AB32" s="1898">
        <f t="shared" si="4"/>
        <v>1</v>
      </c>
      <c r="AC32" s="1898">
        <f t="shared" si="5"/>
        <v>1</v>
      </c>
    </row>
    <row r="33" spans="1:29" s="451" customFormat="1" ht="15">
      <c r="A33" s="448"/>
      <c r="B33" s="401" t="s">
        <v>2375</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21"/>
      <c r="Q33" s="753" t="str">
        <f t="shared" si="8"/>
        <v>项目建筑规模</v>
      </c>
      <c r="R33" s="754" t="s">
        <v>25</v>
      </c>
      <c r="S33" s="755" t="e">
        <f t="shared" si="9"/>
        <v>#N/A</v>
      </c>
      <c r="T33" s="754" t="s">
        <v>25</v>
      </c>
      <c r="U33" s="755" t="e">
        <f t="shared" si="10"/>
        <v>#N/A</v>
      </c>
      <c r="V33" s="754" t="s">
        <v>25</v>
      </c>
      <c r="W33" s="755" t="e">
        <f t="shared" si="11"/>
        <v>#N/A</v>
      </c>
      <c r="X33" s="756"/>
      <c r="Y33" s="3023"/>
      <c r="Z33" s="757" t="str">
        <f t="shared" si="12"/>
        <v>项目建筑规模</v>
      </c>
      <c r="AA33" s="1898" t="e">
        <f t="shared" si="3"/>
        <v>#N/A</v>
      </c>
      <c r="AB33" s="1898" t="e">
        <f t="shared" si="4"/>
        <v>#N/A</v>
      </c>
      <c r="AC33" s="1898" t="e">
        <f t="shared" si="5"/>
        <v>#N/A</v>
      </c>
    </row>
    <row r="34" spans="1:29" ht="15">
      <c r="A34" s="452"/>
      <c r="B34" s="401" t="s">
        <v>2376</v>
      </c>
      <c r="C34" s="2411"/>
      <c r="D34" s="414">
        <v>100</v>
      </c>
      <c r="E34" s="2412"/>
      <c r="F34" s="441">
        <f>SUMIF(105:105,E34,106:106)-SUMIF(105:105,C34,106:106)+100</f>
        <v>100</v>
      </c>
      <c r="G34" s="2411"/>
      <c r="H34" s="414">
        <f>SUMIF(105:105,G34,106:106)-SUMIF(105:105,C34,106:106)+100</f>
        <v>100</v>
      </c>
      <c r="I34" s="2411"/>
      <c r="J34" s="414">
        <f>SUMIF(105:105,I34,106:106)-SUMIF(105:105,C34,106:106)+100</f>
        <v>100</v>
      </c>
      <c r="K34" s="595"/>
      <c r="L34" s="1248"/>
      <c r="M34" s="1239"/>
      <c r="N34" s="1239"/>
      <c r="O34" s="1239"/>
      <c r="P34" s="3021"/>
      <c r="Q34" s="1894" t="str">
        <f t="shared" si="8"/>
        <v>建筑结构</v>
      </c>
      <c r="R34" s="751" t="s">
        <v>25</v>
      </c>
      <c r="S34" s="752">
        <f t="shared" si="9"/>
        <v>100</v>
      </c>
      <c r="T34" s="751" t="s">
        <v>25</v>
      </c>
      <c r="U34" s="752">
        <f t="shared" si="10"/>
        <v>100</v>
      </c>
      <c r="V34" s="751" t="s">
        <v>25</v>
      </c>
      <c r="W34" s="752">
        <f t="shared" si="11"/>
        <v>100</v>
      </c>
      <c r="X34" s="1895"/>
      <c r="Y34" s="3023"/>
      <c r="Z34" s="1897" t="str">
        <f t="shared" si="12"/>
        <v>建筑结构</v>
      </c>
      <c r="AA34" s="1898">
        <f t="shared" si="3"/>
        <v>1</v>
      </c>
      <c r="AB34" s="1898">
        <f t="shared" si="4"/>
        <v>1</v>
      </c>
      <c r="AC34" s="1898">
        <f t="shared" si="5"/>
        <v>1</v>
      </c>
    </row>
    <row r="35" spans="1:29" ht="15">
      <c r="A35" s="452"/>
      <c r="B35" s="401" t="s">
        <v>2461</v>
      </c>
      <c r="C35" s="2408"/>
      <c r="D35" s="414">
        <v>100</v>
      </c>
      <c r="E35" s="2408"/>
      <c r="F35" s="441">
        <f>SUMIF(107:107,E35,108:108)-SUMIF(107:107,C35,108:108)+100</f>
        <v>100</v>
      </c>
      <c r="G35" s="2408"/>
      <c r="H35" s="414">
        <f>SUMIF(107:107,G35,108:108)-SUMIF(107:107,C35,108:108)+100</f>
        <v>100</v>
      </c>
      <c r="I35" s="2408"/>
      <c r="J35" s="414">
        <f>SUMIF(107:107,I35,108:108)-SUMIF(107:107,C35,108:108)+100</f>
        <v>100</v>
      </c>
      <c r="K35" s="595"/>
      <c r="L35" s="1248"/>
      <c r="M35" s="1239"/>
      <c r="N35" s="1239"/>
      <c r="O35" s="1239"/>
      <c r="P35" s="3021"/>
      <c r="Q35" s="1894" t="str">
        <f t="shared" si="8"/>
        <v>公共部分装修</v>
      </c>
      <c r="R35" s="751" t="s">
        <v>25</v>
      </c>
      <c r="S35" s="752">
        <f t="shared" si="9"/>
        <v>100</v>
      </c>
      <c r="T35" s="751" t="s">
        <v>25</v>
      </c>
      <c r="U35" s="752">
        <f t="shared" si="10"/>
        <v>100</v>
      </c>
      <c r="V35" s="751" t="s">
        <v>25</v>
      </c>
      <c r="W35" s="752">
        <f t="shared" si="11"/>
        <v>100</v>
      </c>
      <c r="X35" s="1895"/>
      <c r="Y35" s="3023"/>
      <c r="Z35" s="1897" t="str">
        <f t="shared" si="12"/>
        <v>公共部分装修</v>
      </c>
      <c r="AA35" s="1898">
        <f t="shared" si="3"/>
        <v>1</v>
      </c>
      <c r="AB35" s="1898">
        <f t="shared" si="4"/>
        <v>1</v>
      </c>
      <c r="AC35" s="1898">
        <f t="shared" si="5"/>
        <v>1</v>
      </c>
    </row>
    <row r="36" spans="1:29" ht="15">
      <c r="A36" s="452"/>
      <c r="B36" s="401" t="s">
        <v>2462</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21"/>
      <c r="Q36" s="1894" t="str">
        <f t="shared" si="8"/>
        <v>成新度</v>
      </c>
      <c r="R36" s="751" t="s">
        <v>25</v>
      </c>
      <c r="S36" s="752" t="e">
        <f t="shared" si="9"/>
        <v>#N/A</v>
      </c>
      <c r="T36" s="751" t="s">
        <v>25</v>
      </c>
      <c r="U36" s="752" t="e">
        <f t="shared" si="10"/>
        <v>#N/A</v>
      </c>
      <c r="V36" s="751" t="s">
        <v>25</v>
      </c>
      <c r="W36" s="752" t="e">
        <f t="shared" si="11"/>
        <v>#N/A</v>
      </c>
      <c r="X36" s="1895"/>
      <c r="Y36" s="3023"/>
      <c r="Z36" s="1897" t="str">
        <f t="shared" si="12"/>
        <v>成新度</v>
      </c>
      <c r="AA36" s="1898" t="e">
        <f t="shared" si="3"/>
        <v>#N/A</v>
      </c>
      <c r="AB36" s="1898" t="e">
        <f t="shared" si="4"/>
        <v>#N/A</v>
      </c>
      <c r="AC36" s="1898" t="e">
        <f t="shared" si="5"/>
        <v>#N/A</v>
      </c>
    </row>
    <row r="37" spans="1:29" s="35" customFormat="1" ht="15">
      <c r="A37" s="453"/>
      <c r="B37" s="401" t="s">
        <v>2463</v>
      </c>
      <c r="C37" s="2408"/>
      <c r="D37" s="51">
        <v>100</v>
      </c>
      <c r="E37" s="2408"/>
      <c r="F37" s="441">
        <f>SUMIF(112:112,E37,113:113)-SUMIF(112:112,C37,113:113)+100</f>
        <v>100</v>
      </c>
      <c r="G37" s="2408"/>
      <c r="H37" s="414">
        <f>SUMIF(112:112,G37,113:113)-SUMIF(112:112,C37,113:113)+100</f>
        <v>100</v>
      </c>
      <c r="I37" s="2408"/>
      <c r="J37" s="414">
        <f>SUMIF(112:112,I37,113:113)-SUMIF(112:112,C37,113:113)+100</f>
        <v>100</v>
      </c>
      <c r="K37" s="595"/>
      <c r="L37" s="1240"/>
      <c r="M37" s="1241"/>
      <c r="N37" s="1241"/>
      <c r="O37" s="1241"/>
      <c r="P37" s="3021"/>
      <c r="Q37" s="1882" t="str">
        <f t="shared" si="8"/>
        <v>市政基础设施</v>
      </c>
      <c r="R37" s="747" t="s">
        <v>25</v>
      </c>
      <c r="S37" s="748">
        <f t="shared" si="9"/>
        <v>100</v>
      </c>
      <c r="T37" s="747" t="s">
        <v>25</v>
      </c>
      <c r="U37" s="748">
        <f t="shared" si="10"/>
        <v>100</v>
      </c>
      <c r="V37" s="747" t="s">
        <v>25</v>
      </c>
      <c r="W37" s="748">
        <f t="shared" si="11"/>
        <v>100</v>
      </c>
      <c r="X37" s="749"/>
      <c r="Y37" s="3023"/>
      <c r="Z37" s="23" t="str">
        <f t="shared" si="12"/>
        <v>市政基础设施</v>
      </c>
      <c r="AA37" s="750">
        <f t="shared" si="3"/>
        <v>1</v>
      </c>
      <c r="AB37" s="750">
        <f t="shared" si="4"/>
        <v>1</v>
      </c>
      <c r="AC37" s="750">
        <f t="shared" si="5"/>
        <v>1</v>
      </c>
    </row>
    <row r="38" spans="1:29" ht="15">
      <c r="A38" s="452"/>
      <c r="B38" s="401" t="s">
        <v>2464</v>
      </c>
      <c r="C38" s="2408"/>
      <c r="D38" s="414">
        <v>100</v>
      </c>
      <c r="E38" s="2408"/>
      <c r="F38" s="441">
        <f>SUMIF(114:114,E38,115:115)-SUMIF(114:114,C38,115:115)+100</f>
        <v>100</v>
      </c>
      <c r="G38" s="2408"/>
      <c r="H38" s="414">
        <f>SUMIF(114:114,G38,115:115)-SUMIF(114:114,C38,115:115)+100</f>
        <v>100</v>
      </c>
      <c r="I38" s="2408"/>
      <c r="J38" s="414">
        <f>SUMIF(114:114,I38,115:115)-SUMIF(114:114,C38,115:115)+100</f>
        <v>100</v>
      </c>
      <c r="K38" s="595"/>
      <c r="L38" s="1248"/>
      <c r="M38" s="1239"/>
      <c r="N38" s="1239"/>
      <c r="O38" s="1239"/>
      <c r="P38" s="3021" t="s">
        <v>2374</v>
      </c>
      <c r="Q38" s="1894" t="str">
        <f t="shared" si="8"/>
        <v>业态</v>
      </c>
      <c r="R38" s="751" t="s">
        <v>25</v>
      </c>
      <c r="S38" s="752">
        <f t="shared" si="9"/>
        <v>100</v>
      </c>
      <c r="T38" s="751" t="s">
        <v>25</v>
      </c>
      <c r="U38" s="752">
        <f t="shared" si="10"/>
        <v>100</v>
      </c>
      <c r="V38" s="751" t="s">
        <v>25</v>
      </c>
      <c r="W38" s="752">
        <f t="shared" si="11"/>
        <v>100</v>
      </c>
      <c r="X38" s="1895"/>
      <c r="Y38" s="3023" t="s">
        <v>2374</v>
      </c>
      <c r="Z38" s="1897" t="str">
        <f t="shared" si="12"/>
        <v>业态</v>
      </c>
      <c r="AA38" s="1898">
        <f t="shared" si="3"/>
        <v>1</v>
      </c>
      <c r="AB38" s="1898">
        <f t="shared" si="4"/>
        <v>1</v>
      </c>
      <c r="AC38" s="1898">
        <f t="shared" si="5"/>
        <v>1</v>
      </c>
    </row>
    <row r="39" spans="1:29" ht="15">
      <c r="A39" s="452"/>
      <c r="B39" s="401" t="s">
        <v>2465</v>
      </c>
      <c r="C39" s="2408"/>
      <c r="D39" s="414">
        <v>100</v>
      </c>
      <c r="E39" s="2408"/>
      <c r="F39" s="441">
        <f>SUMIF(116:116,E39,117:117)-SUMIF(116:116,C39,117:117)+100</f>
        <v>100</v>
      </c>
      <c r="G39" s="2408"/>
      <c r="H39" s="414">
        <f>SUMIF(116:116,G39,117:117)-SUMIF(116:116,C39,117:117)+100</f>
        <v>100</v>
      </c>
      <c r="I39" s="2408"/>
      <c r="J39" s="414">
        <f>SUMIF(116:116,I39,117:117)-SUMIF(116:116,C39,117:117)+100</f>
        <v>100</v>
      </c>
      <c r="K39" s="595"/>
      <c r="L39" s="1248"/>
      <c r="M39" s="1239"/>
      <c r="N39" s="1239"/>
      <c r="O39" s="1239"/>
      <c r="P39" s="3021"/>
      <c r="Q39" s="1894" t="str">
        <f t="shared" si="8"/>
        <v>层高</v>
      </c>
      <c r="R39" s="751" t="s">
        <v>25</v>
      </c>
      <c r="S39" s="752">
        <f t="shared" si="9"/>
        <v>100</v>
      </c>
      <c r="T39" s="751" t="s">
        <v>25</v>
      </c>
      <c r="U39" s="752">
        <f t="shared" si="10"/>
        <v>100</v>
      </c>
      <c r="V39" s="751" t="s">
        <v>25</v>
      </c>
      <c r="W39" s="752">
        <f t="shared" si="11"/>
        <v>100</v>
      </c>
      <c r="X39" s="1895"/>
      <c r="Y39" s="3023"/>
      <c r="Z39" s="1897" t="str">
        <f t="shared" si="12"/>
        <v>层高</v>
      </c>
      <c r="AA39" s="1898">
        <f t="shared" si="3"/>
        <v>1</v>
      </c>
      <c r="AB39" s="1898">
        <f t="shared" si="4"/>
        <v>1</v>
      </c>
      <c r="AC39" s="1898">
        <f t="shared" si="5"/>
        <v>1</v>
      </c>
    </row>
    <row r="40" spans="1:29" ht="15">
      <c r="A40" s="452"/>
      <c r="B40" s="401" t="s">
        <v>2466</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21"/>
      <c r="Q40" s="1894" t="str">
        <f t="shared" si="8"/>
        <v>单套建筑面积</v>
      </c>
      <c r="R40" s="751" t="s">
        <v>25</v>
      </c>
      <c r="S40" s="752">
        <f t="shared" si="9"/>
        <v>100</v>
      </c>
      <c r="T40" s="751" t="s">
        <v>25</v>
      </c>
      <c r="U40" s="752">
        <f t="shared" si="10"/>
        <v>100</v>
      </c>
      <c r="V40" s="751" t="s">
        <v>25</v>
      </c>
      <c r="W40" s="752">
        <f t="shared" si="11"/>
        <v>100</v>
      </c>
      <c r="X40" s="1895"/>
      <c r="Y40" s="3023"/>
      <c r="Z40" s="1897" t="str">
        <f t="shared" si="12"/>
        <v>单套建筑面积</v>
      </c>
      <c r="AA40" s="1898">
        <f t="shared" si="3"/>
        <v>1</v>
      </c>
      <c r="AB40" s="1898">
        <f t="shared" si="4"/>
        <v>1</v>
      </c>
      <c r="AC40" s="1898">
        <f t="shared" si="5"/>
        <v>1</v>
      </c>
    </row>
    <row r="41" spans="1:29" s="451" customFormat="1" ht="15">
      <c r="A41" s="448"/>
      <c r="B41" s="1899" t="s">
        <v>2467</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21"/>
      <c r="Q41" s="753" t="str">
        <f t="shared" si="8"/>
        <v>进深比</v>
      </c>
      <c r="R41" s="754" t="s">
        <v>25</v>
      </c>
      <c r="S41" s="755">
        <f t="shared" si="9"/>
        <v>100</v>
      </c>
      <c r="T41" s="754" t="s">
        <v>25</v>
      </c>
      <c r="U41" s="755">
        <f t="shared" si="10"/>
        <v>100</v>
      </c>
      <c r="V41" s="754" t="s">
        <v>25</v>
      </c>
      <c r="W41" s="755">
        <f t="shared" si="11"/>
        <v>100</v>
      </c>
      <c r="X41" s="756"/>
      <c r="Y41" s="3023"/>
      <c r="Z41" s="757" t="str">
        <f t="shared" si="12"/>
        <v>进深比</v>
      </c>
      <c r="AA41" s="1898">
        <f t="shared" si="3"/>
        <v>1</v>
      </c>
      <c r="AB41" s="1898">
        <f t="shared" si="4"/>
        <v>1</v>
      </c>
      <c r="AC41" s="1898">
        <f t="shared" si="5"/>
        <v>1</v>
      </c>
    </row>
    <row r="42" spans="1:29" ht="15">
      <c r="A42" s="452"/>
      <c r="B42" s="401" t="s">
        <v>2468</v>
      </c>
      <c r="C42" s="2408"/>
      <c r="D42" s="414">
        <v>100</v>
      </c>
      <c r="E42" s="2408"/>
      <c r="F42" s="441">
        <f>SUMIF(122:122,E42,123:123)-SUMIF(122:122,C42,123:123)+100</f>
        <v>100</v>
      </c>
      <c r="G42" s="2408"/>
      <c r="H42" s="414">
        <f>SUMIF(122:122,G42,123:123)-SUMIF(122:122,C42,123:123)+100</f>
        <v>100</v>
      </c>
      <c r="I42" s="2408"/>
      <c r="J42" s="414">
        <f>SUMIF(122:122,I42,123:123)-SUMIF(122:122,C42,123:123)+100</f>
        <v>100</v>
      </c>
      <c r="K42" s="595"/>
      <c r="L42" s="1248"/>
      <c r="M42" s="1239"/>
      <c r="N42" s="1239"/>
      <c r="O42" s="1239"/>
      <c r="P42" s="3021"/>
      <c r="Q42" s="1894" t="str">
        <f t="shared" si="8"/>
        <v>内部装修</v>
      </c>
      <c r="R42" s="751" t="s">
        <v>25</v>
      </c>
      <c r="S42" s="752">
        <f t="shared" si="9"/>
        <v>100</v>
      </c>
      <c r="T42" s="751" t="s">
        <v>25</v>
      </c>
      <c r="U42" s="752">
        <f t="shared" si="10"/>
        <v>100</v>
      </c>
      <c r="V42" s="751" t="s">
        <v>25</v>
      </c>
      <c r="W42" s="752">
        <f t="shared" si="11"/>
        <v>100</v>
      </c>
      <c r="X42" s="1895"/>
      <c r="Y42" s="3023"/>
      <c r="Z42" s="1897" t="str">
        <f t="shared" si="12"/>
        <v>内部装修</v>
      </c>
      <c r="AA42" s="1898">
        <f t="shared" si="3"/>
        <v>1</v>
      </c>
      <c r="AB42" s="1898">
        <f t="shared" si="4"/>
        <v>1</v>
      </c>
      <c r="AC42" s="1898">
        <f t="shared" si="5"/>
        <v>1</v>
      </c>
    </row>
    <row r="43" spans="1:29" ht="15">
      <c r="A43" s="452"/>
      <c r="B43" s="401" t="s">
        <v>2385</v>
      </c>
      <c r="C43" s="2408"/>
      <c r="D43" s="414">
        <v>100</v>
      </c>
      <c r="E43" s="2408"/>
      <c r="F43" s="441">
        <f>SUMIF(124:124,E43,125:125)-SUMIF(124:124,C43,125:125)+100</f>
        <v>100</v>
      </c>
      <c r="G43" s="2408"/>
      <c r="H43" s="414">
        <f>SUMIF(124:124,G43,125:125)-SUMIF(124:124,C43,125:125)+100</f>
        <v>100</v>
      </c>
      <c r="I43" s="2408"/>
      <c r="J43" s="414">
        <f>SUMIF(124:124,I43,125:125)-SUMIF(124:124,C43,125:125)+100</f>
        <v>100</v>
      </c>
      <c r="K43" s="595"/>
      <c r="L43" s="1248"/>
      <c r="M43" s="1239"/>
      <c r="N43" s="1239"/>
      <c r="O43" s="1239"/>
      <c r="P43" s="3021"/>
      <c r="Q43" s="1894" t="str">
        <f t="shared" si="8"/>
        <v>内部装修维护情况</v>
      </c>
      <c r="R43" s="751" t="s">
        <v>25</v>
      </c>
      <c r="S43" s="752">
        <f t="shared" si="9"/>
        <v>100</v>
      </c>
      <c r="T43" s="751" t="s">
        <v>25</v>
      </c>
      <c r="U43" s="752">
        <f t="shared" si="10"/>
        <v>100</v>
      </c>
      <c r="V43" s="751" t="s">
        <v>25</v>
      </c>
      <c r="W43" s="752">
        <f t="shared" si="11"/>
        <v>100</v>
      </c>
      <c r="X43" s="1895"/>
      <c r="Y43" s="3023"/>
      <c r="Z43" s="1897" t="str">
        <f t="shared" si="12"/>
        <v>内部装修维护情况</v>
      </c>
      <c r="AA43" s="1898">
        <f t="shared" si="3"/>
        <v>1</v>
      </c>
      <c r="AB43" s="1898">
        <f t="shared" si="4"/>
        <v>1</v>
      </c>
      <c r="AC43" s="1898">
        <f t="shared" si="5"/>
        <v>1</v>
      </c>
    </row>
    <row r="44" spans="1:29" s="35" customFormat="1" ht="15">
      <c r="A44" s="453"/>
      <c r="B44" s="2409">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21"/>
      <c r="Q44" s="1882">
        <f t="shared" si="8"/>
        <v>111</v>
      </c>
      <c r="R44" s="747" t="s">
        <v>25</v>
      </c>
      <c r="S44" s="748">
        <f t="shared" si="9"/>
        <v>100</v>
      </c>
      <c r="T44" s="747" t="s">
        <v>25</v>
      </c>
      <c r="U44" s="748">
        <f t="shared" si="10"/>
        <v>100</v>
      </c>
      <c r="V44" s="747" t="s">
        <v>25</v>
      </c>
      <c r="W44" s="748">
        <f t="shared" si="11"/>
        <v>100</v>
      </c>
      <c r="X44" s="749"/>
      <c r="Y44" s="3023"/>
      <c r="Z44" s="23">
        <f t="shared" si="12"/>
        <v>111</v>
      </c>
      <c r="AA44" s="750">
        <f t="shared" si="3"/>
        <v>1</v>
      </c>
      <c r="AB44" s="750">
        <f t="shared" si="4"/>
        <v>1</v>
      </c>
      <c r="AC44" s="750">
        <f t="shared" si="5"/>
        <v>1</v>
      </c>
    </row>
    <row r="45" spans="1:29" ht="15">
      <c r="A45" s="452"/>
      <c r="B45" s="240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21"/>
      <c r="Q45" s="1894">
        <f t="shared" si="8"/>
        <v>111</v>
      </c>
      <c r="R45" s="751" t="s">
        <v>25</v>
      </c>
      <c r="S45" s="752">
        <f t="shared" si="9"/>
        <v>100</v>
      </c>
      <c r="T45" s="751" t="s">
        <v>25</v>
      </c>
      <c r="U45" s="752">
        <f t="shared" si="10"/>
        <v>100</v>
      </c>
      <c r="V45" s="751" t="s">
        <v>25</v>
      </c>
      <c r="W45" s="752">
        <f t="shared" si="11"/>
        <v>100</v>
      </c>
      <c r="X45" s="1895"/>
      <c r="Y45" s="3023"/>
      <c r="Z45" s="1897">
        <f t="shared" si="12"/>
        <v>111</v>
      </c>
      <c r="AA45" s="1898">
        <f t="shared" si="3"/>
        <v>1</v>
      </c>
      <c r="AB45" s="1898">
        <f t="shared" si="4"/>
        <v>1</v>
      </c>
      <c r="AC45" s="1898">
        <f t="shared" si="5"/>
        <v>1</v>
      </c>
    </row>
    <row r="46" spans="1:29" ht="15.75" thickBot="1">
      <c r="A46" s="458"/>
      <c r="B46" s="2398">
        <v>111</v>
      </c>
      <c r="C46" s="2399"/>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22"/>
      <c r="Q46" s="1894">
        <f t="shared" si="8"/>
        <v>111</v>
      </c>
      <c r="R46" s="751" t="s">
        <v>25</v>
      </c>
      <c r="S46" s="752">
        <f t="shared" si="9"/>
        <v>100</v>
      </c>
      <c r="T46" s="751" t="s">
        <v>25</v>
      </c>
      <c r="U46" s="752">
        <f t="shared" si="10"/>
        <v>100</v>
      </c>
      <c r="V46" s="751" t="s">
        <v>25</v>
      </c>
      <c r="W46" s="752">
        <f t="shared" si="11"/>
        <v>100</v>
      </c>
      <c r="X46" s="1895"/>
      <c r="Y46" s="3024"/>
      <c r="Z46" s="1897">
        <f t="shared" si="12"/>
        <v>111</v>
      </c>
      <c r="AA46" s="1898">
        <f t="shared" si="3"/>
        <v>1</v>
      </c>
      <c r="AB46" s="1898">
        <f t="shared" si="4"/>
        <v>1</v>
      </c>
      <c r="AC46" s="1898">
        <f t="shared" si="5"/>
        <v>1</v>
      </c>
    </row>
    <row r="47" spans="1:29" ht="15">
      <c r="A47" s="459" t="s">
        <v>2386</v>
      </c>
      <c r="B47" s="460"/>
      <c r="C47" s="1497" t="s">
        <v>1</v>
      </c>
      <c r="D47" s="1498"/>
      <c r="E47" s="1499"/>
      <c r="F47" s="1500"/>
      <c r="G47" s="1501"/>
      <c r="H47" s="1502"/>
      <c r="I47" s="1499"/>
      <c r="J47" s="1502"/>
      <c r="K47" s="760"/>
      <c r="L47" s="1251"/>
      <c r="M47" s="1252"/>
      <c r="N47" s="1239"/>
      <c r="O47" s="1252"/>
      <c r="P47" s="3029" t="str">
        <f>A47</f>
        <v>成交单价（元/平方米）</v>
      </c>
      <c r="Q47" s="3029"/>
      <c r="R47" s="3030">
        <f>E47</f>
        <v>0</v>
      </c>
      <c r="S47" s="3030"/>
      <c r="T47" s="3030">
        <f>G47</f>
        <v>0</v>
      </c>
      <c r="U47" s="3030"/>
      <c r="V47" s="3030">
        <f>I47</f>
        <v>0</v>
      </c>
      <c r="W47" s="3030"/>
      <c r="X47" s="736"/>
      <c r="Y47" s="758"/>
      <c r="Z47" s="736"/>
      <c r="AA47" s="736"/>
      <c r="AB47" s="736"/>
      <c r="AC47" s="736"/>
    </row>
    <row r="48" spans="1:29" ht="15.75" thickBot="1">
      <c r="A48" s="466" t="s">
        <v>2469</v>
      </c>
      <c r="B48" s="467"/>
      <c r="C48" s="1503" t="e">
        <f>R49</f>
        <v>#DIV/0!</v>
      </c>
      <c r="D48" s="1504"/>
      <c r="E48" s="1505" t="e">
        <f>R48</f>
        <v>#DIV/0!</v>
      </c>
      <c r="F48" s="1505"/>
      <c r="G48" s="1503" t="e">
        <f>T48</f>
        <v>#DIV/0!</v>
      </c>
      <c r="H48" s="1504"/>
      <c r="I48" s="1505" t="e">
        <f>V48</f>
        <v>#DIV/0!</v>
      </c>
      <c r="J48" s="1504"/>
      <c r="K48" s="761"/>
      <c r="L48" s="1251"/>
      <c r="M48" s="1252"/>
      <c r="N48" s="1239"/>
      <c r="O48" s="1252"/>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6"/>
      <c r="Y48" s="736"/>
      <c r="Z48" s="736"/>
      <c r="AA48" s="736"/>
      <c r="AB48" s="736"/>
      <c r="AC48" s="736"/>
    </row>
    <row r="49" spans="1:29" ht="15.75" thickBot="1">
      <c r="A49" s="472" t="s">
        <v>2470</v>
      </c>
      <c r="B49" s="473"/>
      <c r="C49" s="1507" t="e">
        <f>R49</f>
        <v>#DIV/0!</v>
      </c>
      <c r="D49" s="1507"/>
      <c r="E49" s="1507"/>
      <c r="F49" s="1507"/>
      <c r="G49" s="1507"/>
      <c r="H49" s="1507"/>
      <c r="I49" s="1507"/>
      <c r="J49" s="1507"/>
      <c r="K49" s="762"/>
      <c r="L49" s="1251"/>
      <c r="M49" s="1252"/>
      <c r="N49" s="1239"/>
      <c r="O49" s="1252"/>
      <c r="P49" s="3035" t="str">
        <f>A49</f>
        <v>估价对象XX用房的比较价值（楼面单价，元/平方米）</v>
      </c>
      <c r="Q49" s="3036"/>
      <c r="R49" s="3037" t="e">
        <f>IF(E1="售价",ROUND(AVERAGE(R48:V48),0),ROUND(AVERAGE(R48:V48),1))</f>
        <v>#DIV/0!</v>
      </c>
      <c r="S49" s="3037"/>
      <c r="T49" s="3037"/>
      <c r="U49" s="3037"/>
      <c r="V49" s="3037"/>
      <c r="W49" s="3037"/>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7" t="s">
        <v>2471</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7" t="s">
        <v>2472</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2" customFormat="1" ht="13.5" customHeight="1">
      <c r="A54" s="1254"/>
      <c r="B54" s="1254"/>
      <c r="C54" s="477" t="s">
        <v>2473</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0" t="s">
        <v>2474</v>
      </c>
      <c r="B57" s="736"/>
      <c r="C57" s="741"/>
      <c r="D57" s="741"/>
      <c r="E57" s="741"/>
      <c r="F57" s="742"/>
      <c r="G57" s="742"/>
      <c r="H57" s="741"/>
      <c r="I57" s="741"/>
      <c r="J57" s="741"/>
      <c r="K57" s="743"/>
      <c r="L57" s="1267"/>
      <c r="M57" s="1268"/>
      <c r="N57" s="1268"/>
      <c r="O57" s="1268"/>
      <c r="P57" s="2457"/>
      <c r="Q57" s="2458"/>
      <c r="R57" s="1252"/>
      <c r="S57" s="1252"/>
      <c r="T57" s="1252"/>
      <c r="U57" s="1252"/>
      <c r="V57" s="1252"/>
      <c r="W57" s="1252"/>
      <c r="X57" s="1252"/>
      <c r="Y57" s="1252"/>
      <c r="Z57" s="1252"/>
      <c r="AA57" s="1252"/>
      <c r="AB57" s="1252"/>
      <c r="AC57" s="1252"/>
    </row>
    <row r="58" spans="1:29" s="488" customFormat="1" ht="15">
      <c r="A58" s="485" t="s">
        <v>2356</v>
      </c>
      <c r="B58" s="486"/>
      <c r="C58" s="1673" t="str">
        <f>YEAR(C7)&amp;"-"&amp;MONTH(C7)</f>
        <v>2018-6</v>
      </c>
      <c r="D58" s="1674">
        <f>EDATE(C58,-1)</f>
        <v>43221</v>
      </c>
      <c r="E58" s="1674">
        <f t="shared" ref="E58:O58" si="13">EDATE(D58,-1)</f>
        <v>43191</v>
      </c>
      <c r="F58" s="1674">
        <f t="shared" si="13"/>
        <v>43160</v>
      </c>
      <c r="G58" s="1674">
        <f t="shared" si="13"/>
        <v>43132</v>
      </c>
      <c r="H58" s="1674">
        <f t="shared" si="13"/>
        <v>43101</v>
      </c>
      <c r="I58" s="1674">
        <f t="shared" si="13"/>
        <v>43070</v>
      </c>
      <c r="J58" s="1674">
        <f t="shared" si="13"/>
        <v>43040</v>
      </c>
      <c r="K58" s="1674">
        <f t="shared" si="13"/>
        <v>43009</v>
      </c>
      <c r="L58" s="1674">
        <f t="shared" si="13"/>
        <v>42979</v>
      </c>
      <c r="M58" s="1674">
        <f t="shared" si="13"/>
        <v>42948</v>
      </c>
      <c r="N58" s="1674">
        <f t="shared" si="13"/>
        <v>42917</v>
      </c>
      <c r="O58" s="1674">
        <f t="shared" si="13"/>
        <v>42887</v>
      </c>
      <c r="P58" s="2419"/>
    </row>
    <row r="59" spans="1:29" s="35" customFormat="1" ht="15">
      <c r="A59" s="489"/>
      <c r="B59" s="490"/>
      <c r="C59" s="622">
        <v>100</v>
      </c>
      <c r="D59" s="492"/>
      <c r="E59" s="492"/>
      <c r="F59" s="492"/>
      <c r="G59" s="492"/>
      <c r="H59" s="492"/>
      <c r="I59" s="492"/>
      <c r="J59" s="492"/>
      <c r="K59" s="492"/>
      <c r="L59" s="492"/>
      <c r="M59" s="493"/>
      <c r="N59" s="492"/>
      <c r="O59" s="493"/>
      <c r="P59" s="2420"/>
    </row>
    <row r="60" spans="1:29" s="35" customFormat="1" ht="15.75" thickBot="1">
      <c r="A60" s="495" t="s">
        <v>2394</v>
      </c>
      <c r="B60" s="496"/>
      <c r="C60" s="497"/>
      <c r="D60" s="498"/>
      <c r="E60" s="498"/>
      <c r="F60" s="498"/>
      <c r="G60" s="498"/>
      <c r="H60" s="498"/>
      <c r="I60" s="498"/>
      <c r="J60" s="498"/>
      <c r="K60" s="498"/>
      <c r="L60" s="498"/>
      <c r="M60" s="499"/>
      <c r="N60" s="498"/>
      <c r="O60" s="499"/>
      <c r="P60" s="2420"/>
      <c r="Q60" s="484"/>
    </row>
    <row r="61" spans="1:29" s="35" customFormat="1" ht="15">
      <c r="A61" s="501" t="s">
        <v>2358</v>
      </c>
      <c r="B61" s="490"/>
      <c r="C61" s="502" t="s">
        <v>2359</v>
      </c>
      <c r="D61" s="503"/>
      <c r="E61" s="503"/>
      <c r="F61" s="503"/>
      <c r="G61" s="503"/>
      <c r="H61" s="503"/>
      <c r="I61" s="503"/>
      <c r="J61" s="503"/>
      <c r="K61" s="503"/>
      <c r="L61" s="504"/>
      <c r="M61" s="505"/>
      <c r="N61" s="1261"/>
      <c r="O61" s="1261"/>
      <c r="P61" s="2421"/>
      <c r="Q61" s="484"/>
    </row>
    <row r="62" spans="1:29" s="35" customFormat="1" ht="15.75" thickBot="1">
      <c r="A62" s="501"/>
      <c r="B62" s="490"/>
      <c r="C62" s="491">
        <v>100</v>
      </c>
      <c r="D62" s="492"/>
      <c r="E62" s="492"/>
      <c r="F62" s="492"/>
      <c r="G62" s="492"/>
      <c r="H62" s="492"/>
      <c r="I62" s="492"/>
      <c r="J62" s="492"/>
      <c r="K62" s="492"/>
      <c r="L62" s="492"/>
      <c r="M62" s="494"/>
      <c r="N62" s="1261"/>
      <c r="O62" s="1261"/>
      <c r="P62" s="2420"/>
      <c r="Q62" s="484"/>
    </row>
    <row r="63" spans="1:29">
      <c r="A63" s="507" t="s">
        <v>2397</v>
      </c>
      <c r="B63" s="508" t="s">
        <v>2362</v>
      </c>
      <c r="C63" s="509">
        <f>C9</f>
        <v>0</v>
      </c>
      <c r="D63" s="510"/>
      <c r="E63" s="510"/>
      <c r="F63" s="510"/>
      <c r="G63" s="510"/>
      <c r="H63" s="510"/>
      <c r="I63" s="510"/>
      <c r="J63" s="510"/>
      <c r="K63" s="511"/>
      <c r="L63" s="512"/>
      <c r="M63" s="513"/>
      <c r="N63" s="1262"/>
      <c r="O63" s="1262"/>
      <c r="P63" s="2422"/>
      <c r="Q63" s="484"/>
    </row>
    <row r="64" spans="1:29" ht="15.75" thickBot="1">
      <c r="A64" s="515"/>
      <c r="B64" s="516"/>
      <c r="C64" s="517">
        <v>100</v>
      </c>
      <c r="D64" s="517"/>
      <c r="E64" s="517"/>
      <c r="F64" s="517"/>
      <c r="G64" s="517"/>
      <c r="H64" s="517"/>
      <c r="I64" s="517"/>
      <c r="J64" s="517"/>
      <c r="K64" s="517"/>
      <c r="L64" s="517"/>
      <c r="M64" s="518"/>
      <c r="N64" s="1263"/>
      <c r="O64" s="1263"/>
      <c r="P64" s="2422"/>
      <c r="Q64" s="484"/>
    </row>
    <row r="65" spans="1:17" ht="27.75" thickTop="1">
      <c r="A65" s="515"/>
      <c r="B65" s="520" t="s">
        <v>2365</v>
      </c>
      <c r="C65" s="521" t="s">
        <v>2398</v>
      </c>
      <c r="D65" s="521" t="s">
        <v>2399</v>
      </c>
      <c r="E65" s="521" t="s">
        <v>2400</v>
      </c>
      <c r="F65" s="521" t="s">
        <v>2401</v>
      </c>
      <c r="G65" s="521" t="s">
        <v>2402</v>
      </c>
      <c r="H65" s="521" t="s">
        <v>2403</v>
      </c>
      <c r="I65" s="521" t="s">
        <v>2404</v>
      </c>
      <c r="J65" s="521"/>
      <c r="K65" s="522"/>
      <c r="L65" s="523"/>
      <c r="M65" s="524"/>
      <c r="N65" s="1262"/>
      <c r="O65" s="1262"/>
      <c r="P65" s="2422"/>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22"/>
      <c r="Q66" s="484"/>
    </row>
    <row r="67" spans="1:17" ht="15.75" thickTop="1">
      <c r="A67" s="515"/>
      <c r="B67" s="528" t="s">
        <v>2366</v>
      </c>
      <c r="C67" s="529" t="str">
        <f>C68&amp;"（含）"&amp;"-"&amp;D68</f>
        <v>（含）-</v>
      </c>
      <c r="D67" s="529" t="str">
        <f t="shared" ref="D67:L67" si="14">D68&amp;"（含）"&amp;"-"&amp;E68</f>
        <v>（含）-</v>
      </c>
      <c r="E67" s="529" t="str">
        <f t="shared" si="14"/>
        <v>（含）-</v>
      </c>
      <c r="F67" s="529" t="str">
        <f t="shared" si="14"/>
        <v>（含）-</v>
      </c>
      <c r="G67" s="529" t="str">
        <f t="shared" si="14"/>
        <v>（含）-</v>
      </c>
      <c r="H67" s="529" t="str">
        <f t="shared" si="14"/>
        <v>（含）-</v>
      </c>
      <c r="I67" s="529" t="str">
        <f t="shared" si="14"/>
        <v>（含）-</v>
      </c>
      <c r="J67" s="529" t="str">
        <f t="shared" si="14"/>
        <v>（含）-</v>
      </c>
      <c r="K67" s="529" t="str">
        <f t="shared" si="14"/>
        <v>（含）-</v>
      </c>
      <c r="L67" s="529" t="str">
        <f t="shared" si="14"/>
        <v>（含）-</v>
      </c>
      <c r="M67" s="426" t="str">
        <f>M68&amp;"（含）"&amp;"-"&amp;P68</f>
        <v>（含）-</v>
      </c>
      <c r="N67" s="1263"/>
      <c r="O67" s="1263"/>
      <c r="P67" s="2422"/>
      <c r="Q67" s="484"/>
    </row>
    <row r="68" spans="1:17" ht="15">
      <c r="A68" s="515"/>
      <c r="B68" s="530"/>
      <c r="C68" s="531"/>
      <c r="D68" s="531"/>
      <c r="E68" s="531"/>
      <c r="F68" s="531"/>
      <c r="G68" s="531"/>
      <c r="H68" s="531"/>
      <c r="I68" s="531"/>
      <c r="J68" s="531"/>
      <c r="K68" s="532"/>
      <c r="L68" s="533"/>
      <c r="M68" s="534"/>
      <c r="N68" s="1262"/>
      <c r="O68" s="1262"/>
      <c r="P68" s="2422"/>
      <c r="Q68" s="484"/>
    </row>
    <row r="69" spans="1:17" ht="15.75" thickBot="1">
      <c r="A69" s="515"/>
      <c r="B69" s="516"/>
      <c r="C69" s="526">
        <v>100</v>
      </c>
      <c r="D69" s="526">
        <f t="shared" ref="D69:M69" si="15">C69-$K11</f>
        <v>100</v>
      </c>
      <c r="E69" s="526">
        <f t="shared" si="15"/>
        <v>100</v>
      </c>
      <c r="F69" s="526">
        <f t="shared" si="15"/>
        <v>100</v>
      </c>
      <c r="G69" s="526">
        <f t="shared" si="15"/>
        <v>100</v>
      </c>
      <c r="H69" s="526">
        <f t="shared" si="15"/>
        <v>100</v>
      </c>
      <c r="I69" s="526">
        <f t="shared" si="15"/>
        <v>100</v>
      </c>
      <c r="J69" s="526">
        <f t="shared" si="15"/>
        <v>100</v>
      </c>
      <c r="K69" s="526">
        <f t="shared" si="15"/>
        <v>100</v>
      </c>
      <c r="L69" s="526">
        <f t="shared" si="15"/>
        <v>100</v>
      </c>
      <c r="M69" s="527">
        <f t="shared" si="15"/>
        <v>100</v>
      </c>
      <c r="N69" s="1263"/>
      <c r="O69" s="1263"/>
      <c r="P69" s="2422"/>
      <c r="Q69" s="484"/>
    </row>
    <row r="70" spans="1:17" s="451" customFormat="1" ht="15.75" thickTop="1">
      <c r="A70" s="535"/>
      <c r="B70" s="520">
        <f>B12</f>
        <v>111</v>
      </c>
      <c r="C70" s="536"/>
      <c r="D70" s="536"/>
      <c r="E70" s="536"/>
      <c r="F70" s="536"/>
      <c r="G70" s="536"/>
      <c r="H70" s="537"/>
      <c r="I70" s="537"/>
      <c r="J70" s="537"/>
      <c r="K70" s="537"/>
      <c r="L70" s="538"/>
      <c r="M70" s="539"/>
      <c r="N70" s="1264"/>
      <c r="O70" s="1264"/>
      <c r="P70" s="2423"/>
      <c r="Q70" s="542"/>
    </row>
    <row r="71" spans="1:17" s="451" customFormat="1" ht="15.75" thickBot="1">
      <c r="A71" s="535"/>
      <c r="B71" s="525"/>
      <c r="C71" s="543"/>
      <c r="D71" s="517"/>
      <c r="E71" s="517"/>
      <c r="F71" s="517"/>
      <c r="G71" s="517"/>
      <c r="H71" s="517"/>
      <c r="I71" s="517"/>
      <c r="J71" s="517"/>
      <c r="K71" s="517"/>
      <c r="L71" s="517"/>
      <c r="M71" s="518"/>
      <c r="N71" s="1263"/>
      <c r="O71" s="1263"/>
      <c r="P71" s="2423"/>
      <c r="Q71" s="542"/>
    </row>
    <row r="72" spans="1:17" s="451" customFormat="1" ht="15.75" thickTop="1">
      <c r="A72" s="535"/>
      <c r="B72" s="520">
        <f>B13</f>
        <v>111</v>
      </c>
      <c r="C72" s="536"/>
      <c r="D72" s="536"/>
      <c r="E72" s="536"/>
      <c r="F72" s="536"/>
      <c r="G72" s="536"/>
      <c r="H72" s="537"/>
      <c r="I72" s="537"/>
      <c r="J72" s="537"/>
      <c r="K72" s="537"/>
      <c r="L72" s="538"/>
      <c r="M72" s="539"/>
      <c r="N72" s="1264"/>
      <c r="O72" s="1264"/>
      <c r="P72" s="2424"/>
      <c r="Q72" s="544"/>
    </row>
    <row r="73" spans="1:17" s="451" customFormat="1" ht="15.75" thickBot="1">
      <c r="A73" s="535"/>
      <c r="B73" s="525"/>
      <c r="C73" s="543"/>
      <c r="D73" s="517"/>
      <c r="E73" s="517"/>
      <c r="F73" s="517"/>
      <c r="G73" s="543"/>
      <c r="H73" s="545"/>
      <c r="I73" s="545"/>
      <c r="J73" s="545"/>
      <c r="K73" s="545"/>
      <c r="L73" s="545"/>
      <c r="M73" s="546"/>
      <c r="N73" s="1264"/>
      <c r="O73" s="1264"/>
      <c r="P73" s="2423"/>
      <c r="Q73" s="542"/>
    </row>
    <row r="74" spans="1:17" s="451" customFormat="1" ht="15.75" thickTop="1">
      <c r="A74" s="535"/>
      <c r="B74" s="528">
        <f>B14</f>
        <v>111</v>
      </c>
      <c r="C74" s="536"/>
      <c r="D74" s="536"/>
      <c r="E74" s="536"/>
      <c r="F74" s="536"/>
      <c r="G74" s="503"/>
      <c r="H74" s="547"/>
      <c r="I74" s="547"/>
      <c r="J74" s="547"/>
      <c r="K74" s="547"/>
      <c r="L74" s="548"/>
      <c r="M74" s="549"/>
      <c r="N74" s="1264"/>
      <c r="O74" s="1264"/>
      <c r="P74" s="2425"/>
      <c r="Q74" s="542"/>
    </row>
    <row r="75" spans="1:17" s="451" customFormat="1" ht="15.75" thickBot="1">
      <c r="A75" s="551"/>
      <c r="B75" s="552"/>
      <c r="C75" s="553"/>
      <c r="D75" s="553"/>
      <c r="E75" s="553"/>
      <c r="F75" s="553"/>
      <c r="G75" s="553"/>
      <c r="H75" s="554"/>
      <c r="I75" s="554"/>
      <c r="J75" s="554"/>
      <c r="K75" s="554"/>
      <c r="L75" s="554"/>
      <c r="M75" s="555"/>
      <c r="N75" s="1264"/>
      <c r="O75" s="1264"/>
      <c r="P75" s="2423"/>
      <c r="Q75" s="542"/>
    </row>
    <row r="76" spans="1:17">
      <c r="A76" s="507" t="s">
        <v>2367</v>
      </c>
      <c r="B76" s="508" t="s">
        <v>2405</v>
      </c>
      <c r="C76" s="556" t="s">
        <v>2406</v>
      </c>
      <c r="D76" s="556" t="s">
        <v>2407</v>
      </c>
      <c r="E76" s="556" t="s">
        <v>2408</v>
      </c>
      <c r="F76" s="556" t="s">
        <v>2409</v>
      </c>
      <c r="G76" s="556" t="s">
        <v>2410</v>
      </c>
      <c r="H76" s="509"/>
      <c r="I76" s="509"/>
      <c r="J76" s="509"/>
      <c r="K76" s="557"/>
      <c r="L76" s="558"/>
      <c r="M76" s="559"/>
      <c r="N76" s="1262"/>
      <c r="O76" s="1262"/>
      <c r="P76" s="2426"/>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3"/>
      <c r="O77" s="1263"/>
      <c r="P77" s="2422"/>
      <c r="Q77" s="484"/>
    </row>
    <row r="78" spans="1:17" ht="15.75" thickTop="1">
      <c r="A78" s="515"/>
      <c r="B78" s="520" t="s">
        <v>2411</v>
      </c>
      <c r="C78" s="561" t="s">
        <v>2406</v>
      </c>
      <c r="D78" s="561" t="s">
        <v>2407</v>
      </c>
      <c r="E78" s="561" t="s">
        <v>2408</v>
      </c>
      <c r="F78" s="561" t="s">
        <v>2409</v>
      </c>
      <c r="G78" s="561" t="s">
        <v>2410</v>
      </c>
      <c r="H78" s="521"/>
      <c r="I78" s="521"/>
      <c r="J78" s="521"/>
      <c r="K78" s="522"/>
      <c r="L78" s="523"/>
      <c r="M78" s="524"/>
      <c r="N78" s="1262"/>
      <c r="O78" s="1262"/>
      <c r="P78" s="2422"/>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3"/>
      <c r="O79" s="1263"/>
      <c r="P79" s="2422"/>
      <c r="Q79" s="484"/>
    </row>
    <row r="80" spans="1:17" ht="15.75" thickTop="1">
      <c r="A80" s="515"/>
      <c r="B80" s="520" t="s">
        <v>2412</v>
      </c>
      <c r="C80" s="561" t="s">
        <v>2406</v>
      </c>
      <c r="D80" s="561" t="s">
        <v>2407</v>
      </c>
      <c r="E80" s="561" t="s">
        <v>2408</v>
      </c>
      <c r="F80" s="561" t="s">
        <v>2409</v>
      </c>
      <c r="G80" s="561" t="s">
        <v>2410</v>
      </c>
      <c r="H80" s="521"/>
      <c r="I80" s="521"/>
      <c r="J80" s="521"/>
      <c r="K80" s="522"/>
      <c r="L80" s="523"/>
      <c r="M80" s="524"/>
      <c r="N80" s="1262"/>
      <c r="O80" s="1262"/>
      <c r="P80" s="2422"/>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3"/>
      <c r="O81" s="1263"/>
      <c r="P81" s="2422"/>
      <c r="Q81" s="484"/>
    </row>
    <row r="82" spans="1:17" ht="15.75" thickTop="1">
      <c r="A82" s="515"/>
      <c r="B82" s="528" t="s">
        <v>2455</v>
      </c>
      <c r="C82" s="521" t="s">
        <v>2413</v>
      </c>
      <c r="D82" s="521" t="s">
        <v>2414</v>
      </c>
      <c r="E82" s="521" t="s">
        <v>2415</v>
      </c>
      <c r="F82" s="521" t="s">
        <v>2416</v>
      </c>
      <c r="G82" s="521" t="s">
        <v>2417</v>
      </c>
      <c r="H82" s="521"/>
      <c r="I82" s="521"/>
      <c r="J82" s="521"/>
      <c r="K82" s="521"/>
      <c r="L82" s="521"/>
      <c r="M82" s="1462"/>
      <c r="N82" s="1263"/>
      <c r="O82" s="1263"/>
      <c r="P82" s="2422"/>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3"/>
      <c r="O83" s="1263"/>
      <c r="P83" s="2422"/>
      <c r="Q83" s="484"/>
    </row>
    <row r="84" spans="1:17" ht="15.75" thickTop="1">
      <c r="A84" s="515"/>
      <c r="B84" s="520" t="s">
        <v>2418</v>
      </c>
      <c r="C84" s="561" t="s">
        <v>2406</v>
      </c>
      <c r="D84" s="561" t="s">
        <v>2407</v>
      </c>
      <c r="E84" s="561" t="s">
        <v>2408</v>
      </c>
      <c r="F84" s="561" t="s">
        <v>2409</v>
      </c>
      <c r="G84" s="561" t="s">
        <v>2410</v>
      </c>
      <c r="H84" s="521"/>
      <c r="I84" s="521"/>
      <c r="J84" s="521"/>
      <c r="K84" s="522"/>
      <c r="L84" s="523"/>
      <c r="M84" s="524"/>
      <c r="N84" s="1262"/>
      <c r="O84" s="1262"/>
      <c r="P84" s="2422"/>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3"/>
      <c r="O85" s="1263"/>
      <c r="P85" s="2422"/>
      <c r="Q85" s="484"/>
    </row>
    <row r="86" spans="1:17" s="35" customFormat="1" ht="15.75" thickTop="1">
      <c r="A86" s="562"/>
      <c r="B86" s="520" t="s">
        <v>2475</v>
      </c>
      <c r="C86" s="536"/>
      <c r="D86" s="536"/>
      <c r="E86" s="536"/>
      <c r="F86" s="536"/>
      <c r="G86" s="536"/>
      <c r="H86" s="536"/>
      <c r="I86" s="536"/>
      <c r="J86" s="536"/>
      <c r="K86" s="536"/>
      <c r="L86" s="563"/>
      <c r="M86" s="564"/>
      <c r="N86" s="1261"/>
      <c r="O86" s="1261"/>
      <c r="P86" s="2422"/>
      <c r="Q86" s="484"/>
    </row>
    <row r="87" spans="1:17" s="35" customFormat="1" ht="15.75" thickBot="1">
      <c r="A87" s="562"/>
      <c r="B87" s="525"/>
      <c r="C87" s="565">
        <v>100</v>
      </c>
      <c r="D87" s="526">
        <f t="shared" ref="D87:M87" si="16">C87-$K25</f>
        <v>100</v>
      </c>
      <c r="E87" s="526">
        <f t="shared" si="16"/>
        <v>100</v>
      </c>
      <c r="F87" s="526">
        <f t="shared" si="16"/>
        <v>100</v>
      </c>
      <c r="G87" s="526">
        <f t="shared" si="16"/>
        <v>100</v>
      </c>
      <c r="H87" s="526">
        <f t="shared" si="16"/>
        <v>100</v>
      </c>
      <c r="I87" s="526">
        <f t="shared" si="16"/>
        <v>100</v>
      </c>
      <c r="J87" s="526">
        <f t="shared" si="16"/>
        <v>100</v>
      </c>
      <c r="K87" s="526">
        <f t="shared" si="16"/>
        <v>100</v>
      </c>
      <c r="L87" s="526">
        <f t="shared" si="16"/>
        <v>100</v>
      </c>
      <c r="M87" s="526">
        <f t="shared" si="16"/>
        <v>100</v>
      </c>
      <c r="N87" s="1263"/>
      <c r="O87" s="1263"/>
      <c r="P87" s="2422"/>
      <c r="Q87" s="484"/>
    </row>
    <row r="88" spans="1:17" s="35" customFormat="1" ht="15.75" thickTop="1">
      <c r="A88" s="562"/>
      <c r="B88" s="520" t="str">
        <f>B26</f>
        <v>平面位置/可视性</v>
      </c>
      <c r="C88" s="536"/>
      <c r="D88" s="536"/>
      <c r="E88" s="536"/>
      <c r="F88" s="2427"/>
      <c r="G88" s="536"/>
      <c r="H88" s="536"/>
      <c r="I88" s="536"/>
      <c r="J88" s="536"/>
      <c r="K88" s="536"/>
      <c r="L88" s="536"/>
      <c r="M88" s="564"/>
      <c r="N88" s="1261"/>
      <c r="O88" s="1261"/>
      <c r="P88" s="2422"/>
      <c r="Q88" s="484"/>
    </row>
    <row r="89" spans="1:17" s="35" customFormat="1" ht="15.75" thickBot="1">
      <c r="A89" s="562"/>
      <c r="B89" s="525"/>
      <c r="C89" s="543"/>
      <c r="D89" s="517"/>
      <c r="E89" s="517"/>
      <c r="F89" s="517"/>
      <c r="G89" s="517"/>
      <c r="H89" s="517"/>
      <c r="I89" s="517"/>
      <c r="J89" s="517"/>
      <c r="K89" s="517"/>
      <c r="L89" s="517"/>
      <c r="M89" s="517"/>
      <c r="N89" s="1263"/>
      <c r="O89" s="1263"/>
      <c r="P89" s="2422"/>
      <c r="Q89" s="484"/>
    </row>
    <row r="90" spans="1:17" s="451" customFormat="1" ht="15.75" thickTop="1">
      <c r="A90" s="535"/>
      <c r="B90" s="520" t="str">
        <f>B27</f>
        <v>人流量</v>
      </c>
      <c r="C90" s="536"/>
      <c r="D90" s="536"/>
      <c r="E90" s="536"/>
      <c r="F90" s="536"/>
      <c r="G90" s="536"/>
      <c r="H90" s="537"/>
      <c r="I90" s="537"/>
      <c r="J90" s="537"/>
      <c r="K90" s="537"/>
      <c r="L90" s="538"/>
      <c r="M90" s="539"/>
      <c r="N90" s="1264"/>
      <c r="O90" s="1264"/>
      <c r="P90" s="2423"/>
      <c r="Q90" s="542"/>
    </row>
    <row r="91" spans="1:17" s="451" customFormat="1" ht="15.75" thickBot="1">
      <c r="A91" s="535"/>
      <c r="B91" s="525"/>
      <c r="C91" s="565">
        <v>100</v>
      </c>
      <c r="D91" s="526">
        <f>C91-$K27</f>
        <v>100</v>
      </c>
      <c r="E91" s="526">
        <f t="shared" ref="E91:M91" si="17">D91-$K27</f>
        <v>100</v>
      </c>
      <c r="F91" s="526">
        <f t="shared" si="17"/>
        <v>100</v>
      </c>
      <c r="G91" s="526">
        <f t="shared" si="17"/>
        <v>100</v>
      </c>
      <c r="H91" s="526">
        <f t="shared" si="17"/>
        <v>100</v>
      </c>
      <c r="I91" s="526">
        <f t="shared" si="17"/>
        <v>100</v>
      </c>
      <c r="J91" s="526">
        <f t="shared" si="17"/>
        <v>100</v>
      </c>
      <c r="K91" s="526">
        <f t="shared" si="17"/>
        <v>100</v>
      </c>
      <c r="L91" s="526">
        <f t="shared" si="17"/>
        <v>100</v>
      </c>
      <c r="M91" s="526">
        <f t="shared" si="17"/>
        <v>100</v>
      </c>
      <c r="N91" s="1264"/>
      <c r="O91" s="1264"/>
      <c r="P91" s="2423"/>
      <c r="Q91" s="542"/>
    </row>
    <row r="92" spans="1:17" ht="15.75" thickTop="1">
      <c r="A92" s="515"/>
      <c r="B92" s="520" t="str">
        <f>B28</f>
        <v>楼层</v>
      </c>
      <c r="C92" s="536"/>
      <c r="D92" s="536"/>
      <c r="E92" s="536"/>
      <c r="F92" s="536"/>
      <c r="G92" s="536"/>
      <c r="H92" s="536"/>
      <c r="I92" s="536"/>
      <c r="J92" s="536"/>
      <c r="K92" s="536"/>
      <c r="L92" s="563"/>
      <c r="M92" s="564"/>
      <c r="N92" s="1262"/>
      <c r="O92" s="1262"/>
      <c r="P92" s="2422"/>
      <c r="Q92" s="484"/>
    </row>
    <row r="93" spans="1:17" ht="15.75" thickBot="1">
      <c r="A93" s="515"/>
      <c r="B93" s="525"/>
      <c r="C93" s="517"/>
      <c r="D93" s="517"/>
      <c r="E93" s="517"/>
      <c r="F93" s="517"/>
      <c r="G93" s="517"/>
      <c r="H93" s="517"/>
      <c r="I93" s="517"/>
      <c r="J93" s="517"/>
      <c r="K93" s="517"/>
      <c r="L93" s="517"/>
      <c r="M93" s="518"/>
      <c r="N93" s="1263"/>
      <c r="O93" s="1263"/>
      <c r="P93" s="2422"/>
      <c r="Q93" s="484"/>
    </row>
    <row r="94" spans="1:17" ht="15.75" thickTop="1">
      <c r="A94" s="515"/>
      <c r="B94" s="520">
        <f>B29</f>
        <v>111</v>
      </c>
      <c r="C94" s="536"/>
      <c r="D94" s="536"/>
      <c r="E94" s="536"/>
      <c r="F94" s="536"/>
      <c r="G94" s="566"/>
      <c r="H94" s="566"/>
      <c r="I94" s="566"/>
      <c r="J94" s="566"/>
      <c r="K94" s="567"/>
      <c r="L94" s="568"/>
      <c r="M94" s="569"/>
      <c r="N94" s="1262"/>
      <c r="O94" s="1262"/>
      <c r="P94" s="2422"/>
      <c r="Q94" s="484"/>
    </row>
    <row r="95" spans="1:17" ht="15.75" thickBot="1">
      <c r="A95" s="515"/>
      <c r="B95" s="525"/>
      <c r="C95" s="543"/>
      <c r="D95" s="517"/>
      <c r="E95" s="517"/>
      <c r="F95" s="517"/>
      <c r="G95" s="517"/>
      <c r="H95" s="517"/>
      <c r="I95" s="517"/>
      <c r="J95" s="517"/>
      <c r="K95" s="517"/>
      <c r="L95" s="517"/>
      <c r="M95" s="518"/>
      <c r="N95" s="1263"/>
      <c r="O95" s="1263"/>
      <c r="P95" s="2422"/>
      <c r="Q95" s="484"/>
    </row>
    <row r="96" spans="1:17" ht="15.75" thickTop="1">
      <c r="A96" s="515"/>
      <c r="B96" s="520">
        <f>B30</f>
        <v>111</v>
      </c>
      <c r="C96" s="536"/>
      <c r="D96" s="536"/>
      <c r="E96" s="536"/>
      <c r="F96" s="536"/>
      <c r="G96" s="566"/>
      <c r="H96" s="566"/>
      <c r="I96" s="566"/>
      <c r="J96" s="566"/>
      <c r="K96" s="567"/>
      <c r="L96" s="568"/>
      <c r="M96" s="569"/>
      <c r="N96" s="1262"/>
      <c r="O96" s="1262"/>
      <c r="P96" s="2422"/>
      <c r="Q96" s="484"/>
    </row>
    <row r="97" spans="1:17" ht="15.75" thickBot="1">
      <c r="A97" s="515"/>
      <c r="B97" s="525"/>
      <c r="C97" s="543"/>
      <c r="D97" s="517"/>
      <c r="E97" s="517"/>
      <c r="F97" s="517"/>
      <c r="G97" s="517"/>
      <c r="H97" s="517"/>
      <c r="I97" s="517"/>
      <c r="J97" s="517"/>
      <c r="K97" s="517"/>
      <c r="L97" s="517"/>
      <c r="M97" s="518"/>
      <c r="N97" s="1263"/>
      <c r="O97" s="1263"/>
      <c r="P97" s="2422"/>
      <c r="Q97" s="484"/>
    </row>
    <row r="98" spans="1:17" ht="15.75" thickTop="1">
      <c r="A98" s="515"/>
      <c r="B98" s="528">
        <f>B31</f>
        <v>111</v>
      </c>
      <c r="C98" s="536"/>
      <c r="D98" s="536"/>
      <c r="E98" s="536"/>
      <c r="F98" s="536"/>
      <c r="G98" s="570"/>
      <c r="H98" s="570"/>
      <c r="I98" s="570"/>
      <c r="J98" s="570"/>
      <c r="K98" s="571"/>
      <c r="L98" s="572"/>
      <c r="M98" s="573"/>
      <c r="N98" s="1262"/>
      <c r="O98" s="1262"/>
      <c r="P98" s="2422"/>
      <c r="Q98" s="484"/>
    </row>
    <row r="99" spans="1:17" ht="15.75" thickBot="1">
      <c r="A99" s="2428"/>
      <c r="B99" s="552"/>
      <c r="C99" s="553"/>
      <c r="D99" s="553"/>
      <c r="E99" s="553"/>
      <c r="F99" s="553"/>
      <c r="G99" s="574"/>
      <c r="H99" s="574"/>
      <c r="I99" s="574"/>
      <c r="J99" s="574"/>
      <c r="K99" s="574"/>
      <c r="L99" s="574"/>
      <c r="M99" s="575"/>
      <c r="N99" s="1263"/>
      <c r="O99" s="1263"/>
      <c r="P99" s="2422"/>
      <c r="Q99" s="484"/>
    </row>
    <row r="100" spans="1:17">
      <c r="A100" s="507" t="s">
        <v>2372</v>
      </c>
      <c r="B100" s="508" t="s">
        <v>2476</v>
      </c>
      <c r="C100" s="510"/>
      <c r="D100" s="510"/>
      <c r="E100" s="510"/>
      <c r="F100" s="510"/>
      <c r="G100" s="510"/>
      <c r="H100" s="510"/>
      <c r="I100" s="510"/>
      <c r="J100" s="510"/>
      <c r="K100" s="511"/>
      <c r="L100" s="512"/>
      <c r="M100" s="513"/>
      <c r="N100" s="1262"/>
      <c r="O100" s="1262"/>
      <c r="P100" s="2422"/>
      <c r="Q100" s="484"/>
    </row>
    <row r="101" spans="1:17" ht="15.75" thickBot="1">
      <c r="A101" s="515"/>
      <c r="B101" s="525"/>
      <c r="C101" s="526">
        <v>100</v>
      </c>
      <c r="D101" s="526">
        <f t="shared" ref="D101:M101" si="18">C101-$K32</f>
        <v>100</v>
      </c>
      <c r="E101" s="526">
        <f t="shared" si="18"/>
        <v>100</v>
      </c>
      <c r="F101" s="526">
        <f t="shared" si="18"/>
        <v>100</v>
      </c>
      <c r="G101" s="526">
        <f t="shared" si="18"/>
        <v>100</v>
      </c>
      <c r="H101" s="526">
        <f t="shared" si="18"/>
        <v>100</v>
      </c>
      <c r="I101" s="526">
        <f t="shared" si="18"/>
        <v>100</v>
      </c>
      <c r="J101" s="526">
        <f t="shared" si="18"/>
        <v>100</v>
      </c>
      <c r="K101" s="526">
        <f t="shared" si="18"/>
        <v>100</v>
      </c>
      <c r="L101" s="526">
        <f t="shared" si="18"/>
        <v>100</v>
      </c>
      <c r="M101" s="527">
        <f t="shared" si="18"/>
        <v>100</v>
      </c>
      <c r="N101" s="1263"/>
      <c r="O101" s="1263"/>
      <c r="P101" s="2422"/>
      <c r="Q101" s="484"/>
    </row>
    <row r="102" spans="1:17" ht="15.75" thickTop="1">
      <c r="A102" s="515"/>
      <c r="B102" s="520" t="s">
        <v>2422</v>
      </c>
      <c r="C102" s="561" t="str">
        <f>C103&amp;"(含)"&amp;"-"&amp;D103</f>
        <v>(含)-</v>
      </c>
      <c r="D102" s="561" t="str">
        <f t="shared" ref="D102:L102" si="19">D103&amp;"(含)"&amp;"-"&amp;E103</f>
        <v>(含)-</v>
      </c>
      <c r="E102" s="561" t="str">
        <f t="shared" si="19"/>
        <v>(含)-</v>
      </c>
      <c r="F102" s="561" t="str">
        <f t="shared" si="19"/>
        <v>(含)-</v>
      </c>
      <c r="G102" s="561" t="str">
        <f t="shared" si="19"/>
        <v>(含)-</v>
      </c>
      <c r="H102" s="561" t="str">
        <f t="shared" si="19"/>
        <v>(含)-</v>
      </c>
      <c r="I102" s="561" t="str">
        <f t="shared" si="19"/>
        <v>(含)-</v>
      </c>
      <c r="J102" s="561" t="str">
        <f t="shared" si="19"/>
        <v>(含)-</v>
      </c>
      <c r="K102" s="561" t="str">
        <f t="shared" si="19"/>
        <v>(含)-</v>
      </c>
      <c r="L102" s="561" t="str">
        <f t="shared" si="19"/>
        <v>(含)-</v>
      </c>
      <c r="M102" s="605" t="str">
        <f>M103&amp;"(含)"&amp;"-"&amp;P103</f>
        <v>(含)-</v>
      </c>
      <c r="N102" s="1261"/>
      <c r="O102" s="1261"/>
      <c r="P102" s="2422"/>
      <c r="Q102" s="484"/>
    </row>
    <row r="103" spans="1:17" s="451" customFormat="1">
      <c r="A103" s="576"/>
      <c r="B103" s="577"/>
      <c r="C103" s="578"/>
      <c r="D103" s="578"/>
      <c r="E103" s="578"/>
      <c r="F103" s="578"/>
      <c r="G103" s="578"/>
      <c r="H103" s="578"/>
      <c r="I103" s="578"/>
      <c r="J103" s="579"/>
      <c r="K103" s="579"/>
      <c r="L103" s="580"/>
      <c r="M103" s="581"/>
      <c r="N103" s="1264"/>
      <c r="O103" s="1264"/>
      <c r="P103" s="2423"/>
      <c r="Q103" s="542"/>
    </row>
    <row r="104" spans="1:17" s="451" customFormat="1" ht="15.75" thickBot="1">
      <c r="A104" s="535"/>
      <c r="B104" s="525"/>
      <c r="C104" s="543"/>
      <c r="D104" s="517"/>
      <c r="E104" s="517"/>
      <c r="F104" s="517"/>
      <c r="G104" s="517"/>
      <c r="H104" s="517"/>
      <c r="I104" s="517"/>
      <c r="J104" s="517"/>
      <c r="K104" s="517"/>
      <c r="L104" s="517"/>
      <c r="M104" s="518"/>
      <c r="N104" s="1263"/>
      <c r="O104" s="1263"/>
      <c r="P104" s="2423"/>
      <c r="Q104" s="542"/>
    </row>
    <row r="105" spans="1:17" ht="15" thickTop="1">
      <c r="A105" s="582"/>
      <c r="B105" s="520" t="s">
        <v>2423</v>
      </c>
      <c r="C105" s="536"/>
      <c r="D105" s="536"/>
      <c r="E105" s="566"/>
      <c r="F105" s="566"/>
      <c r="G105" s="566"/>
      <c r="H105" s="566"/>
      <c r="I105" s="566"/>
      <c r="J105" s="566"/>
      <c r="K105" s="567"/>
      <c r="L105" s="568"/>
      <c r="M105" s="569"/>
      <c r="N105" s="1262"/>
      <c r="O105" s="1262"/>
      <c r="P105" s="2422"/>
      <c r="Q105" s="484"/>
    </row>
    <row r="106" spans="1:17" ht="15.75" thickBot="1">
      <c r="A106" s="515"/>
      <c r="B106" s="525"/>
      <c r="C106" s="526">
        <v>100</v>
      </c>
      <c r="D106" s="526">
        <f t="shared" ref="D106:M106" si="20">C106-$K34</f>
        <v>100</v>
      </c>
      <c r="E106" s="526">
        <f t="shared" si="20"/>
        <v>100</v>
      </c>
      <c r="F106" s="526">
        <f t="shared" si="20"/>
        <v>100</v>
      </c>
      <c r="G106" s="526">
        <f t="shared" si="20"/>
        <v>100</v>
      </c>
      <c r="H106" s="526">
        <f t="shared" si="20"/>
        <v>100</v>
      </c>
      <c r="I106" s="526">
        <f t="shared" si="20"/>
        <v>100</v>
      </c>
      <c r="J106" s="526">
        <f t="shared" si="20"/>
        <v>100</v>
      </c>
      <c r="K106" s="526">
        <f t="shared" si="20"/>
        <v>100</v>
      </c>
      <c r="L106" s="526">
        <f t="shared" si="20"/>
        <v>100</v>
      </c>
      <c r="M106" s="527">
        <f t="shared" si="20"/>
        <v>100</v>
      </c>
      <c r="N106" s="1263"/>
      <c r="O106" s="1263"/>
      <c r="P106" s="2422"/>
      <c r="Q106" s="484"/>
    </row>
    <row r="107" spans="1:17" ht="15" thickTop="1">
      <c r="A107" s="582"/>
      <c r="B107" s="520" t="s">
        <v>2425</v>
      </c>
      <c r="C107" s="536"/>
      <c r="D107" s="536"/>
      <c r="E107" s="536"/>
      <c r="F107" s="566"/>
      <c r="G107" s="566"/>
      <c r="H107" s="566"/>
      <c r="I107" s="566"/>
      <c r="J107" s="566"/>
      <c r="K107" s="567"/>
      <c r="L107" s="568"/>
      <c r="M107" s="569"/>
      <c r="N107" s="1262"/>
      <c r="O107" s="1262"/>
      <c r="P107" s="2422"/>
      <c r="Q107" s="484"/>
    </row>
    <row r="108" spans="1:17" ht="15.75" thickBot="1">
      <c r="A108" s="515"/>
      <c r="B108" s="525"/>
      <c r="C108" s="526">
        <v>100</v>
      </c>
      <c r="D108" s="526">
        <f t="shared" ref="D108:M108" si="21">C108-$K35</f>
        <v>100</v>
      </c>
      <c r="E108" s="526">
        <f t="shared" si="21"/>
        <v>100</v>
      </c>
      <c r="F108" s="526">
        <f t="shared" si="21"/>
        <v>100</v>
      </c>
      <c r="G108" s="526">
        <f t="shared" si="21"/>
        <v>100</v>
      </c>
      <c r="H108" s="526">
        <f t="shared" si="21"/>
        <v>100</v>
      </c>
      <c r="I108" s="526">
        <f t="shared" si="21"/>
        <v>100</v>
      </c>
      <c r="J108" s="526">
        <f t="shared" si="21"/>
        <v>100</v>
      </c>
      <c r="K108" s="526">
        <f t="shared" si="21"/>
        <v>100</v>
      </c>
      <c r="L108" s="526">
        <f t="shared" si="21"/>
        <v>100</v>
      </c>
      <c r="M108" s="527">
        <f t="shared" si="21"/>
        <v>100</v>
      </c>
      <c r="N108" s="1263"/>
      <c r="O108" s="1263"/>
      <c r="P108" s="2422"/>
      <c r="Q108" s="484"/>
    </row>
    <row r="109" spans="1:17" ht="15" thickTop="1">
      <c r="A109" s="582"/>
      <c r="B109" s="520" t="s">
        <v>2426</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22"/>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22"/>
      <c r="Q110" s="484"/>
    </row>
    <row r="111" spans="1:17" ht="15.75" thickBot="1">
      <c r="A111" s="515"/>
      <c r="B111" s="525"/>
      <c r="C111" s="565">
        <v>100</v>
      </c>
      <c r="D111" s="526">
        <f>C111+$K36</f>
        <v>100</v>
      </c>
      <c r="E111" s="526">
        <f t="shared" ref="E111:M111" si="22">D111+$K36</f>
        <v>100</v>
      </c>
      <c r="F111" s="526">
        <f t="shared" si="22"/>
        <v>100</v>
      </c>
      <c r="G111" s="526">
        <f t="shared" si="22"/>
        <v>100</v>
      </c>
      <c r="H111" s="526">
        <f t="shared" si="22"/>
        <v>100</v>
      </c>
      <c r="I111" s="526">
        <f t="shared" si="22"/>
        <v>100</v>
      </c>
      <c r="J111" s="526">
        <f t="shared" si="22"/>
        <v>100</v>
      </c>
      <c r="K111" s="526">
        <f t="shared" si="22"/>
        <v>100</v>
      </c>
      <c r="L111" s="526">
        <f t="shared" si="22"/>
        <v>100</v>
      </c>
      <c r="M111" s="526">
        <f t="shared" si="22"/>
        <v>100</v>
      </c>
      <c r="N111" s="1263"/>
      <c r="O111" s="1263"/>
      <c r="P111" s="2422"/>
      <c r="Q111" s="484"/>
    </row>
    <row r="112" spans="1:17" s="451" customFormat="1" ht="15" thickTop="1">
      <c r="A112" s="576"/>
      <c r="B112" s="520" t="s">
        <v>2428</v>
      </c>
      <c r="C112" s="536"/>
      <c r="D112" s="536"/>
      <c r="E112" s="536"/>
      <c r="F112" s="536"/>
      <c r="G112" s="536"/>
      <c r="H112" s="566"/>
      <c r="I112" s="566"/>
      <c r="J112" s="566"/>
      <c r="K112" s="567"/>
      <c r="L112" s="568"/>
      <c r="M112" s="569"/>
      <c r="N112" s="1264"/>
      <c r="O112" s="1264"/>
      <c r="P112" s="2423"/>
      <c r="Q112" s="542"/>
    </row>
    <row r="113" spans="1:17" s="451" customFormat="1" ht="15.75" thickBot="1">
      <c r="A113" s="535"/>
      <c r="B113" s="525"/>
      <c r="C113" s="526">
        <v>100</v>
      </c>
      <c r="D113" s="526">
        <f>C113-$K37</f>
        <v>100</v>
      </c>
      <c r="E113" s="526">
        <f t="shared" ref="E113:M113" si="23">D113-$K37</f>
        <v>100</v>
      </c>
      <c r="F113" s="526">
        <f t="shared" si="23"/>
        <v>100</v>
      </c>
      <c r="G113" s="526">
        <f t="shared" si="23"/>
        <v>100</v>
      </c>
      <c r="H113" s="526">
        <f t="shared" si="23"/>
        <v>100</v>
      </c>
      <c r="I113" s="526">
        <f t="shared" si="23"/>
        <v>100</v>
      </c>
      <c r="J113" s="526">
        <f t="shared" si="23"/>
        <v>100</v>
      </c>
      <c r="K113" s="526">
        <f t="shared" si="23"/>
        <v>100</v>
      </c>
      <c r="L113" s="526">
        <f t="shared" si="23"/>
        <v>100</v>
      </c>
      <c r="M113" s="526">
        <f t="shared" si="23"/>
        <v>100</v>
      </c>
      <c r="N113" s="1264"/>
      <c r="O113" s="1264"/>
      <c r="P113" s="2423"/>
      <c r="Q113" s="542"/>
    </row>
    <row r="114" spans="1:17" ht="15" thickTop="1">
      <c r="A114" s="582"/>
      <c r="B114" s="520" t="s">
        <v>2477</v>
      </c>
      <c r="C114" s="536"/>
      <c r="D114" s="536"/>
      <c r="E114" s="566"/>
      <c r="F114" s="566"/>
      <c r="G114" s="566"/>
      <c r="H114" s="566"/>
      <c r="I114" s="566"/>
      <c r="J114" s="566"/>
      <c r="K114" s="567"/>
      <c r="L114" s="568"/>
      <c r="M114" s="569"/>
      <c r="N114" s="1262"/>
      <c r="O114" s="1262"/>
      <c r="P114" s="2422"/>
      <c r="Q114" s="484"/>
    </row>
    <row r="115" spans="1:17" ht="15.75" thickBot="1">
      <c r="A115" s="515"/>
      <c r="B115" s="525"/>
      <c r="C115" s="526">
        <v>100</v>
      </c>
      <c r="D115" s="526">
        <f t="shared" ref="D115:M115" si="24">C115-$K38</f>
        <v>100</v>
      </c>
      <c r="E115" s="526">
        <f t="shared" si="24"/>
        <v>100</v>
      </c>
      <c r="F115" s="526">
        <f t="shared" si="24"/>
        <v>100</v>
      </c>
      <c r="G115" s="526">
        <f t="shared" si="24"/>
        <v>100</v>
      </c>
      <c r="H115" s="526">
        <f t="shared" si="24"/>
        <v>100</v>
      </c>
      <c r="I115" s="526">
        <f t="shared" si="24"/>
        <v>100</v>
      </c>
      <c r="J115" s="526">
        <f t="shared" si="24"/>
        <v>100</v>
      </c>
      <c r="K115" s="526">
        <f t="shared" si="24"/>
        <v>100</v>
      </c>
      <c r="L115" s="526">
        <f t="shared" si="24"/>
        <v>100</v>
      </c>
      <c r="M115" s="527">
        <f t="shared" si="24"/>
        <v>100</v>
      </c>
      <c r="N115" s="1263"/>
      <c r="O115" s="1263"/>
      <c r="P115" s="2422"/>
      <c r="Q115" s="484"/>
    </row>
    <row r="116" spans="1:17" ht="15" thickTop="1">
      <c r="A116" s="582"/>
      <c r="B116" s="520" t="s">
        <v>2478</v>
      </c>
      <c r="C116" s="536"/>
      <c r="D116" s="536"/>
      <c r="E116" s="536"/>
      <c r="F116" s="536"/>
      <c r="G116" s="536"/>
      <c r="H116" s="566"/>
      <c r="I116" s="566"/>
      <c r="J116" s="566"/>
      <c r="K116" s="567"/>
      <c r="L116" s="568"/>
      <c r="M116" s="569"/>
      <c r="N116" s="1262"/>
      <c r="O116" s="1262"/>
      <c r="P116" s="2422"/>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22"/>
      <c r="Q117" s="484"/>
    </row>
    <row r="118" spans="1:17" ht="15" thickTop="1">
      <c r="A118" s="582"/>
      <c r="B118" s="520" t="s">
        <v>2479</v>
      </c>
      <c r="C118" s="610"/>
      <c r="D118" s="610"/>
      <c r="E118" s="610"/>
      <c r="F118" s="610"/>
      <c r="G118" s="610"/>
      <c r="H118" s="537"/>
      <c r="I118" s="537"/>
      <c r="J118" s="537"/>
      <c r="K118" s="537"/>
      <c r="L118" s="538"/>
      <c r="M118" s="539"/>
      <c r="N118" s="1262"/>
      <c r="O118" s="1262"/>
      <c r="P118" s="2422"/>
      <c r="Q118" s="484"/>
    </row>
    <row r="119" spans="1:17" ht="15.75" thickBot="1">
      <c r="A119" s="515"/>
      <c r="B119" s="525"/>
      <c r="C119" s="543"/>
      <c r="D119" s="517"/>
      <c r="E119" s="517"/>
      <c r="F119" s="517"/>
      <c r="G119" s="517"/>
      <c r="H119" s="517"/>
      <c r="I119" s="517"/>
      <c r="J119" s="517"/>
      <c r="K119" s="517"/>
      <c r="L119" s="517"/>
      <c r="M119" s="518"/>
      <c r="N119" s="1263"/>
      <c r="O119" s="1263"/>
      <c r="P119" s="2422"/>
      <c r="Q119" s="484"/>
    </row>
    <row r="120" spans="1:17" s="451" customFormat="1" ht="15" thickTop="1">
      <c r="A120" s="576"/>
      <c r="B120" s="520" t="s">
        <v>2480</v>
      </c>
      <c r="C120" s="566"/>
      <c r="D120" s="566"/>
      <c r="E120" s="566"/>
      <c r="F120" s="566"/>
      <c r="G120" s="537"/>
      <c r="H120" s="537"/>
      <c r="I120" s="537"/>
      <c r="J120" s="537"/>
      <c r="K120" s="537"/>
      <c r="L120" s="538"/>
      <c r="M120" s="539"/>
      <c r="N120" s="1264"/>
      <c r="O120" s="1264"/>
      <c r="P120" s="2423"/>
      <c r="Q120" s="542"/>
    </row>
    <row r="121" spans="1:17" s="451" customFormat="1" ht="15.75" thickBot="1">
      <c r="A121" s="535"/>
      <c r="B121" s="516"/>
      <c r="C121" s="565">
        <v>100</v>
      </c>
      <c r="D121" s="526">
        <f>C121-$K41</f>
        <v>100</v>
      </c>
      <c r="E121" s="526">
        <f t="shared" ref="E121:M121" si="25">D121-$K41</f>
        <v>100</v>
      </c>
      <c r="F121" s="526">
        <f t="shared" si="25"/>
        <v>100</v>
      </c>
      <c r="G121" s="526">
        <f t="shared" si="25"/>
        <v>100</v>
      </c>
      <c r="H121" s="526">
        <f t="shared" si="25"/>
        <v>100</v>
      </c>
      <c r="I121" s="526">
        <f t="shared" si="25"/>
        <v>100</v>
      </c>
      <c r="J121" s="526">
        <f t="shared" si="25"/>
        <v>100</v>
      </c>
      <c r="K121" s="526">
        <f t="shared" si="25"/>
        <v>100</v>
      </c>
      <c r="L121" s="526">
        <f t="shared" si="25"/>
        <v>100</v>
      </c>
      <c r="M121" s="527">
        <f t="shared" si="25"/>
        <v>100</v>
      </c>
      <c r="N121" s="1264"/>
      <c r="O121" s="1264"/>
      <c r="P121" s="2423"/>
      <c r="Q121" s="542"/>
    </row>
    <row r="122" spans="1:17" ht="15" thickTop="1">
      <c r="A122" s="582"/>
      <c r="B122" s="520" t="s">
        <v>2430</v>
      </c>
      <c r="C122" s="536"/>
      <c r="D122" s="536"/>
      <c r="E122" s="536"/>
      <c r="F122" s="566"/>
      <c r="G122" s="566"/>
      <c r="H122" s="566"/>
      <c r="I122" s="566"/>
      <c r="J122" s="566"/>
      <c r="K122" s="567"/>
      <c r="L122" s="568"/>
      <c r="M122" s="569"/>
      <c r="N122" s="1262"/>
      <c r="O122" s="1262"/>
      <c r="P122" s="2422"/>
      <c r="Q122" s="484"/>
    </row>
    <row r="123" spans="1:17" ht="15.75" thickBot="1">
      <c r="A123" s="515"/>
      <c r="B123" s="525"/>
      <c r="C123" s="526">
        <v>100</v>
      </c>
      <c r="D123" s="526">
        <f t="shared" ref="D123:M123" si="26">C123-$K42</f>
        <v>100</v>
      </c>
      <c r="E123" s="526">
        <f t="shared" si="26"/>
        <v>100</v>
      </c>
      <c r="F123" s="526">
        <f t="shared" si="26"/>
        <v>100</v>
      </c>
      <c r="G123" s="526">
        <f t="shared" si="26"/>
        <v>100</v>
      </c>
      <c r="H123" s="526">
        <f t="shared" si="26"/>
        <v>100</v>
      </c>
      <c r="I123" s="526">
        <f t="shared" si="26"/>
        <v>100</v>
      </c>
      <c r="J123" s="526">
        <f t="shared" si="26"/>
        <v>100</v>
      </c>
      <c r="K123" s="526">
        <f t="shared" si="26"/>
        <v>100</v>
      </c>
      <c r="L123" s="526">
        <f t="shared" si="26"/>
        <v>100</v>
      </c>
      <c r="M123" s="527">
        <f t="shared" si="26"/>
        <v>100</v>
      </c>
      <c r="N123" s="1263"/>
      <c r="O123" s="1263"/>
      <c r="P123" s="2422"/>
      <c r="Q123" s="484"/>
    </row>
    <row r="124" spans="1:17" ht="15" thickTop="1">
      <c r="A124" s="582"/>
      <c r="B124" s="520" t="s">
        <v>2431</v>
      </c>
      <c r="C124" s="561" t="s">
        <v>2406</v>
      </c>
      <c r="D124" s="561" t="s">
        <v>2407</v>
      </c>
      <c r="E124" s="561" t="s">
        <v>2408</v>
      </c>
      <c r="F124" s="561" t="s">
        <v>2409</v>
      </c>
      <c r="G124" s="561" t="s">
        <v>2410</v>
      </c>
      <c r="H124" s="521"/>
      <c r="I124" s="521"/>
      <c r="J124" s="521"/>
      <c r="K124" s="522"/>
      <c r="L124" s="523"/>
      <c r="M124" s="524"/>
      <c r="N124" s="1262"/>
      <c r="O124" s="1262"/>
      <c r="P124" s="2423"/>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22"/>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23"/>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23"/>
      <c r="Q127" s="542"/>
    </row>
    <row r="128" spans="1:17" ht="15" thickTop="1">
      <c r="A128" s="582"/>
      <c r="B128" s="520">
        <f>B45</f>
        <v>111</v>
      </c>
      <c r="C128" s="536"/>
      <c r="D128" s="536"/>
      <c r="E128" s="536"/>
      <c r="F128" s="536"/>
      <c r="G128" s="566"/>
      <c r="H128" s="566"/>
      <c r="I128" s="566"/>
      <c r="J128" s="566"/>
      <c r="K128" s="567"/>
      <c r="L128" s="568"/>
      <c r="M128" s="569"/>
      <c r="N128" s="1262"/>
      <c r="O128" s="1262"/>
      <c r="P128" s="2422"/>
      <c r="Q128" s="484"/>
    </row>
    <row r="129" spans="1:17" ht="15.75" thickBot="1">
      <c r="A129" s="515"/>
      <c r="B129" s="525"/>
      <c r="C129" s="543"/>
      <c r="D129" s="517"/>
      <c r="E129" s="517"/>
      <c r="F129" s="517"/>
      <c r="G129" s="517"/>
      <c r="H129" s="517"/>
      <c r="I129" s="517"/>
      <c r="J129" s="517"/>
      <c r="K129" s="517"/>
      <c r="L129" s="517"/>
      <c r="M129" s="518"/>
      <c r="N129" s="1263"/>
      <c r="O129" s="1263"/>
      <c r="P129" s="2422"/>
      <c r="Q129" s="484"/>
    </row>
    <row r="130" spans="1:17" ht="15" thickTop="1">
      <c r="A130" s="582"/>
      <c r="B130" s="528">
        <f>B46</f>
        <v>111</v>
      </c>
      <c r="C130" s="536"/>
      <c r="D130" s="536"/>
      <c r="E130" s="536"/>
      <c r="F130" s="536"/>
      <c r="G130" s="570"/>
      <c r="H130" s="570"/>
      <c r="I130" s="570"/>
      <c r="J130" s="570"/>
      <c r="K130" s="503"/>
      <c r="L130" s="504"/>
      <c r="M130" s="573"/>
      <c r="N130" s="1262"/>
      <c r="O130" s="1262"/>
      <c r="P130" s="2422"/>
      <c r="Q130" s="484"/>
    </row>
    <row r="131" spans="1:17" ht="15.75" thickBot="1">
      <c r="A131" s="2428"/>
      <c r="B131" s="552"/>
      <c r="C131" s="553"/>
      <c r="D131" s="553"/>
      <c r="E131" s="553"/>
      <c r="F131" s="553"/>
      <c r="G131" s="574"/>
      <c r="H131" s="574"/>
      <c r="I131" s="574"/>
      <c r="J131" s="574"/>
      <c r="K131" s="574"/>
      <c r="L131" s="574"/>
      <c r="M131" s="575"/>
      <c r="N131" s="1263"/>
      <c r="O131" s="1263"/>
      <c r="P131" s="2422"/>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2339</v>
      </c>
      <c r="B1" s="1729" t="s">
        <v>2481</v>
      </c>
      <c r="C1" s="1721"/>
      <c r="D1" s="1734"/>
      <c r="E1" s="2379"/>
      <c r="F1" s="1735" t="s">
        <v>2341</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6" customFormat="1" ht="28.5" customHeight="1" thickTop="1">
      <c r="A2" s="1722" t="s">
        <v>2009</v>
      </c>
      <c r="B2" s="1720" t="e">
        <f ca="1">IF(D2="——",IF(C2="元",ROUND(C50*D3,0),ROUND(C50*D3/10000,0)),IF(C2="元",ROUND(C50*D3,0),ROUND(C50*D3/10000,0))-E2)</f>
        <v>#DIV/0!</v>
      </c>
      <c r="C2" s="162" t="str">
        <f>'数据-取费表'!B3</f>
        <v>元</v>
      </c>
      <c r="D2" s="2381"/>
      <c r="E2" s="1837" t="e">
        <f ca="1">SUMIF(INDIRECT("'"&amp;G2&amp;"'"&amp;"!A:A"),"承租人权益价值",INDIRECT("'"&amp;G2&amp;"'"&amp;"!c:c"))</f>
        <v>#REF!</v>
      </c>
      <c r="F2" s="2382" t="str">
        <f>C2</f>
        <v>元</v>
      </c>
      <c r="G2" s="2383"/>
      <c r="H2" s="979"/>
      <c r="I2" s="979"/>
      <c r="J2" s="979"/>
      <c r="K2" s="979"/>
      <c r="L2" s="1236"/>
      <c r="M2" s="1237"/>
      <c r="N2" s="1237"/>
      <c r="O2" s="1237"/>
      <c r="P2" s="745"/>
      <c r="Q2" s="745"/>
      <c r="R2" s="745"/>
      <c r="S2" s="745"/>
      <c r="T2" s="745"/>
      <c r="U2" s="745"/>
      <c r="V2" s="745"/>
      <c r="W2" s="745"/>
      <c r="X2" s="745"/>
      <c r="Y2" s="745"/>
      <c r="Z2" s="745"/>
      <c r="AA2" s="745"/>
      <c r="AB2" s="2460"/>
      <c r="AC2" s="759"/>
    </row>
    <row r="3" spans="1:29" s="376" customFormat="1" ht="28.5" customHeight="1" thickBot="1">
      <c r="A3" s="166" t="s">
        <v>2010</v>
      </c>
      <c r="B3" s="592" t="e">
        <f ca="1">ROUND(IF(D2="——",C50,IF(C2="万元",B2*10000/D3,B2/D3)),0)</f>
        <v>#DIV/0!</v>
      </c>
      <c r="C3" s="378" t="s">
        <v>2342</v>
      </c>
      <c r="D3" s="377">
        <f>IF(C1="仅计算典型户型",'数据-取费表'!E5,'数据-取费表'!B5)</f>
        <v>103.71</v>
      </c>
      <c r="E3" s="2452"/>
      <c r="F3" s="980"/>
      <c r="G3" s="979"/>
      <c r="H3" s="979"/>
      <c r="I3" s="979"/>
      <c r="J3" s="979"/>
      <c r="K3" s="981"/>
      <c r="L3" s="1236"/>
      <c r="M3" s="1237"/>
      <c r="N3" s="1237"/>
      <c r="O3" s="1237"/>
      <c r="P3" s="735"/>
      <c r="Q3" s="735"/>
      <c r="R3" s="735"/>
      <c r="S3" s="735"/>
      <c r="T3" s="735"/>
      <c r="U3" s="735"/>
      <c r="V3" s="735"/>
      <c r="W3" s="735"/>
      <c r="X3" s="745"/>
      <c r="Y3" s="735"/>
      <c r="Z3" s="735"/>
      <c r="AA3" s="735"/>
      <c r="AB3" s="2461"/>
      <c r="AC3" s="759"/>
    </row>
    <row r="4" spans="1:29" ht="15">
      <c r="A4" s="379" t="s">
        <v>2343</v>
      </c>
      <c r="B4" s="380"/>
      <c r="C4" s="2993" t="s">
        <v>2344</v>
      </c>
      <c r="D4" s="2994"/>
      <c r="E4" s="2995" t="s">
        <v>2345</v>
      </c>
      <c r="F4" s="2996"/>
      <c r="G4" s="2993" t="s">
        <v>2346</v>
      </c>
      <c r="H4" s="2994"/>
      <c r="I4" s="2993" t="s">
        <v>2347</v>
      </c>
      <c r="J4" s="2994"/>
      <c r="K4" s="593" t="s">
        <v>2348</v>
      </c>
      <c r="L4" s="1238"/>
      <c r="M4" s="1239"/>
      <c r="N4" s="1239"/>
      <c r="O4" s="1239"/>
      <c r="P4" s="3045" t="s">
        <v>2349</v>
      </c>
      <c r="Q4" s="2998"/>
      <c r="R4" s="3003" t="s">
        <v>2345</v>
      </c>
      <c r="S4" s="3004"/>
      <c r="T4" s="3003" t="s">
        <v>2346</v>
      </c>
      <c r="U4" s="3004"/>
      <c r="V4" s="3009" t="s">
        <v>2347</v>
      </c>
      <c r="W4" s="3009"/>
      <c r="X4" s="1895"/>
      <c r="Y4" s="3003" t="s">
        <v>2349</v>
      </c>
      <c r="Z4" s="3004"/>
      <c r="AA4" s="2990" t="s">
        <v>2345</v>
      </c>
      <c r="AB4" s="2990" t="s">
        <v>2346</v>
      </c>
      <c r="AC4" s="2990" t="s">
        <v>2347</v>
      </c>
    </row>
    <row r="5" spans="1:29" ht="15">
      <c r="A5" s="382"/>
      <c r="B5" s="383"/>
      <c r="C5" s="3012" t="s">
        <v>2350</v>
      </c>
      <c r="D5" s="3013"/>
      <c r="E5" s="3044" t="s">
        <v>2351</v>
      </c>
      <c r="F5" s="3011"/>
      <c r="G5" s="3012" t="s">
        <v>2352</v>
      </c>
      <c r="H5" s="3013"/>
      <c r="I5" s="3012" t="s">
        <v>2353</v>
      </c>
      <c r="J5" s="3013"/>
      <c r="K5" s="593"/>
      <c r="L5" s="1238"/>
      <c r="M5" s="1239"/>
      <c r="N5" s="1239"/>
      <c r="O5" s="1239"/>
      <c r="P5" s="3046"/>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593" t="s">
        <v>2355</v>
      </c>
      <c r="L6" s="1238"/>
      <c r="M6" s="1239"/>
      <c r="N6" s="1239"/>
      <c r="O6" s="1239"/>
      <c r="P6" s="3047"/>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390"/>
      <c r="F7" s="391">
        <f>SUMIF(59:59,YEAR(E7)&amp;"-"&amp;MONTH(E7),60:60)</f>
        <v>0</v>
      </c>
      <c r="G7" s="2462"/>
      <c r="H7" s="389">
        <f>SUMIF(59:59,YEAR(G7)&amp;"-"&amp;MONTH(G7),60:60)</f>
        <v>0</v>
      </c>
      <c r="I7" s="2462"/>
      <c r="J7" s="389">
        <f>SUMIF(59:59,YEAR(I7)&amp;"-"&amp;MONTH(I7),60:60)</f>
        <v>0</v>
      </c>
      <c r="K7" s="594"/>
      <c r="L7" s="1240"/>
      <c r="M7" s="1241"/>
      <c r="N7" s="1241"/>
      <c r="O7" s="1241"/>
      <c r="P7" s="3027" t="s">
        <v>2357</v>
      </c>
      <c r="Q7" s="3027"/>
      <c r="R7" s="747" t="s">
        <v>25</v>
      </c>
      <c r="S7" s="748">
        <f t="shared" ref="S7:S15" si="0">F7</f>
        <v>0</v>
      </c>
      <c r="T7" s="747" t="s">
        <v>25</v>
      </c>
      <c r="U7" s="748">
        <f t="shared" ref="U7:U15" si="1">H7</f>
        <v>0</v>
      </c>
      <c r="V7" s="747" t="s">
        <v>25</v>
      </c>
      <c r="W7" s="748">
        <f t="shared" ref="W7:W15" si="2">J7</f>
        <v>0</v>
      </c>
      <c r="X7" s="749"/>
      <c r="Y7" s="3025" t="s">
        <v>2357</v>
      </c>
      <c r="Z7" s="3026"/>
      <c r="AA7" s="750" t="e">
        <f>D7/F7</f>
        <v>#DIV/0!</v>
      </c>
      <c r="AB7" s="750" t="e">
        <f>D7/H7</f>
        <v>#DIV/0!</v>
      </c>
      <c r="AC7" s="750" t="e">
        <f>D7/J7</f>
        <v>#DIV/0!</v>
      </c>
    </row>
    <row r="8" spans="1:29" s="35" customFormat="1" ht="15.75" thickBot="1">
      <c r="A8" s="386" t="s">
        <v>2358</v>
      </c>
      <c r="B8" s="387"/>
      <c r="C8" s="393" t="s">
        <v>2359</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27" t="s">
        <v>2360</v>
      </c>
      <c r="Q8" s="3026"/>
      <c r="R8" s="747" t="s">
        <v>25</v>
      </c>
      <c r="S8" s="748">
        <f t="shared" si="0"/>
        <v>0</v>
      </c>
      <c r="T8" s="747" t="s">
        <v>25</v>
      </c>
      <c r="U8" s="748">
        <f t="shared" si="1"/>
        <v>0</v>
      </c>
      <c r="V8" s="747" t="s">
        <v>25</v>
      </c>
      <c r="W8" s="748">
        <f t="shared" si="2"/>
        <v>0</v>
      </c>
      <c r="X8" s="749"/>
      <c r="Y8" s="3025" t="s">
        <v>2360</v>
      </c>
      <c r="Z8" s="3026"/>
      <c r="AA8" s="750" t="e">
        <f t="shared" ref="AA8:AA47" si="3">D8/F8</f>
        <v>#DIV/0!</v>
      </c>
      <c r="AB8" s="750" t="e">
        <f t="shared" ref="AB8:AB47" si="4">D8/H8</f>
        <v>#DIV/0!</v>
      </c>
      <c r="AC8" s="750" t="e">
        <f t="shared" ref="AC8:AC47" si="5">D8/J8</f>
        <v>#DIV/0!</v>
      </c>
    </row>
    <row r="9" spans="1:29" s="35" customFormat="1">
      <c r="A9" s="394" t="s">
        <v>2361</v>
      </c>
      <c r="B9" s="28" t="s">
        <v>2362</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36"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29" s="406" customFormat="1" ht="27">
      <c r="A10" s="400"/>
      <c r="B10" s="401" t="s">
        <v>2365</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36"/>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2366</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36"/>
      <c r="Q11" s="1882"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6">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36"/>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6">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36"/>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8">
        <v>111</v>
      </c>
      <c r="C14" s="2399"/>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36"/>
      <c r="Q14" s="1882">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8" t="s">
        <v>2367</v>
      </c>
      <c r="B15" s="612" t="s">
        <v>2482</v>
      </c>
      <c r="C15" s="2463"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2998" t="s">
        <v>2368</v>
      </c>
      <c r="Q15" s="1894" t="str">
        <f t="shared" si="6"/>
        <v>办公集聚程度</v>
      </c>
      <c r="R15" s="751" t="s">
        <v>25</v>
      </c>
      <c r="S15" s="752">
        <f t="shared" si="0"/>
        <v>100</v>
      </c>
      <c r="T15" s="751" t="s">
        <v>25</v>
      </c>
      <c r="U15" s="752">
        <f t="shared" si="1"/>
        <v>100</v>
      </c>
      <c r="V15" s="751" t="s">
        <v>25</v>
      </c>
      <c r="W15" s="752">
        <f t="shared" si="2"/>
        <v>100</v>
      </c>
      <c r="X15" s="1895"/>
      <c r="Y15" s="3018" t="s">
        <v>2368</v>
      </c>
      <c r="Z15" s="1897" t="str">
        <f t="shared" si="7"/>
        <v>办公集聚程度</v>
      </c>
      <c r="AA15" s="1898">
        <f t="shared" si="3"/>
        <v>1</v>
      </c>
      <c r="AB15" s="1898">
        <f t="shared" si="4"/>
        <v>1</v>
      </c>
      <c r="AC15" s="1898">
        <f t="shared" si="5"/>
        <v>1</v>
      </c>
    </row>
    <row r="16" spans="1:29" ht="15">
      <c r="A16" s="407"/>
      <c r="B16" s="613"/>
      <c r="C16" s="1467"/>
      <c r="D16" s="426"/>
      <c r="E16" s="425"/>
      <c r="F16" s="426"/>
      <c r="G16" s="1467"/>
      <c r="H16" s="429"/>
      <c r="I16" s="425"/>
      <c r="J16" s="426"/>
      <c r="K16" s="598"/>
      <c r="L16" s="1248"/>
      <c r="M16" s="1239"/>
      <c r="N16" s="1239"/>
      <c r="O16" s="1239"/>
      <c r="P16" s="3000"/>
      <c r="Q16" s="1894"/>
      <c r="R16" s="751"/>
      <c r="S16" s="752"/>
      <c r="T16" s="751"/>
      <c r="U16" s="752"/>
      <c r="V16" s="751"/>
      <c r="W16" s="752"/>
      <c r="X16" s="1895"/>
      <c r="Y16" s="3019"/>
      <c r="Z16" s="1897"/>
      <c r="AA16" s="1898">
        <v>1</v>
      </c>
      <c r="AB16" s="1898">
        <v>1</v>
      </c>
      <c r="AC16" s="1898">
        <v>1</v>
      </c>
    </row>
    <row r="17" spans="1:29" ht="85.5">
      <c r="A17" s="407"/>
      <c r="B17" s="614" t="s">
        <v>1751</v>
      </c>
      <c r="C17" s="246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00"/>
      <c r="Q17" s="1894" t="str">
        <f>B17</f>
        <v>交通便捷度</v>
      </c>
      <c r="R17" s="751" t="s">
        <v>25</v>
      </c>
      <c r="S17" s="752">
        <f>F17</f>
        <v>100</v>
      </c>
      <c r="T17" s="751" t="s">
        <v>25</v>
      </c>
      <c r="U17" s="752">
        <f>H17</f>
        <v>100</v>
      </c>
      <c r="V17" s="751" t="s">
        <v>25</v>
      </c>
      <c r="W17" s="752">
        <f>J17</f>
        <v>100</v>
      </c>
      <c r="X17" s="1895"/>
      <c r="Y17" s="3019"/>
      <c r="Z17" s="1897" t="str">
        <f>Q17</f>
        <v>交通便捷度</v>
      </c>
      <c r="AA17" s="1898">
        <f t="shared" si="3"/>
        <v>1</v>
      </c>
      <c r="AB17" s="1898">
        <f t="shared" si="4"/>
        <v>1</v>
      </c>
      <c r="AC17" s="1898">
        <f t="shared" si="5"/>
        <v>1</v>
      </c>
    </row>
    <row r="18" spans="1:29" ht="15">
      <c r="A18" s="407"/>
      <c r="B18" s="615"/>
      <c r="C18" s="2465"/>
      <c r="D18" s="429"/>
      <c r="E18" s="2404"/>
      <c r="F18" s="429"/>
      <c r="G18" s="1463"/>
      <c r="H18" s="426"/>
      <c r="I18" s="1463"/>
      <c r="J18" s="426"/>
      <c r="K18" s="598"/>
      <c r="L18" s="1248"/>
      <c r="M18" s="1239"/>
      <c r="N18" s="1239"/>
      <c r="O18" s="1239"/>
      <c r="P18" s="3000"/>
      <c r="Q18" s="1894"/>
      <c r="R18" s="751"/>
      <c r="S18" s="752"/>
      <c r="T18" s="751"/>
      <c r="U18" s="752"/>
      <c r="V18" s="751"/>
      <c r="W18" s="752"/>
      <c r="X18" s="1895"/>
      <c r="Y18" s="3019"/>
      <c r="Z18" s="1897"/>
      <c r="AA18" s="1898">
        <v>1</v>
      </c>
      <c r="AB18" s="1898">
        <v>1</v>
      </c>
      <c r="AC18" s="1898">
        <v>1</v>
      </c>
    </row>
    <row r="19" spans="1:29" ht="42.75">
      <c r="A19" s="407"/>
      <c r="B19" s="614" t="s">
        <v>2483</v>
      </c>
      <c r="C19" s="2464"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00"/>
      <c r="Q19" s="1894" t="str">
        <f>B19</f>
        <v>公共配套设施</v>
      </c>
      <c r="R19" s="751" t="s">
        <v>25</v>
      </c>
      <c r="S19" s="752">
        <f>F19</f>
        <v>100</v>
      </c>
      <c r="T19" s="751" t="s">
        <v>25</v>
      </c>
      <c r="U19" s="752">
        <f>H19</f>
        <v>100</v>
      </c>
      <c r="V19" s="751" t="s">
        <v>25</v>
      </c>
      <c r="W19" s="752">
        <f>J19</f>
        <v>100</v>
      </c>
      <c r="X19" s="1895"/>
      <c r="Y19" s="3019"/>
      <c r="Z19" s="1897" t="str">
        <f>Q19</f>
        <v>公共配套设施</v>
      </c>
      <c r="AA19" s="1898">
        <f t="shared" si="3"/>
        <v>1</v>
      </c>
      <c r="AB19" s="1898">
        <f t="shared" si="4"/>
        <v>1</v>
      </c>
      <c r="AC19" s="1898">
        <f t="shared" si="5"/>
        <v>1</v>
      </c>
    </row>
    <row r="20" spans="1:29" ht="15">
      <c r="A20" s="407"/>
      <c r="B20" s="615"/>
      <c r="C20" s="1467"/>
      <c r="D20" s="426"/>
      <c r="E20" s="2401"/>
      <c r="F20" s="426"/>
      <c r="G20" s="427"/>
      <c r="H20" s="426"/>
      <c r="I20" s="427"/>
      <c r="J20" s="426"/>
      <c r="K20" s="598"/>
      <c r="L20" s="1248"/>
      <c r="M20" s="1239"/>
      <c r="N20" s="1239"/>
      <c r="O20" s="1239"/>
      <c r="P20" s="3000"/>
      <c r="Q20" s="1894"/>
      <c r="R20" s="751"/>
      <c r="S20" s="752"/>
      <c r="T20" s="751"/>
      <c r="U20" s="752"/>
      <c r="V20" s="751"/>
      <c r="W20" s="752"/>
      <c r="X20" s="1895"/>
      <c r="Y20" s="3019"/>
      <c r="Z20" s="1897"/>
      <c r="AA20" s="1898">
        <v>1</v>
      </c>
      <c r="AB20" s="1898">
        <v>1</v>
      </c>
      <c r="AC20" s="1898">
        <v>1</v>
      </c>
    </row>
    <row r="21" spans="1:29" ht="28.5">
      <c r="A21" s="407"/>
      <c r="B21" s="616" t="s">
        <v>2484</v>
      </c>
      <c r="C21" s="2464"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00"/>
      <c r="Q21" s="1894" t="str">
        <f>B21</f>
        <v>基础设施水平</v>
      </c>
      <c r="R21" s="751" t="s">
        <v>25</v>
      </c>
      <c r="S21" s="752">
        <f>F21</f>
        <v>100</v>
      </c>
      <c r="T21" s="751" t="s">
        <v>25</v>
      </c>
      <c r="U21" s="752">
        <f>H21</f>
        <v>100</v>
      </c>
      <c r="V21" s="751" t="s">
        <v>25</v>
      </c>
      <c r="W21" s="752">
        <f>J21</f>
        <v>100</v>
      </c>
      <c r="X21" s="1895"/>
      <c r="Y21" s="3019"/>
      <c r="Z21" s="1897" t="str">
        <f>Q21</f>
        <v>基础设施水平</v>
      </c>
      <c r="AA21" s="1898">
        <f>D21/F21</f>
        <v>1</v>
      </c>
      <c r="AB21" s="1898">
        <f>D21/H21</f>
        <v>1</v>
      </c>
      <c r="AC21" s="1898">
        <f>D21/J21</f>
        <v>1</v>
      </c>
    </row>
    <row r="22" spans="1:29" ht="15">
      <c r="A22" s="407"/>
      <c r="B22" s="616"/>
      <c r="C22" s="2465"/>
      <c r="D22" s="426"/>
      <c r="E22" s="425"/>
      <c r="F22" s="426"/>
      <c r="G22" s="1467"/>
      <c r="H22" s="426"/>
      <c r="I22" s="1467"/>
      <c r="J22" s="426"/>
      <c r="K22" s="1464"/>
      <c r="L22" s="1248"/>
      <c r="M22" s="1239"/>
      <c r="N22" s="1239"/>
      <c r="O22" s="1239"/>
      <c r="P22" s="3000"/>
      <c r="Q22" s="1894"/>
      <c r="R22" s="751"/>
      <c r="S22" s="752"/>
      <c r="T22" s="751"/>
      <c r="U22" s="752"/>
      <c r="V22" s="751"/>
      <c r="W22" s="752"/>
      <c r="X22" s="1895"/>
      <c r="Y22" s="3019"/>
      <c r="Z22" s="1897"/>
      <c r="AA22" s="1898">
        <v>1</v>
      </c>
      <c r="AB22" s="1898">
        <v>1</v>
      </c>
      <c r="AC22" s="1898">
        <v>1</v>
      </c>
    </row>
    <row r="23" spans="1:29" ht="57">
      <c r="A23" s="407"/>
      <c r="B23" s="614" t="s">
        <v>2485</v>
      </c>
      <c r="C23" s="2464"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00"/>
      <c r="Q23" s="1894" t="str">
        <f>B23</f>
        <v>环境质量</v>
      </c>
      <c r="R23" s="751" t="s">
        <v>25</v>
      </c>
      <c r="S23" s="752">
        <f>F23</f>
        <v>100</v>
      </c>
      <c r="T23" s="751" t="s">
        <v>25</v>
      </c>
      <c r="U23" s="752">
        <f>H23</f>
        <v>100</v>
      </c>
      <c r="V23" s="751" t="s">
        <v>25</v>
      </c>
      <c r="W23" s="752">
        <f>J23</f>
        <v>100</v>
      </c>
      <c r="X23" s="1895"/>
      <c r="Y23" s="3019"/>
      <c r="Z23" s="1897" t="str">
        <f>Q23</f>
        <v>环境质量</v>
      </c>
      <c r="AA23" s="1898">
        <f t="shared" si="3"/>
        <v>1</v>
      </c>
      <c r="AB23" s="1898">
        <f t="shared" si="4"/>
        <v>1</v>
      </c>
      <c r="AC23" s="1898">
        <f t="shared" si="5"/>
        <v>1</v>
      </c>
    </row>
    <row r="24" spans="1:29" ht="15">
      <c r="A24" s="407"/>
      <c r="B24" s="616"/>
      <c r="C24" s="1467"/>
      <c r="D24" s="426"/>
      <c r="E24" s="2401"/>
      <c r="F24" s="426"/>
      <c r="G24" s="427"/>
      <c r="H24" s="426"/>
      <c r="I24" s="427"/>
      <c r="J24" s="426"/>
      <c r="K24" s="598"/>
      <c r="L24" s="1248"/>
      <c r="M24" s="1239"/>
      <c r="N24" s="1239"/>
      <c r="O24" s="1239"/>
      <c r="P24" s="3000"/>
      <c r="Q24" s="1894"/>
      <c r="R24" s="751"/>
      <c r="S24" s="752"/>
      <c r="T24" s="751"/>
      <c r="U24" s="752"/>
      <c r="V24" s="751"/>
      <c r="W24" s="752"/>
      <c r="X24" s="1895"/>
      <c r="Y24" s="3019"/>
      <c r="Z24" s="1897"/>
      <c r="AA24" s="1898">
        <v>1</v>
      </c>
      <c r="AB24" s="1898">
        <v>1</v>
      </c>
      <c r="AC24" s="1898">
        <v>1</v>
      </c>
    </row>
    <row r="25" spans="1:29" ht="27">
      <c r="A25" s="382"/>
      <c r="B25" s="614" t="s">
        <v>2486</v>
      </c>
      <c r="C25" s="2466"/>
      <c r="D25" s="414">
        <v>100</v>
      </c>
      <c r="E25" s="413"/>
      <c r="F25" s="414">
        <f>SUMIF(87:87,E26,88:88)-SUMIF(87:87,C26,88:88)+100</f>
        <v>100</v>
      </c>
      <c r="G25" s="2466"/>
      <c r="H25" s="414">
        <f>SUMIF(87:87,G26,88:88)-SUMIF(87:87,C26,88:88)+100</f>
        <v>100</v>
      </c>
      <c r="I25" s="413"/>
      <c r="J25" s="414">
        <f>SUMIF(87:87,I26,88:88)-SUMIF(87:87,C26,88:88)+100</f>
        <v>100</v>
      </c>
      <c r="K25" s="597"/>
      <c r="L25" s="1248"/>
      <c r="M25" s="1239"/>
      <c r="N25" s="1239"/>
      <c r="O25" s="1239"/>
      <c r="P25" s="3000"/>
      <c r="Q25" s="1894" t="str">
        <f>B25</f>
        <v>毗邻道路的类型与等级</v>
      </c>
      <c r="R25" s="751" t="s">
        <v>25</v>
      </c>
      <c r="S25" s="752">
        <f>F25</f>
        <v>100</v>
      </c>
      <c r="T25" s="751" t="s">
        <v>25</v>
      </c>
      <c r="U25" s="752">
        <f>H25</f>
        <v>100</v>
      </c>
      <c r="V25" s="751" t="s">
        <v>25</v>
      </c>
      <c r="W25" s="752">
        <f>J25</f>
        <v>100</v>
      </c>
      <c r="X25" s="1895"/>
      <c r="Y25" s="3019"/>
      <c r="Z25" s="1897" t="str">
        <f>Q25</f>
        <v>毗邻道路的类型与等级</v>
      </c>
      <c r="AA25" s="1898">
        <f t="shared" si="3"/>
        <v>1</v>
      </c>
      <c r="AB25" s="1898">
        <f t="shared" si="4"/>
        <v>1</v>
      </c>
      <c r="AC25" s="1898">
        <f t="shared" si="5"/>
        <v>1</v>
      </c>
    </row>
    <row r="26" spans="1:29" ht="15">
      <c r="A26" s="382"/>
      <c r="B26" s="615"/>
      <c r="C26" s="617"/>
      <c r="D26" s="414"/>
      <c r="E26" s="599"/>
      <c r="F26" s="414"/>
      <c r="G26" s="617"/>
      <c r="H26" s="414"/>
      <c r="I26" s="599"/>
      <c r="J26" s="414"/>
      <c r="K26" s="598"/>
      <c r="L26" s="1248"/>
      <c r="M26" s="1239"/>
      <c r="N26" s="1239"/>
      <c r="O26" s="1239"/>
      <c r="P26" s="3000"/>
      <c r="Q26" s="1894"/>
      <c r="R26" s="751"/>
      <c r="S26" s="752"/>
      <c r="T26" s="751"/>
      <c r="U26" s="752"/>
      <c r="V26" s="751"/>
      <c r="W26" s="752"/>
      <c r="X26" s="1895"/>
      <c r="Y26" s="3019"/>
      <c r="Z26" s="1897"/>
      <c r="AA26" s="1898">
        <v>1</v>
      </c>
      <c r="AB26" s="1898">
        <v>1</v>
      </c>
      <c r="AC26" s="1898">
        <v>1</v>
      </c>
    </row>
    <row r="27" spans="1:29" ht="15">
      <c r="A27" s="407"/>
      <c r="B27" s="615" t="s">
        <v>2459</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00"/>
      <c r="Q27" s="1894" t="str">
        <f t="shared" ref="Q27:Q47" si="8">B27</f>
        <v>楼层</v>
      </c>
      <c r="R27" s="751" t="s">
        <v>25</v>
      </c>
      <c r="S27" s="752">
        <f>F27</f>
        <v>100</v>
      </c>
      <c r="T27" s="751" t="s">
        <v>25</v>
      </c>
      <c r="U27" s="752">
        <f>H27</f>
        <v>100</v>
      </c>
      <c r="V27" s="751" t="s">
        <v>25</v>
      </c>
      <c r="W27" s="752">
        <f>J27</f>
        <v>100</v>
      </c>
      <c r="X27" s="1895"/>
      <c r="Y27" s="3019"/>
      <c r="Z27" s="1897" t="str">
        <f>Q27</f>
        <v>楼层</v>
      </c>
      <c r="AA27" s="1898">
        <f t="shared" si="3"/>
        <v>1</v>
      </c>
      <c r="AB27" s="1898">
        <f t="shared" si="4"/>
        <v>1</v>
      </c>
      <c r="AC27" s="1898">
        <f t="shared" si="5"/>
        <v>1</v>
      </c>
    </row>
    <row r="28" spans="1:29" s="35" customFormat="1" ht="15">
      <c r="A28" s="410"/>
      <c r="B28" s="614" t="s">
        <v>2487</v>
      </c>
      <c r="C28" s="2467"/>
      <c r="D28" s="442">
        <v>100</v>
      </c>
      <c r="E28" s="2454"/>
      <c r="F28" s="442">
        <f>SUMIF(91:91,E28,92:92)-SUMIF(91:91,C28,92:92)+100</f>
        <v>100</v>
      </c>
      <c r="G28" s="2467"/>
      <c r="H28" s="442">
        <f>SUMIF(91:91,G28,92:92)-SUMIF(91:91,C28,92:92)+100</f>
        <v>100</v>
      </c>
      <c r="I28" s="2454"/>
      <c r="J28" s="442">
        <f>SUMIF(91:91,I28,92:92)-SUMIF(91:91,C28,92:92)+100</f>
        <v>100</v>
      </c>
      <c r="K28" s="595"/>
      <c r="L28" s="1240"/>
      <c r="M28" s="1241"/>
      <c r="N28" s="1241"/>
      <c r="O28" s="1241"/>
      <c r="P28" s="3000"/>
      <c r="Q28" s="1882" t="str">
        <f t="shared" si="8"/>
        <v>朝向</v>
      </c>
      <c r="R28" s="747" t="s">
        <v>25</v>
      </c>
      <c r="S28" s="748">
        <f>F28</f>
        <v>100</v>
      </c>
      <c r="T28" s="747" t="s">
        <v>25</v>
      </c>
      <c r="U28" s="748">
        <f>H28</f>
        <v>100</v>
      </c>
      <c r="V28" s="747" t="s">
        <v>25</v>
      </c>
      <c r="W28" s="748">
        <f>J28</f>
        <v>100</v>
      </c>
      <c r="X28" s="749"/>
      <c r="Y28" s="3019"/>
      <c r="Z28" s="23" t="str">
        <f>Q28</f>
        <v>朝向</v>
      </c>
      <c r="AA28" s="1898">
        <f>D28/F28</f>
        <v>1</v>
      </c>
      <c r="AB28" s="1898">
        <f>D28/H28</f>
        <v>1</v>
      </c>
      <c r="AC28" s="1898">
        <f>D28/J28</f>
        <v>1</v>
      </c>
    </row>
    <row r="29" spans="1:29" ht="15">
      <c r="A29" s="407"/>
      <c r="B29" s="2468">
        <v>111</v>
      </c>
      <c r="C29" s="2466"/>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00"/>
      <c r="Q29" s="1894">
        <f t="shared" si="8"/>
        <v>111</v>
      </c>
      <c r="R29" s="751" t="s">
        <v>25</v>
      </c>
      <c r="S29" s="752">
        <f t="shared" ref="S29:S47" si="9">F29</f>
        <v>100</v>
      </c>
      <c r="T29" s="751" t="s">
        <v>25</v>
      </c>
      <c r="U29" s="752">
        <f t="shared" ref="U29:U47" si="10">H29</f>
        <v>100</v>
      </c>
      <c r="V29" s="751" t="s">
        <v>25</v>
      </c>
      <c r="W29" s="752">
        <f t="shared" ref="W29:W47" si="11">J29</f>
        <v>100</v>
      </c>
      <c r="X29" s="1895"/>
      <c r="Y29" s="3019"/>
      <c r="Z29" s="1897">
        <f t="shared" ref="Z29:Z47" si="12">Q29</f>
        <v>111</v>
      </c>
      <c r="AA29" s="1898">
        <f t="shared" si="3"/>
        <v>1</v>
      </c>
      <c r="AB29" s="1898">
        <f t="shared" si="4"/>
        <v>1</v>
      </c>
      <c r="AC29" s="1898">
        <f t="shared" si="5"/>
        <v>1</v>
      </c>
    </row>
    <row r="30" spans="1:29" ht="15">
      <c r="A30" s="407"/>
      <c r="B30" s="2468">
        <v>111</v>
      </c>
      <c r="C30" s="2466"/>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00"/>
      <c r="Q30" s="1894">
        <f t="shared" si="8"/>
        <v>111</v>
      </c>
      <c r="R30" s="751" t="s">
        <v>25</v>
      </c>
      <c r="S30" s="752">
        <f t="shared" si="9"/>
        <v>100</v>
      </c>
      <c r="T30" s="751" t="s">
        <v>25</v>
      </c>
      <c r="U30" s="752">
        <f t="shared" si="10"/>
        <v>100</v>
      </c>
      <c r="V30" s="751" t="s">
        <v>25</v>
      </c>
      <c r="W30" s="752">
        <f t="shared" si="11"/>
        <v>100</v>
      </c>
      <c r="X30" s="1895"/>
      <c r="Y30" s="3019"/>
      <c r="Z30" s="1897">
        <f t="shared" si="12"/>
        <v>111</v>
      </c>
      <c r="AA30" s="1898">
        <f t="shared" si="3"/>
        <v>1</v>
      </c>
      <c r="AB30" s="1898">
        <f t="shared" si="4"/>
        <v>1</v>
      </c>
      <c r="AC30" s="1898">
        <f t="shared" si="5"/>
        <v>1</v>
      </c>
    </row>
    <row r="31" spans="1:29" ht="15">
      <c r="A31" s="407"/>
      <c r="B31" s="2468">
        <v>111</v>
      </c>
      <c r="C31" s="2466"/>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00"/>
      <c r="Q31" s="1894">
        <f t="shared" si="8"/>
        <v>111</v>
      </c>
      <c r="R31" s="751" t="s">
        <v>25</v>
      </c>
      <c r="S31" s="752">
        <f t="shared" si="9"/>
        <v>100</v>
      </c>
      <c r="T31" s="751" t="s">
        <v>25</v>
      </c>
      <c r="U31" s="752">
        <f t="shared" si="10"/>
        <v>100</v>
      </c>
      <c r="V31" s="751" t="s">
        <v>25</v>
      </c>
      <c r="W31" s="752">
        <f t="shared" si="11"/>
        <v>100</v>
      </c>
      <c r="X31" s="1895"/>
      <c r="Y31" s="3019"/>
      <c r="Z31" s="1897">
        <f t="shared" si="12"/>
        <v>111</v>
      </c>
      <c r="AA31" s="1898">
        <f t="shared" si="3"/>
        <v>1</v>
      </c>
      <c r="AB31" s="1898">
        <f t="shared" si="4"/>
        <v>1</v>
      </c>
      <c r="AC31" s="1898">
        <f t="shared" si="5"/>
        <v>1</v>
      </c>
    </row>
    <row r="32" spans="1:29" ht="15.75"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00"/>
      <c r="Q32" s="1894">
        <f t="shared" si="8"/>
        <v>111</v>
      </c>
      <c r="R32" s="751" t="s">
        <v>25</v>
      </c>
      <c r="S32" s="752">
        <f t="shared" si="9"/>
        <v>100</v>
      </c>
      <c r="T32" s="751" t="s">
        <v>25</v>
      </c>
      <c r="U32" s="752">
        <f t="shared" si="10"/>
        <v>100</v>
      </c>
      <c r="V32" s="751" t="s">
        <v>25</v>
      </c>
      <c r="W32" s="752">
        <f t="shared" si="11"/>
        <v>100</v>
      </c>
      <c r="X32" s="1895"/>
      <c r="Y32" s="3019"/>
      <c r="Z32" s="1897">
        <f t="shared" si="12"/>
        <v>111</v>
      </c>
      <c r="AA32" s="1898">
        <f t="shared" si="3"/>
        <v>1</v>
      </c>
      <c r="AB32" s="1898">
        <f t="shared" si="4"/>
        <v>1</v>
      </c>
      <c r="AC32" s="1898">
        <f t="shared" si="5"/>
        <v>1</v>
      </c>
    </row>
    <row r="33" spans="1:29" ht="15">
      <c r="A33" s="418" t="s">
        <v>2372</v>
      </c>
      <c r="B33" s="28" t="s">
        <v>2488</v>
      </c>
      <c r="C33" s="2469"/>
      <c r="D33" s="447">
        <v>100</v>
      </c>
      <c r="E33" s="2469"/>
      <c r="F33" s="441">
        <f>SUMIF(101:101,E33,102:102)-SUMIF(101:101,C33,102:102)+100</f>
        <v>100</v>
      </c>
      <c r="G33" s="2469"/>
      <c r="H33" s="414">
        <f>SUMIF(101:101,G33,102:102)-SUMIF(101:101,C33,102:102)+100</f>
        <v>100</v>
      </c>
      <c r="I33" s="2469"/>
      <c r="J33" s="447">
        <f>SUMIF(101:101,I33,102:102)-SUMIF(101:101,C33,102:102)+100</f>
        <v>100</v>
      </c>
      <c r="K33" s="595"/>
      <c r="L33" s="1248"/>
      <c r="M33" s="1239"/>
      <c r="N33" s="1239"/>
      <c r="O33" s="1239"/>
      <c r="P33" s="3048" t="s">
        <v>2374</v>
      </c>
      <c r="Q33" s="1894" t="str">
        <f t="shared" si="8"/>
        <v>建筑类型</v>
      </c>
      <c r="R33" s="751" t="s">
        <v>25</v>
      </c>
      <c r="S33" s="752">
        <f t="shared" si="9"/>
        <v>100</v>
      </c>
      <c r="T33" s="751" t="s">
        <v>25</v>
      </c>
      <c r="U33" s="752">
        <f t="shared" si="10"/>
        <v>100</v>
      </c>
      <c r="V33" s="751" t="s">
        <v>25</v>
      </c>
      <c r="W33" s="752">
        <f t="shared" si="11"/>
        <v>100</v>
      </c>
      <c r="X33" s="1895"/>
      <c r="Y33" s="3023" t="s">
        <v>2374</v>
      </c>
      <c r="Z33" s="1897" t="str">
        <f t="shared" si="12"/>
        <v>建筑类型</v>
      </c>
      <c r="AA33" s="1898">
        <f t="shared" si="3"/>
        <v>1</v>
      </c>
      <c r="AB33" s="1898">
        <f t="shared" si="4"/>
        <v>1</v>
      </c>
      <c r="AC33" s="1898">
        <f t="shared" si="5"/>
        <v>1</v>
      </c>
    </row>
    <row r="34" spans="1:29" s="451" customFormat="1" ht="15">
      <c r="A34" s="448"/>
      <c r="B34" s="401" t="s">
        <v>2375</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049"/>
      <c r="Q34" s="753" t="str">
        <f t="shared" si="8"/>
        <v>项目建筑规模</v>
      </c>
      <c r="R34" s="754" t="s">
        <v>25</v>
      </c>
      <c r="S34" s="755" t="e">
        <f t="shared" si="9"/>
        <v>#N/A</v>
      </c>
      <c r="T34" s="754" t="s">
        <v>25</v>
      </c>
      <c r="U34" s="755" t="e">
        <f t="shared" si="10"/>
        <v>#N/A</v>
      </c>
      <c r="V34" s="754" t="s">
        <v>25</v>
      </c>
      <c r="W34" s="755" t="e">
        <f t="shared" si="11"/>
        <v>#N/A</v>
      </c>
      <c r="X34" s="756"/>
      <c r="Y34" s="3023"/>
      <c r="Z34" s="757" t="str">
        <f t="shared" si="12"/>
        <v>项目建筑规模</v>
      </c>
      <c r="AA34" s="1898" t="e">
        <f t="shared" si="3"/>
        <v>#N/A</v>
      </c>
      <c r="AB34" s="1898" t="e">
        <f t="shared" si="4"/>
        <v>#N/A</v>
      </c>
      <c r="AC34" s="1898" t="e">
        <f t="shared" si="5"/>
        <v>#N/A</v>
      </c>
    </row>
    <row r="35" spans="1:29" ht="15">
      <c r="A35" s="452"/>
      <c r="B35" s="401" t="s">
        <v>2376</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049"/>
      <c r="Q35" s="1894" t="str">
        <f t="shared" si="8"/>
        <v>建筑结构</v>
      </c>
      <c r="R35" s="751" t="s">
        <v>25</v>
      </c>
      <c r="S35" s="752">
        <f t="shared" si="9"/>
        <v>100</v>
      </c>
      <c r="T35" s="751" t="s">
        <v>25</v>
      </c>
      <c r="U35" s="752">
        <f t="shared" si="10"/>
        <v>100</v>
      </c>
      <c r="V35" s="751" t="s">
        <v>25</v>
      </c>
      <c r="W35" s="752">
        <f t="shared" si="11"/>
        <v>100</v>
      </c>
      <c r="X35" s="1895"/>
      <c r="Y35" s="3023"/>
      <c r="Z35" s="1897" t="str">
        <f t="shared" si="12"/>
        <v>建筑结构</v>
      </c>
      <c r="AA35" s="1898">
        <f t="shared" si="3"/>
        <v>1</v>
      </c>
      <c r="AB35" s="1898">
        <f t="shared" si="4"/>
        <v>1</v>
      </c>
      <c r="AC35" s="1898">
        <f t="shared" si="5"/>
        <v>1</v>
      </c>
    </row>
    <row r="36" spans="1:29" ht="15">
      <c r="A36" s="452"/>
      <c r="B36" s="401" t="s">
        <v>2461</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049"/>
      <c r="Q36" s="1894" t="str">
        <f t="shared" si="8"/>
        <v>公共部分装修</v>
      </c>
      <c r="R36" s="751" t="s">
        <v>25</v>
      </c>
      <c r="S36" s="752">
        <f t="shared" si="9"/>
        <v>100</v>
      </c>
      <c r="T36" s="751" t="s">
        <v>25</v>
      </c>
      <c r="U36" s="752">
        <f t="shared" si="10"/>
        <v>100</v>
      </c>
      <c r="V36" s="751" t="s">
        <v>25</v>
      </c>
      <c r="W36" s="752">
        <f t="shared" si="11"/>
        <v>100</v>
      </c>
      <c r="X36" s="1895"/>
      <c r="Y36" s="3023"/>
      <c r="Z36" s="1897" t="str">
        <f t="shared" si="12"/>
        <v>公共部分装修</v>
      </c>
      <c r="AA36" s="1898">
        <f t="shared" si="3"/>
        <v>1</v>
      </c>
      <c r="AB36" s="1898">
        <f t="shared" si="4"/>
        <v>1</v>
      </c>
      <c r="AC36" s="1898">
        <f t="shared" si="5"/>
        <v>1</v>
      </c>
    </row>
    <row r="37" spans="1:29" ht="15">
      <c r="A37" s="452"/>
      <c r="B37" s="401" t="s">
        <v>2462</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049"/>
      <c r="Q37" s="1894" t="str">
        <f t="shared" si="8"/>
        <v>成新度</v>
      </c>
      <c r="R37" s="751" t="s">
        <v>25</v>
      </c>
      <c r="S37" s="752" t="e">
        <f t="shared" si="9"/>
        <v>#N/A</v>
      </c>
      <c r="T37" s="751" t="s">
        <v>25</v>
      </c>
      <c r="U37" s="752" t="e">
        <f t="shared" si="10"/>
        <v>#N/A</v>
      </c>
      <c r="V37" s="751" t="s">
        <v>25</v>
      </c>
      <c r="W37" s="752" t="e">
        <f t="shared" si="11"/>
        <v>#N/A</v>
      </c>
      <c r="X37" s="1895"/>
      <c r="Y37" s="3023"/>
      <c r="Z37" s="1897" t="str">
        <f t="shared" si="12"/>
        <v>成新度</v>
      </c>
      <c r="AA37" s="1898" t="e">
        <f t="shared" si="3"/>
        <v>#N/A</v>
      </c>
      <c r="AB37" s="1898" t="e">
        <f t="shared" si="4"/>
        <v>#N/A</v>
      </c>
      <c r="AC37" s="1898" t="e">
        <f t="shared" si="5"/>
        <v>#N/A</v>
      </c>
    </row>
    <row r="38" spans="1:29" s="35" customFormat="1" ht="15">
      <c r="A38" s="453"/>
      <c r="B38" s="401" t="s">
        <v>2489</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049"/>
      <c r="Q38" s="1882" t="str">
        <f t="shared" si="8"/>
        <v>写字楼等级</v>
      </c>
      <c r="R38" s="747" t="s">
        <v>25</v>
      </c>
      <c r="S38" s="748">
        <f t="shared" si="9"/>
        <v>100</v>
      </c>
      <c r="T38" s="747" t="s">
        <v>25</v>
      </c>
      <c r="U38" s="748">
        <f t="shared" si="10"/>
        <v>100</v>
      </c>
      <c r="V38" s="747" t="s">
        <v>25</v>
      </c>
      <c r="W38" s="748">
        <f t="shared" si="11"/>
        <v>100</v>
      </c>
      <c r="X38" s="749"/>
      <c r="Y38" s="3023"/>
      <c r="Z38" s="23" t="str">
        <f t="shared" si="12"/>
        <v>写字楼等级</v>
      </c>
      <c r="AA38" s="750">
        <f t="shared" si="3"/>
        <v>1</v>
      </c>
      <c r="AB38" s="750">
        <f t="shared" si="4"/>
        <v>1</v>
      </c>
      <c r="AC38" s="750">
        <f t="shared" si="5"/>
        <v>1</v>
      </c>
    </row>
    <row r="39" spans="1:29" ht="15">
      <c r="A39" s="452"/>
      <c r="B39" s="401" t="s">
        <v>2490</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049" t="s">
        <v>2374</v>
      </c>
      <c r="Q39" s="1894" t="str">
        <f t="shared" si="8"/>
        <v>物业管理</v>
      </c>
      <c r="R39" s="751" t="s">
        <v>25</v>
      </c>
      <c r="S39" s="752">
        <f t="shared" si="9"/>
        <v>100</v>
      </c>
      <c r="T39" s="751" t="s">
        <v>25</v>
      </c>
      <c r="U39" s="752">
        <f t="shared" si="10"/>
        <v>100</v>
      </c>
      <c r="V39" s="751" t="s">
        <v>25</v>
      </c>
      <c r="W39" s="752">
        <f t="shared" si="11"/>
        <v>100</v>
      </c>
      <c r="X39" s="1895"/>
      <c r="Y39" s="3023" t="s">
        <v>2374</v>
      </c>
      <c r="Z39" s="1897" t="str">
        <f t="shared" si="12"/>
        <v>物业管理</v>
      </c>
      <c r="AA39" s="1898">
        <f t="shared" si="3"/>
        <v>1</v>
      </c>
      <c r="AB39" s="1898">
        <f t="shared" si="4"/>
        <v>1</v>
      </c>
      <c r="AC39" s="1898">
        <f t="shared" si="5"/>
        <v>1</v>
      </c>
    </row>
    <row r="40" spans="1:29" ht="15">
      <c r="A40" s="452"/>
      <c r="B40" s="401" t="s">
        <v>2463</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049"/>
      <c r="Q40" s="1894" t="str">
        <f t="shared" si="8"/>
        <v>市政基础设施</v>
      </c>
      <c r="R40" s="751" t="s">
        <v>25</v>
      </c>
      <c r="S40" s="752">
        <f t="shared" si="9"/>
        <v>100</v>
      </c>
      <c r="T40" s="751" t="s">
        <v>25</v>
      </c>
      <c r="U40" s="752">
        <f t="shared" si="10"/>
        <v>100</v>
      </c>
      <c r="V40" s="751" t="s">
        <v>25</v>
      </c>
      <c r="W40" s="752">
        <f t="shared" si="11"/>
        <v>100</v>
      </c>
      <c r="X40" s="1895"/>
      <c r="Y40" s="3023"/>
      <c r="Z40" s="1897" t="str">
        <f t="shared" si="12"/>
        <v>市政基础设施</v>
      </c>
      <c r="AA40" s="1898">
        <f t="shared" si="3"/>
        <v>1</v>
      </c>
      <c r="AB40" s="1898">
        <f t="shared" si="4"/>
        <v>1</v>
      </c>
      <c r="AC40" s="1898">
        <f t="shared" si="5"/>
        <v>1</v>
      </c>
    </row>
    <row r="41" spans="1:29" ht="15">
      <c r="A41" s="452"/>
      <c r="B41" s="401" t="s">
        <v>2465</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049"/>
      <c r="Q41" s="1894" t="str">
        <f t="shared" si="8"/>
        <v>层高</v>
      </c>
      <c r="R41" s="751" t="s">
        <v>25</v>
      </c>
      <c r="S41" s="752">
        <f t="shared" si="9"/>
        <v>100</v>
      </c>
      <c r="T41" s="751" t="s">
        <v>25</v>
      </c>
      <c r="U41" s="752">
        <f t="shared" si="10"/>
        <v>100</v>
      </c>
      <c r="V41" s="751" t="s">
        <v>25</v>
      </c>
      <c r="W41" s="752">
        <f t="shared" si="11"/>
        <v>100</v>
      </c>
      <c r="X41" s="1895"/>
      <c r="Y41" s="3023"/>
      <c r="Z41" s="1897" t="str">
        <f t="shared" si="12"/>
        <v>层高</v>
      </c>
      <c r="AA41" s="1898">
        <f t="shared" si="3"/>
        <v>1</v>
      </c>
      <c r="AB41" s="1898">
        <f t="shared" si="4"/>
        <v>1</v>
      </c>
      <c r="AC41" s="1898">
        <f t="shared" si="5"/>
        <v>1</v>
      </c>
    </row>
    <row r="42" spans="1:29" s="451" customFormat="1" ht="15">
      <c r="A42" s="448"/>
      <c r="B42" s="1899" t="s">
        <v>2491</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049"/>
      <c r="Q42" s="753" t="str">
        <f t="shared" si="8"/>
        <v>单套建筑面积</v>
      </c>
      <c r="R42" s="754" t="s">
        <v>25</v>
      </c>
      <c r="S42" s="755">
        <f t="shared" si="9"/>
        <v>100</v>
      </c>
      <c r="T42" s="754" t="s">
        <v>25</v>
      </c>
      <c r="U42" s="755">
        <f t="shared" si="10"/>
        <v>100</v>
      </c>
      <c r="V42" s="754" t="s">
        <v>25</v>
      </c>
      <c r="W42" s="755">
        <f t="shared" si="11"/>
        <v>100</v>
      </c>
      <c r="X42" s="756"/>
      <c r="Y42" s="3023"/>
      <c r="Z42" s="757" t="str">
        <f t="shared" si="12"/>
        <v>单套建筑面积</v>
      </c>
      <c r="AA42" s="1898">
        <f t="shared" si="3"/>
        <v>1</v>
      </c>
      <c r="AB42" s="1898">
        <f t="shared" si="4"/>
        <v>1</v>
      </c>
      <c r="AC42" s="1898">
        <f t="shared" si="5"/>
        <v>1</v>
      </c>
    </row>
    <row r="43" spans="1:29" ht="15">
      <c r="A43" s="452"/>
      <c r="B43" s="401" t="s">
        <v>2468</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049"/>
      <c r="Q43" s="1894" t="str">
        <f t="shared" si="8"/>
        <v>内部装修</v>
      </c>
      <c r="R43" s="751" t="s">
        <v>25</v>
      </c>
      <c r="S43" s="752">
        <f t="shared" si="9"/>
        <v>100</v>
      </c>
      <c r="T43" s="751" t="s">
        <v>25</v>
      </c>
      <c r="U43" s="752">
        <f t="shared" si="10"/>
        <v>100</v>
      </c>
      <c r="V43" s="751" t="s">
        <v>25</v>
      </c>
      <c r="W43" s="752">
        <f t="shared" si="11"/>
        <v>100</v>
      </c>
      <c r="X43" s="1895"/>
      <c r="Y43" s="3023"/>
      <c r="Z43" s="1897" t="str">
        <f t="shared" si="12"/>
        <v>内部装修</v>
      </c>
      <c r="AA43" s="1898">
        <f t="shared" si="3"/>
        <v>1</v>
      </c>
      <c r="AB43" s="1898">
        <f t="shared" si="4"/>
        <v>1</v>
      </c>
      <c r="AC43" s="1898">
        <f t="shared" si="5"/>
        <v>1</v>
      </c>
    </row>
    <row r="44" spans="1:29" ht="15">
      <c r="A44" s="452"/>
      <c r="B44" s="401" t="s">
        <v>2385</v>
      </c>
      <c r="C44" s="440"/>
      <c r="D44" s="414">
        <v>100</v>
      </c>
      <c r="E44" s="2408"/>
      <c r="F44" s="441">
        <f>SUMIF(125:125,E44,126:126)-SUMIF(125:125,C44,126:126)+100</f>
        <v>100</v>
      </c>
      <c r="G44" s="2408"/>
      <c r="H44" s="414">
        <f>SUMIF(125:125,G44,126:126)-SUMIF(125:125,C44,126:126)+100</f>
        <v>100</v>
      </c>
      <c r="I44" s="2408"/>
      <c r="J44" s="414">
        <f>SUMIF(125:125,I44,126:126)-SUMIF(125:125,C44,126:126)+100</f>
        <v>100</v>
      </c>
      <c r="K44" s="595"/>
      <c r="L44" s="1248"/>
      <c r="M44" s="1239"/>
      <c r="N44" s="1239"/>
      <c r="O44" s="1239"/>
      <c r="P44" s="3049"/>
      <c r="Q44" s="1894" t="str">
        <f t="shared" si="8"/>
        <v>内部装修维护情况</v>
      </c>
      <c r="R44" s="751" t="s">
        <v>25</v>
      </c>
      <c r="S44" s="752">
        <f t="shared" si="9"/>
        <v>100</v>
      </c>
      <c r="T44" s="751" t="s">
        <v>25</v>
      </c>
      <c r="U44" s="752">
        <f t="shared" si="10"/>
        <v>100</v>
      </c>
      <c r="V44" s="751" t="s">
        <v>25</v>
      </c>
      <c r="W44" s="752">
        <f t="shared" si="11"/>
        <v>100</v>
      </c>
      <c r="X44" s="1895"/>
      <c r="Y44" s="3023"/>
      <c r="Z44" s="1897" t="str">
        <f t="shared" si="12"/>
        <v>内部装修维护情况</v>
      </c>
      <c r="AA44" s="1898">
        <f t="shared" si="3"/>
        <v>1</v>
      </c>
      <c r="AB44" s="1898">
        <f t="shared" si="4"/>
        <v>1</v>
      </c>
      <c r="AC44" s="1898">
        <f t="shared" si="5"/>
        <v>1</v>
      </c>
    </row>
    <row r="45" spans="1:29" s="35" customFormat="1" ht="15">
      <c r="A45" s="453"/>
      <c r="B45" s="240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049"/>
      <c r="Q45" s="1882">
        <f t="shared" si="8"/>
        <v>111</v>
      </c>
      <c r="R45" s="747" t="s">
        <v>25</v>
      </c>
      <c r="S45" s="748">
        <f t="shared" si="9"/>
        <v>100</v>
      </c>
      <c r="T45" s="747" t="s">
        <v>25</v>
      </c>
      <c r="U45" s="748">
        <f t="shared" si="10"/>
        <v>100</v>
      </c>
      <c r="V45" s="747" t="s">
        <v>25</v>
      </c>
      <c r="W45" s="748">
        <f t="shared" si="11"/>
        <v>100</v>
      </c>
      <c r="X45" s="749"/>
      <c r="Y45" s="3023"/>
      <c r="Z45" s="23">
        <f t="shared" si="12"/>
        <v>111</v>
      </c>
      <c r="AA45" s="750">
        <f t="shared" si="3"/>
        <v>1</v>
      </c>
      <c r="AB45" s="750">
        <f t="shared" si="4"/>
        <v>1</v>
      </c>
      <c r="AC45" s="750">
        <f t="shared" si="5"/>
        <v>1</v>
      </c>
    </row>
    <row r="46" spans="1:29" ht="15">
      <c r="A46" s="452"/>
      <c r="B46" s="240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049"/>
      <c r="Q46" s="1894">
        <f t="shared" si="8"/>
        <v>111</v>
      </c>
      <c r="R46" s="751" t="s">
        <v>25</v>
      </c>
      <c r="S46" s="752">
        <f t="shared" si="9"/>
        <v>100</v>
      </c>
      <c r="T46" s="751" t="s">
        <v>25</v>
      </c>
      <c r="U46" s="752">
        <f t="shared" si="10"/>
        <v>100</v>
      </c>
      <c r="V46" s="751" t="s">
        <v>25</v>
      </c>
      <c r="W46" s="752">
        <f t="shared" si="11"/>
        <v>100</v>
      </c>
      <c r="X46" s="1895"/>
      <c r="Y46" s="3023"/>
      <c r="Z46" s="1897">
        <f t="shared" si="12"/>
        <v>111</v>
      </c>
      <c r="AA46" s="1898">
        <f t="shared" si="3"/>
        <v>1</v>
      </c>
      <c r="AB46" s="1898">
        <f t="shared" si="4"/>
        <v>1</v>
      </c>
      <c r="AC46" s="1898">
        <f t="shared" si="5"/>
        <v>1</v>
      </c>
    </row>
    <row r="47" spans="1:29" ht="15.75" thickBot="1">
      <c r="A47" s="458"/>
      <c r="B47" s="2398">
        <v>111</v>
      </c>
      <c r="C47" s="2399"/>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050"/>
      <c r="Q47" s="1894">
        <f t="shared" si="8"/>
        <v>111</v>
      </c>
      <c r="R47" s="751" t="s">
        <v>25</v>
      </c>
      <c r="S47" s="752">
        <f t="shared" si="9"/>
        <v>100</v>
      </c>
      <c r="T47" s="751" t="s">
        <v>25</v>
      </c>
      <c r="U47" s="752">
        <f t="shared" si="10"/>
        <v>100</v>
      </c>
      <c r="V47" s="751" t="s">
        <v>25</v>
      </c>
      <c r="W47" s="752">
        <f t="shared" si="11"/>
        <v>100</v>
      </c>
      <c r="X47" s="1895"/>
      <c r="Y47" s="3024"/>
      <c r="Z47" s="1897">
        <f t="shared" si="12"/>
        <v>111</v>
      </c>
      <c r="AA47" s="1898">
        <f t="shared" si="3"/>
        <v>1</v>
      </c>
      <c r="AB47" s="1898">
        <f t="shared" si="4"/>
        <v>1</v>
      </c>
      <c r="AC47" s="1898">
        <f t="shared" si="5"/>
        <v>1</v>
      </c>
    </row>
    <row r="48" spans="1:29" ht="15">
      <c r="A48" s="459" t="s">
        <v>2386</v>
      </c>
      <c r="B48" s="460"/>
      <c r="C48" s="1497" t="s">
        <v>1</v>
      </c>
      <c r="D48" s="1498"/>
      <c r="E48" s="1499"/>
      <c r="F48" s="1500"/>
      <c r="G48" s="1501"/>
      <c r="H48" s="1502"/>
      <c r="I48" s="1499"/>
      <c r="J48" s="1502"/>
      <c r="K48" s="760"/>
      <c r="L48" s="1251"/>
      <c r="M48" s="1239"/>
      <c r="N48" s="1239"/>
      <c r="O48" s="1239"/>
      <c r="P48" s="3036" t="str">
        <f>A48</f>
        <v>成交单价（元/平方米）</v>
      </c>
      <c r="Q48" s="3029"/>
      <c r="R48" s="3030">
        <f>E48</f>
        <v>0</v>
      </c>
      <c r="S48" s="3030"/>
      <c r="T48" s="3030">
        <f>G48</f>
        <v>0</v>
      </c>
      <c r="U48" s="3030"/>
      <c r="V48" s="3030">
        <f>I48</f>
        <v>0</v>
      </c>
      <c r="W48" s="3030"/>
      <c r="X48" s="736"/>
      <c r="Y48" s="758"/>
      <c r="Z48" s="736"/>
      <c r="AA48" s="736"/>
      <c r="AB48" s="736"/>
      <c r="AC48" s="736"/>
    </row>
    <row r="49" spans="1:29" ht="15.75" thickBot="1">
      <c r="A49" s="466" t="s">
        <v>2469</v>
      </c>
      <c r="B49" s="467"/>
      <c r="C49" s="1503" t="e">
        <f>R50</f>
        <v>#DIV/0!</v>
      </c>
      <c r="D49" s="1504"/>
      <c r="E49" s="1505" t="e">
        <f>R49</f>
        <v>#DIV/0!</v>
      </c>
      <c r="F49" s="1505"/>
      <c r="G49" s="1503" t="e">
        <f>T49</f>
        <v>#DIV/0!</v>
      </c>
      <c r="H49" s="1504"/>
      <c r="I49" s="1505" t="e">
        <f>V49</f>
        <v>#DIV/0!</v>
      </c>
      <c r="J49" s="1504"/>
      <c r="K49" s="761"/>
      <c r="L49" s="1251"/>
      <c r="M49" s="1239"/>
      <c r="N49" s="1239"/>
      <c r="O49" s="1239"/>
      <c r="P49" s="3036"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6"/>
      <c r="Y49" s="736"/>
      <c r="Z49" s="736"/>
      <c r="AA49" s="736"/>
      <c r="AB49" s="736"/>
      <c r="AC49" s="736"/>
    </row>
    <row r="50" spans="1:29" ht="15.75" thickBot="1">
      <c r="A50" s="472" t="s">
        <v>2492</v>
      </c>
      <c r="B50" s="473"/>
      <c r="C50" s="1507" t="e">
        <f>R50</f>
        <v>#DIV/0!</v>
      </c>
      <c r="D50" s="1507"/>
      <c r="E50" s="1507"/>
      <c r="F50" s="1507"/>
      <c r="G50" s="1507"/>
      <c r="H50" s="1507"/>
      <c r="I50" s="1507"/>
      <c r="J50" s="1507"/>
      <c r="K50" s="762"/>
      <c r="L50" s="1251"/>
      <c r="M50" s="1239"/>
      <c r="N50" s="1239"/>
      <c r="O50" s="1239"/>
      <c r="P50" s="3051" t="str">
        <f>A50</f>
        <v>估价对象XX用房的比较价值（楼面单价，元/平方米）</v>
      </c>
      <c r="Q50" s="3036"/>
      <c r="R50" s="3037" t="e">
        <f>IF(E1="售价",ROUND(AVERAGE(R49:V49),0),ROUND(AVERAGE(R49:V49),1))</f>
        <v>#DIV/0!</v>
      </c>
      <c r="S50" s="3037"/>
      <c r="T50" s="3037"/>
      <c r="U50" s="3037"/>
      <c r="V50" s="3037"/>
      <c r="W50" s="3037"/>
      <c r="X50" s="736"/>
      <c r="Y50" s="736"/>
      <c r="Z50" s="736"/>
      <c r="AA50" s="736"/>
      <c r="AB50" s="736"/>
      <c r="AC50" s="736"/>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2471</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2472</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2473</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0" t="s">
        <v>2474</v>
      </c>
      <c r="B58" s="736"/>
      <c r="C58" s="741"/>
      <c r="D58" s="741"/>
      <c r="E58" s="741"/>
      <c r="F58" s="742"/>
      <c r="G58" s="742"/>
      <c r="H58" s="741"/>
      <c r="I58" s="741"/>
      <c r="J58" s="741"/>
      <c r="K58" s="743"/>
      <c r="L58" s="744"/>
      <c r="M58" s="741"/>
      <c r="N58" s="741"/>
      <c r="O58" s="741"/>
      <c r="P58" s="483"/>
      <c r="Q58" s="484"/>
    </row>
    <row r="59" spans="1:29" s="488" customFormat="1" ht="15">
      <c r="A59" s="485" t="s">
        <v>2356</v>
      </c>
      <c r="B59" s="486"/>
      <c r="C59" s="1673" t="str">
        <f>YEAR(C7)&amp;"-"&amp;MONTH(C7)</f>
        <v>2018-6</v>
      </c>
      <c r="D59" s="1674">
        <f>EDATE(C59,-1)</f>
        <v>43221</v>
      </c>
      <c r="E59" s="1674">
        <f t="shared" ref="E59:O59" si="13">EDATE(D59,-1)</f>
        <v>43191</v>
      </c>
      <c r="F59" s="1674">
        <f t="shared" si="13"/>
        <v>43160</v>
      </c>
      <c r="G59" s="1674">
        <f t="shared" si="13"/>
        <v>43132</v>
      </c>
      <c r="H59" s="1674">
        <f t="shared" si="13"/>
        <v>43101</v>
      </c>
      <c r="I59" s="1674">
        <f t="shared" si="13"/>
        <v>43070</v>
      </c>
      <c r="J59" s="1674">
        <f t="shared" si="13"/>
        <v>43040</v>
      </c>
      <c r="K59" s="1674">
        <f t="shared" si="13"/>
        <v>43009</v>
      </c>
      <c r="L59" s="1674">
        <f t="shared" si="13"/>
        <v>42979</v>
      </c>
      <c r="M59" s="1674">
        <f t="shared" si="13"/>
        <v>42948</v>
      </c>
      <c r="N59" s="1674">
        <f t="shared" si="13"/>
        <v>42917</v>
      </c>
      <c r="O59" s="1674">
        <f t="shared" si="13"/>
        <v>42887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2394</v>
      </c>
      <c r="B61" s="496"/>
      <c r="C61" s="497"/>
      <c r="D61" s="498"/>
      <c r="E61" s="498"/>
      <c r="F61" s="498"/>
      <c r="G61" s="498"/>
      <c r="H61" s="498"/>
      <c r="I61" s="498"/>
      <c r="J61" s="498"/>
      <c r="K61" s="498"/>
      <c r="L61" s="498"/>
      <c r="M61" s="499"/>
      <c r="N61" s="498"/>
      <c r="O61" s="500"/>
      <c r="P61" s="484"/>
      <c r="Q61" s="484"/>
    </row>
    <row r="62" spans="1:29" s="35" customFormat="1" ht="15">
      <c r="A62" s="501" t="s">
        <v>2358</v>
      </c>
      <c r="B62" s="490"/>
      <c r="C62" s="502" t="s">
        <v>2359</v>
      </c>
      <c r="D62" s="503"/>
      <c r="E62" s="503"/>
      <c r="F62" s="503"/>
      <c r="G62" s="503"/>
      <c r="H62" s="503"/>
      <c r="I62" s="503"/>
      <c r="J62" s="503"/>
      <c r="K62" s="503"/>
      <c r="L62" s="504"/>
      <c r="M62" s="505"/>
      <c r="N62" s="1261"/>
      <c r="O62" s="1261"/>
      <c r="P62" s="506"/>
      <c r="Q62" s="484"/>
    </row>
    <row r="63" spans="1:29" s="35" customFormat="1" ht="15.75" thickBot="1">
      <c r="A63" s="501"/>
      <c r="B63" s="490"/>
      <c r="C63" s="491">
        <v>100</v>
      </c>
      <c r="D63" s="492"/>
      <c r="E63" s="492"/>
      <c r="F63" s="492"/>
      <c r="G63" s="492"/>
      <c r="H63" s="492"/>
      <c r="I63" s="492"/>
      <c r="J63" s="492"/>
      <c r="K63" s="492"/>
      <c r="L63" s="492"/>
      <c r="M63" s="494"/>
      <c r="N63" s="1261"/>
      <c r="O63" s="1261"/>
      <c r="P63" s="484"/>
      <c r="Q63" s="484"/>
    </row>
    <row r="64" spans="1:29">
      <c r="A64" s="507" t="s">
        <v>2397</v>
      </c>
      <c r="B64" s="508" t="s">
        <v>2362</v>
      </c>
      <c r="C64" s="509">
        <f>C9</f>
        <v>0</v>
      </c>
      <c r="D64" s="510"/>
      <c r="E64" s="510"/>
      <c r="F64" s="510"/>
      <c r="G64" s="510"/>
      <c r="H64" s="510"/>
      <c r="I64" s="510"/>
      <c r="J64" s="510"/>
      <c r="K64" s="511"/>
      <c r="L64" s="512"/>
      <c r="M64" s="513"/>
      <c r="N64" s="1262"/>
      <c r="O64" s="1262"/>
      <c r="P64" s="22"/>
      <c r="Q64" s="484"/>
    </row>
    <row r="65" spans="1:17" ht="15.75" thickBot="1">
      <c r="A65" s="515"/>
      <c r="B65" s="516"/>
      <c r="C65" s="517">
        <v>100</v>
      </c>
      <c r="D65" s="517"/>
      <c r="E65" s="517"/>
      <c r="F65" s="517"/>
      <c r="G65" s="517"/>
      <c r="H65" s="517"/>
      <c r="I65" s="517"/>
      <c r="J65" s="517"/>
      <c r="K65" s="517"/>
      <c r="L65" s="517"/>
      <c r="M65" s="518"/>
      <c r="N65" s="1263"/>
      <c r="O65" s="1263"/>
      <c r="P65" s="22"/>
      <c r="Q65" s="484"/>
    </row>
    <row r="66" spans="1:17" ht="27.75" thickTop="1">
      <c r="A66" s="515"/>
      <c r="B66" s="520" t="s">
        <v>2365</v>
      </c>
      <c r="C66" s="521" t="s">
        <v>2398</v>
      </c>
      <c r="D66" s="521" t="s">
        <v>2399</v>
      </c>
      <c r="E66" s="521" t="s">
        <v>2400</v>
      </c>
      <c r="F66" s="521" t="s">
        <v>2401</v>
      </c>
      <c r="G66" s="521" t="s">
        <v>2402</v>
      </c>
      <c r="H66" s="521" t="s">
        <v>2403</v>
      </c>
      <c r="I66" s="521" t="s">
        <v>2404</v>
      </c>
      <c r="J66" s="521"/>
      <c r="K66" s="522"/>
      <c r="L66" s="523"/>
      <c r="M66" s="524"/>
      <c r="N66" s="1262"/>
      <c r="O66" s="1262"/>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75" thickTop="1">
      <c r="A68" s="515"/>
      <c r="B68" s="528" t="s">
        <v>2366</v>
      </c>
      <c r="C68" s="529" t="str">
        <f>C69&amp;"（含）"&amp;"-"&amp;D69</f>
        <v>（含）-</v>
      </c>
      <c r="D68" s="529" t="str">
        <f t="shared" ref="D68:L68" si="14">D69&amp;"（含）"&amp;"-"&amp;E69</f>
        <v>（含）-</v>
      </c>
      <c r="E68" s="529" t="str">
        <f t="shared" si="14"/>
        <v>（含）-</v>
      </c>
      <c r="F68" s="529" t="str">
        <f t="shared" si="14"/>
        <v>（含）-</v>
      </c>
      <c r="G68" s="529" t="str">
        <f t="shared" si="14"/>
        <v>（含）-</v>
      </c>
      <c r="H68" s="529" t="str">
        <f t="shared" si="14"/>
        <v>（含）-</v>
      </c>
      <c r="I68" s="529" t="str">
        <f t="shared" si="14"/>
        <v>（含）-</v>
      </c>
      <c r="J68" s="529" t="str">
        <f t="shared" si="14"/>
        <v>（含）-</v>
      </c>
      <c r="K68" s="529" t="str">
        <f t="shared" si="14"/>
        <v>（含）-</v>
      </c>
      <c r="L68" s="529" t="str">
        <f t="shared" si="14"/>
        <v>（含）-</v>
      </c>
      <c r="M68" s="426" t="str">
        <f>M69&amp;"（含）"&amp;"-"&amp;P69</f>
        <v>（含）-</v>
      </c>
      <c r="N68" s="1263"/>
      <c r="O68" s="1263"/>
      <c r="P68" s="22"/>
      <c r="Q68" s="484"/>
    </row>
    <row r="69" spans="1:17" ht="15">
      <c r="A69" s="515"/>
      <c r="B69" s="530"/>
      <c r="C69" s="531"/>
      <c r="D69" s="531"/>
      <c r="E69" s="531"/>
      <c r="F69" s="531"/>
      <c r="G69" s="531"/>
      <c r="H69" s="531"/>
      <c r="I69" s="531"/>
      <c r="J69" s="531"/>
      <c r="K69" s="532"/>
      <c r="L69" s="533"/>
      <c r="M69" s="534"/>
      <c r="N69" s="1262"/>
      <c r="O69" s="1262"/>
      <c r="P69" s="22"/>
      <c r="Q69" s="484"/>
    </row>
    <row r="70" spans="1:17" ht="15.75" thickBot="1">
      <c r="A70" s="515"/>
      <c r="B70" s="516"/>
      <c r="C70" s="526">
        <v>100</v>
      </c>
      <c r="D70" s="526">
        <f t="shared" ref="D70:M70" si="15">C70-$K11</f>
        <v>100</v>
      </c>
      <c r="E70" s="526">
        <f t="shared" si="15"/>
        <v>100</v>
      </c>
      <c r="F70" s="526">
        <f t="shared" si="15"/>
        <v>100</v>
      </c>
      <c r="G70" s="526">
        <f t="shared" si="15"/>
        <v>100</v>
      </c>
      <c r="H70" s="526">
        <f t="shared" si="15"/>
        <v>100</v>
      </c>
      <c r="I70" s="526">
        <f t="shared" si="15"/>
        <v>100</v>
      </c>
      <c r="J70" s="526">
        <f t="shared" si="15"/>
        <v>100</v>
      </c>
      <c r="K70" s="526">
        <f t="shared" si="15"/>
        <v>100</v>
      </c>
      <c r="L70" s="526">
        <f t="shared" si="15"/>
        <v>100</v>
      </c>
      <c r="M70" s="527">
        <f t="shared" si="15"/>
        <v>100</v>
      </c>
      <c r="N70" s="1263"/>
      <c r="O70" s="1263"/>
      <c r="P70" s="22"/>
      <c r="Q70" s="484"/>
    </row>
    <row r="71" spans="1:17" s="451" customFormat="1" ht="15.75" thickTop="1">
      <c r="A71" s="535"/>
      <c r="B71" s="520">
        <f>B12</f>
        <v>111</v>
      </c>
      <c r="C71" s="536"/>
      <c r="D71" s="536"/>
      <c r="E71" s="536"/>
      <c r="F71" s="536"/>
      <c r="G71" s="536"/>
      <c r="H71" s="537"/>
      <c r="I71" s="537"/>
      <c r="J71" s="537"/>
      <c r="K71" s="537"/>
      <c r="L71" s="538"/>
      <c r="M71" s="539"/>
      <c r="N71" s="1264"/>
      <c r="O71" s="1264"/>
      <c r="P71" s="541"/>
      <c r="Q71" s="542"/>
    </row>
    <row r="72" spans="1:17" s="451" customFormat="1" ht="15.75" thickBot="1">
      <c r="A72" s="535"/>
      <c r="B72" s="525"/>
      <c r="C72" s="543"/>
      <c r="D72" s="517"/>
      <c r="E72" s="517"/>
      <c r="F72" s="517"/>
      <c r="G72" s="517"/>
      <c r="H72" s="517"/>
      <c r="I72" s="517"/>
      <c r="J72" s="517"/>
      <c r="K72" s="517"/>
      <c r="L72" s="517"/>
      <c r="M72" s="518"/>
      <c r="N72" s="1263"/>
      <c r="O72" s="1263"/>
      <c r="P72" s="541"/>
      <c r="Q72" s="542"/>
    </row>
    <row r="73" spans="1:17" s="451" customFormat="1" ht="15.75" thickTop="1">
      <c r="A73" s="535"/>
      <c r="B73" s="520">
        <f>B13</f>
        <v>111</v>
      </c>
      <c r="C73" s="536"/>
      <c r="D73" s="536"/>
      <c r="E73" s="536"/>
      <c r="F73" s="536"/>
      <c r="G73" s="536"/>
      <c r="H73" s="537"/>
      <c r="I73" s="537"/>
      <c r="J73" s="537"/>
      <c r="K73" s="537"/>
      <c r="L73" s="538"/>
      <c r="M73" s="539"/>
      <c r="N73" s="1264"/>
      <c r="O73" s="1264"/>
      <c r="P73" s="450"/>
      <c r="Q73" s="544"/>
    </row>
    <row r="74" spans="1:17" s="451" customFormat="1" ht="15.75" thickBot="1">
      <c r="A74" s="535"/>
      <c r="B74" s="525"/>
      <c r="C74" s="543"/>
      <c r="D74" s="543"/>
      <c r="E74" s="543"/>
      <c r="F74" s="543"/>
      <c r="G74" s="543"/>
      <c r="H74" s="545"/>
      <c r="I74" s="545"/>
      <c r="J74" s="545"/>
      <c r="K74" s="545"/>
      <c r="L74" s="545"/>
      <c r="M74" s="546"/>
      <c r="N74" s="1264"/>
      <c r="O74" s="1264"/>
      <c r="P74" s="541"/>
      <c r="Q74" s="542"/>
    </row>
    <row r="75" spans="1:17" s="451" customFormat="1" ht="15.75" thickTop="1">
      <c r="A75" s="535"/>
      <c r="B75" s="528">
        <f>B14</f>
        <v>111</v>
      </c>
      <c r="C75" s="503"/>
      <c r="D75" s="503"/>
      <c r="E75" s="503"/>
      <c r="F75" s="503"/>
      <c r="G75" s="503"/>
      <c r="H75" s="547"/>
      <c r="I75" s="547"/>
      <c r="J75" s="547"/>
      <c r="K75" s="547"/>
      <c r="L75" s="548"/>
      <c r="M75" s="549"/>
      <c r="N75" s="1264"/>
      <c r="O75" s="1264"/>
      <c r="P75" s="550"/>
      <c r="Q75" s="542"/>
    </row>
    <row r="76" spans="1:17" s="451" customFormat="1" ht="15.75" thickBot="1">
      <c r="A76" s="551"/>
      <c r="B76" s="552"/>
      <c r="C76" s="553"/>
      <c r="D76" s="553"/>
      <c r="E76" s="553"/>
      <c r="F76" s="553"/>
      <c r="G76" s="553"/>
      <c r="H76" s="554"/>
      <c r="I76" s="554"/>
      <c r="J76" s="554"/>
      <c r="K76" s="554"/>
      <c r="L76" s="554"/>
      <c r="M76" s="555"/>
      <c r="N76" s="1264"/>
      <c r="O76" s="1264"/>
      <c r="P76" s="541"/>
      <c r="Q76" s="542"/>
    </row>
    <row r="77" spans="1:17">
      <c r="A77" s="507" t="s">
        <v>2367</v>
      </c>
      <c r="B77" s="508" t="s">
        <v>2493</v>
      </c>
      <c r="C77" s="556" t="s">
        <v>2406</v>
      </c>
      <c r="D77" s="556" t="s">
        <v>2407</v>
      </c>
      <c r="E77" s="556" t="s">
        <v>2408</v>
      </c>
      <c r="F77" s="556" t="s">
        <v>2409</v>
      </c>
      <c r="G77" s="556" t="s">
        <v>2410</v>
      </c>
      <c r="H77" s="509"/>
      <c r="I77" s="509"/>
      <c r="J77" s="509"/>
      <c r="K77" s="557"/>
      <c r="L77" s="558"/>
      <c r="M77" s="559"/>
      <c r="N77" s="1262"/>
      <c r="O77" s="1262"/>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75" thickTop="1">
      <c r="A79" s="515"/>
      <c r="B79" s="520" t="s">
        <v>2411</v>
      </c>
      <c r="C79" s="561" t="s">
        <v>2406</v>
      </c>
      <c r="D79" s="561" t="s">
        <v>2407</v>
      </c>
      <c r="E79" s="561" t="s">
        <v>2408</v>
      </c>
      <c r="F79" s="561" t="s">
        <v>2409</v>
      </c>
      <c r="G79" s="561" t="s">
        <v>2410</v>
      </c>
      <c r="H79" s="521"/>
      <c r="I79" s="521"/>
      <c r="J79" s="521"/>
      <c r="K79" s="522"/>
      <c r="L79" s="523"/>
      <c r="M79" s="524"/>
      <c r="N79" s="1262"/>
      <c r="O79" s="1262"/>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75" thickTop="1">
      <c r="A81" s="515"/>
      <c r="B81" s="520" t="s">
        <v>2412</v>
      </c>
      <c r="C81" s="561" t="s">
        <v>2406</v>
      </c>
      <c r="D81" s="561" t="s">
        <v>2407</v>
      </c>
      <c r="E81" s="561" t="s">
        <v>2408</v>
      </c>
      <c r="F81" s="561" t="s">
        <v>2409</v>
      </c>
      <c r="G81" s="561" t="s">
        <v>2410</v>
      </c>
      <c r="H81" s="521"/>
      <c r="I81" s="521"/>
      <c r="J81" s="521"/>
      <c r="K81" s="522"/>
      <c r="L81" s="523"/>
      <c r="M81" s="524"/>
      <c r="N81" s="1262"/>
      <c r="O81" s="1262"/>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75" thickTop="1">
      <c r="A83" s="515"/>
      <c r="B83" s="528" t="s">
        <v>2455</v>
      </c>
      <c r="C83" s="521" t="s">
        <v>2413</v>
      </c>
      <c r="D83" s="521" t="s">
        <v>2414</v>
      </c>
      <c r="E83" s="521" t="s">
        <v>2415</v>
      </c>
      <c r="F83" s="521" t="s">
        <v>2416</v>
      </c>
      <c r="G83" s="521" t="s">
        <v>2417</v>
      </c>
      <c r="H83" s="521"/>
      <c r="I83" s="521"/>
      <c r="J83" s="521"/>
      <c r="K83" s="521"/>
      <c r="L83" s="521"/>
      <c r="M83" s="1462"/>
      <c r="N83" s="1263"/>
      <c r="O83" s="1263"/>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75" thickTop="1">
      <c r="A85" s="515"/>
      <c r="B85" s="520" t="s">
        <v>2494</v>
      </c>
      <c r="C85" s="561" t="s">
        <v>2406</v>
      </c>
      <c r="D85" s="561" t="s">
        <v>2407</v>
      </c>
      <c r="E85" s="561" t="s">
        <v>2408</v>
      </c>
      <c r="F85" s="561" t="s">
        <v>2409</v>
      </c>
      <c r="G85" s="561" t="s">
        <v>2410</v>
      </c>
      <c r="H85" s="521"/>
      <c r="I85" s="521"/>
      <c r="J85" s="521"/>
      <c r="K85" s="522"/>
      <c r="L85" s="523"/>
      <c r="M85" s="524"/>
      <c r="N85" s="1262"/>
      <c r="O85" s="1262"/>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5" customFormat="1" ht="27.75" thickTop="1">
      <c r="A87" s="562"/>
      <c r="B87" s="520" t="s">
        <v>2495</v>
      </c>
      <c r="C87" s="536"/>
      <c r="D87" s="536"/>
      <c r="E87" s="536"/>
      <c r="F87" s="536"/>
      <c r="G87" s="536"/>
      <c r="H87" s="536"/>
      <c r="I87" s="536"/>
      <c r="J87" s="536"/>
      <c r="K87" s="536"/>
      <c r="L87" s="563"/>
      <c r="M87" s="564"/>
      <c r="N87" s="1261"/>
      <c r="O87" s="1261"/>
      <c r="P87" s="22"/>
      <c r="Q87" s="484"/>
    </row>
    <row r="88" spans="1:17" s="35" customFormat="1" ht="15.75" thickBot="1">
      <c r="A88" s="562"/>
      <c r="B88" s="525"/>
      <c r="C88" s="565">
        <v>100</v>
      </c>
      <c r="D88" s="526">
        <f t="shared" ref="D88:M88" si="16">C88-$K25</f>
        <v>100</v>
      </c>
      <c r="E88" s="526">
        <f t="shared" si="16"/>
        <v>100</v>
      </c>
      <c r="F88" s="526">
        <f t="shared" si="16"/>
        <v>100</v>
      </c>
      <c r="G88" s="526">
        <f t="shared" si="16"/>
        <v>100</v>
      </c>
      <c r="H88" s="526">
        <f t="shared" si="16"/>
        <v>100</v>
      </c>
      <c r="I88" s="526">
        <f t="shared" si="16"/>
        <v>100</v>
      </c>
      <c r="J88" s="526">
        <f t="shared" si="16"/>
        <v>100</v>
      </c>
      <c r="K88" s="526">
        <f t="shared" si="16"/>
        <v>100</v>
      </c>
      <c r="L88" s="526">
        <f t="shared" si="16"/>
        <v>100</v>
      </c>
      <c r="M88" s="526">
        <f t="shared" si="16"/>
        <v>100</v>
      </c>
      <c r="N88" s="1263"/>
      <c r="O88" s="1263"/>
      <c r="P88" s="22"/>
      <c r="Q88" s="484"/>
    </row>
    <row r="89" spans="1:17" s="35" customFormat="1" ht="15.75" thickTop="1">
      <c r="A89" s="562"/>
      <c r="B89" s="520" t="str">
        <f>B27</f>
        <v>楼层</v>
      </c>
      <c r="C89" s="536"/>
      <c r="D89" s="536"/>
      <c r="E89" s="536"/>
      <c r="F89" s="2427"/>
      <c r="G89" s="536"/>
      <c r="H89" s="536"/>
      <c r="I89" s="536"/>
      <c r="J89" s="536"/>
      <c r="K89" s="536"/>
      <c r="L89" s="536"/>
      <c r="M89" s="564"/>
      <c r="N89" s="1261"/>
      <c r="O89" s="1261"/>
      <c r="P89" s="22"/>
      <c r="Q89" s="484"/>
    </row>
    <row r="90" spans="1:17" s="35" customFormat="1" ht="15.75" thickBot="1">
      <c r="A90" s="562"/>
      <c r="B90" s="525"/>
      <c r="C90" s="565">
        <v>100</v>
      </c>
      <c r="D90" s="526">
        <f>C90-$K27</f>
        <v>100</v>
      </c>
      <c r="E90" s="526">
        <f t="shared" ref="E90:M90" si="17">D90-$K27</f>
        <v>100</v>
      </c>
      <c r="F90" s="526">
        <f t="shared" si="17"/>
        <v>100</v>
      </c>
      <c r="G90" s="526">
        <f t="shared" si="17"/>
        <v>100</v>
      </c>
      <c r="H90" s="526">
        <f t="shared" si="17"/>
        <v>100</v>
      </c>
      <c r="I90" s="526">
        <f t="shared" si="17"/>
        <v>100</v>
      </c>
      <c r="J90" s="526">
        <f t="shared" si="17"/>
        <v>100</v>
      </c>
      <c r="K90" s="526">
        <f t="shared" si="17"/>
        <v>100</v>
      </c>
      <c r="L90" s="526">
        <f t="shared" si="17"/>
        <v>100</v>
      </c>
      <c r="M90" s="526">
        <f t="shared" si="17"/>
        <v>100</v>
      </c>
      <c r="N90" s="1263"/>
      <c r="O90" s="1263"/>
      <c r="P90" s="22"/>
      <c r="Q90" s="484"/>
    </row>
    <row r="91" spans="1:17" s="451" customFormat="1" ht="15.75"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5.75" thickBot="1">
      <c r="A92" s="535"/>
      <c r="B92" s="525"/>
      <c r="C92" s="565">
        <v>100</v>
      </c>
      <c r="D92" s="526">
        <f t="shared" ref="D92:M92" si="18">C92-$K28</f>
        <v>100</v>
      </c>
      <c r="E92" s="526">
        <f t="shared" si="18"/>
        <v>100</v>
      </c>
      <c r="F92" s="526">
        <f t="shared" si="18"/>
        <v>100</v>
      </c>
      <c r="G92" s="526">
        <f t="shared" si="18"/>
        <v>100</v>
      </c>
      <c r="H92" s="526">
        <f t="shared" si="18"/>
        <v>100</v>
      </c>
      <c r="I92" s="526">
        <f t="shared" si="18"/>
        <v>100</v>
      </c>
      <c r="J92" s="526">
        <f t="shared" si="18"/>
        <v>100</v>
      </c>
      <c r="K92" s="526">
        <f t="shared" si="18"/>
        <v>100</v>
      </c>
      <c r="L92" s="526">
        <f t="shared" si="18"/>
        <v>100</v>
      </c>
      <c r="M92" s="526">
        <f t="shared" si="18"/>
        <v>100</v>
      </c>
      <c r="N92" s="1264"/>
      <c r="O92" s="1264"/>
      <c r="P92" s="541"/>
      <c r="Q92" s="542"/>
    </row>
    <row r="93" spans="1:17" ht="15.75" thickTop="1">
      <c r="A93" s="515"/>
      <c r="B93" s="520">
        <f>B29</f>
        <v>111</v>
      </c>
      <c r="C93" s="536"/>
      <c r="D93" s="536"/>
      <c r="E93" s="536"/>
      <c r="F93" s="536"/>
      <c r="G93" s="536"/>
      <c r="H93" s="536"/>
      <c r="I93" s="536"/>
      <c r="J93" s="536"/>
      <c r="K93" s="536"/>
      <c r="L93" s="563"/>
      <c r="M93" s="564"/>
      <c r="N93" s="1262"/>
      <c r="O93" s="1262"/>
      <c r="P93" s="22"/>
      <c r="Q93" s="484"/>
    </row>
    <row r="94" spans="1:17" ht="15.75" thickBot="1">
      <c r="A94" s="515"/>
      <c r="B94" s="525"/>
      <c r="C94" s="543"/>
      <c r="D94" s="517"/>
      <c r="E94" s="517"/>
      <c r="F94" s="517"/>
      <c r="G94" s="517"/>
      <c r="H94" s="517"/>
      <c r="I94" s="517"/>
      <c r="J94" s="517"/>
      <c r="K94" s="517"/>
      <c r="L94" s="517"/>
      <c r="M94" s="518"/>
      <c r="N94" s="1263"/>
      <c r="O94" s="1263"/>
      <c r="P94" s="22"/>
      <c r="Q94" s="484"/>
    </row>
    <row r="95" spans="1:17" ht="15.75" thickTop="1">
      <c r="A95" s="515"/>
      <c r="B95" s="520">
        <f>B30</f>
        <v>111</v>
      </c>
      <c r="C95" s="536"/>
      <c r="D95" s="536"/>
      <c r="E95" s="536"/>
      <c r="F95" s="536"/>
      <c r="G95" s="566"/>
      <c r="H95" s="566"/>
      <c r="I95" s="566"/>
      <c r="J95" s="566"/>
      <c r="K95" s="567"/>
      <c r="L95" s="568"/>
      <c r="M95" s="569"/>
      <c r="N95" s="1262"/>
      <c r="O95" s="1262"/>
      <c r="P95" s="22"/>
      <c r="Q95" s="484"/>
    </row>
    <row r="96" spans="1:17" ht="15.75" thickBot="1">
      <c r="A96" s="515"/>
      <c r="B96" s="525"/>
      <c r="C96" s="543"/>
      <c r="D96" s="543"/>
      <c r="E96" s="543"/>
      <c r="F96" s="543"/>
      <c r="G96" s="517"/>
      <c r="H96" s="517"/>
      <c r="I96" s="517"/>
      <c r="J96" s="517"/>
      <c r="K96" s="517"/>
      <c r="L96" s="517"/>
      <c r="M96" s="518"/>
      <c r="N96" s="1263"/>
      <c r="O96" s="1263"/>
      <c r="P96" s="22"/>
      <c r="Q96" s="484"/>
    </row>
    <row r="97" spans="1:17" ht="15.75" thickTop="1">
      <c r="A97" s="515"/>
      <c r="B97" s="520">
        <f>B31</f>
        <v>111</v>
      </c>
      <c r="C97" s="536"/>
      <c r="D97" s="536"/>
      <c r="E97" s="536"/>
      <c r="F97" s="536"/>
      <c r="G97" s="566"/>
      <c r="H97" s="566"/>
      <c r="I97" s="566"/>
      <c r="J97" s="566"/>
      <c r="K97" s="567"/>
      <c r="L97" s="568"/>
      <c r="M97" s="569"/>
      <c r="N97" s="1262"/>
      <c r="O97" s="1262"/>
      <c r="P97" s="22"/>
      <c r="Q97" s="484"/>
    </row>
    <row r="98" spans="1:17" ht="15.75" thickBot="1">
      <c r="A98" s="515"/>
      <c r="B98" s="525"/>
      <c r="C98" s="543"/>
      <c r="D98" s="517"/>
      <c r="E98" s="517"/>
      <c r="F98" s="517"/>
      <c r="G98" s="517"/>
      <c r="H98" s="517"/>
      <c r="I98" s="517"/>
      <c r="J98" s="517"/>
      <c r="K98" s="517"/>
      <c r="L98" s="517"/>
      <c r="M98" s="518"/>
      <c r="N98" s="1263"/>
      <c r="O98" s="1263"/>
      <c r="P98" s="22"/>
      <c r="Q98" s="484"/>
    </row>
    <row r="99" spans="1:17" ht="15.75" thickTop="1">
      <c r="A99" s="515"/>
      <c r="B99" s="528">
        <f>B32</f>
        <v>111</v>
      </c>
      <c r="C99" s="503"/>
      <c r="D99" s="503"/>
      <c r="E99" s="503"/>
      <c r="F99" s="503"/>
      <c r="G99" s="570"/>
      <c r="H99" s="570"/>
      <c r="I99" s="570"/>
      <c r="J99" s="570"/>
      <c r="K99" s="571"/>
      <c r="L99" s="572"/>
      <c r="M99" s="573"/>
      <c r="N99" s="1262"/>
      <c r="O99" s="1262"/>
      <c r="P99" s="22"/>
      <c r="Q99" s="484"/>
    </row>
    <row r="100" spans="1:17" ht="15.75" thickBot="1">
      <c r="A100" s="2428"/>
      <c r="B100" s="552"/>
      <c r="C100" s="553"/>
      <c r="D100" s="553"/>
      <c r="E100" s="553"/>
      <c r="F100" s="553"/>
      <c r="G100" s="574"/>
      <c r="H100" s="574"/>
      <c r="I100" s="574"/>
      <c r="J100" s="574"/>
      <c r="K100" s="574"/>
      <c r="L100" s="574"/>
      <c r="M100" s="575"/>
      <c r="N100" s="1263"/>
      <c r="O100" s="1263"/>
      <c r="P100" s="22"/>
      <c r="Q100" s="484"/>
    </row>
    <row r="101" spans="1:17">
      <c r="A101" s="507" t="s">
        <v>2372</v>
      </c>
      <c r="B101" s="508" t="s">
        <v>2421</v>
      </c>
      <c r="C101" s="510"/>
      <c r="D101" s="510"/>
      <c r="E101" s="510"/>
      <c r="F101" s="510"/>
      <c r="G101" s="510"/>
      <c r="H101" s="510"/>
      <c r="I101" s="510"/>
      <c r="J101" s="510"/>
      <c r="K101" s="511"/>
      <c r="L101" s="512"/>
      <c r="M101" s="513"/>
      <c r="N101" s="1262"/>
      <c r="O101" s="1262"/>
      <c r="P101" s="22"/>
      <c r="Q101" s="484"/>
    </row>
    <row r="102" spans="1:17" ht="15.75" thickBot="1">
      <c r="A102" s="515"/>
      <c r="B102" s="525"/>
      <c r="C102" s="526">
        <v>100</v>
      </c>
      <c r="D102" s="526">
        <f t="shared" ref="D102:M102" si="19">C102-$K33</f>
        <v>100</v>
      </c>
      <c r="E102" s="526">
        <f t="shared" si="19"/>
        <v>100</v>
      </c>
      <c r="F102" s="526">
        <f t="shared" si="19"/>
        <v>100</v>
      </c>
      <c r="G102" s="526">
        <f t="shared" si="19"/>
        <v>100</v>
      </c>
      <c r="H102" s="526">
        <f t="shared" si="19"/>
        <v>100</v>
      </c>
      <c r="I102" s="526">
        <f t="shared" si="19"/>
        <v>100</v>
      </c>
      <c r="J102" s="526">
        <f t="shared" si="19"/>
        <v>100</v>
      </c>
      <c r="K102" s="526">
        <f t="shared" si="19"/>
        <v>100</v>
      </c>
      <c r="L102" s="526">
        <f t="shared" si="19"/>
        <v>100</v>
      </c>
      <c r="M102" s="527">
        <f t="shared" si="19"/>
        <v>100</v>
      </c>
      <c r="N102" s="1263"/>
      <c r="O102" s="1263"/>
      <c r="P102" s="22"/>
      <c r="Q102" s="484"/>
    </row>
    <row r="103" spans="1:17" ht="15.75" thickTop="1">
      <c r="A103" s="515"/>
      <c r="B103" s="520" t="s">
        <v>2422</v>
      </c>
      <c r="C103" s="561" t="str">
        <f>C104&amp;"(含)"&amp;"-"&amp;D104</f>
        <v>(含)-</v>
      </c>
      <c r="D103" s="561" t="str">
        <f t="shared" ref="D103:L103" si="20">D104&amp;"(含)"&amp;"-"&amp;E104</f>
        <v>(含)-</v>
      </c>
      <c r="E103" s="561" t="str">
        <f t="shared" si="20"/>
        <v>(含)-</v>
      </c>
      <c r="F103" s="561" t="str">
        <f t="shared" si="20"/>
        <v>(含)-</v>
      </c>
      <c r="G103" s="561" t="str">
        <f t="shared" si="20"/>
        <v>(含)-</v>
      </c>
      <c r="H103" s="561" t="str">
        <f t="shared" si="20"/>
        <v>(含)-</v>
      </c>
      <c r="I103" s="561" t="str">
        <f t="shared" si="20"/>
        <v>(含)-</v>
      </c>
      <c r="J103" s="561" t="str">
        <f t="shared" si="20"/>
        <v>(含)-</v>
      </c>
      <c r="K103" s="561" t="str">
        <f t="shared" si="20"/>
        <v>(含)-</v>
      </c>
      <c r="L103" s="561" t="str">
        <f t="shared" si="20"/>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5.75"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2423</v>
      </c>
      <c r="C106" s="536"/>
      <c r="D106" s="536"/>
      <c r="E106" s="566"/>
      <c r="F106" s="566"/>
      <c r="G106" s="566"/>
      <c r="H106" s="566"/>
      <c r="I106" s="566"/>
      <c r="J106" s="566"/>
      <c r="K106" s="567"/>
      <c r="L106" s="568"/>
      <c r="M106" s="569"/>
      <c r="N106" s="1262"/>
      <c r="O106" s="1262"/>
      <c r="P106" s="22"/>
      <c r="Q106" s="484"/>
    </row>
    <row r="107" spans="1:17" ht="15.75" thickBot="1">
      <c r="A107" s="515"/>
      <c r="B107" s="525"/>
      <c r="C107" s="526">
        <v>100</v>
      </c>
      <c r="D107" s="526">
        <f t="shared" ref="D107:M107" si="21">C107-$K35</f>
        <v>100</v>
      </c>
      <c r="E107" s="526">
        <f t="shared" si="21"/>
        <v>100</v>
      </c>
      <c r="F107" s="526">
        <f t="shared" si="21"/>
        <v>100</v>
      </c>
      <c r="G107" s="526">
        <f t="shared" si="21"/>
        <v>100</v>
      </c>
      <c r="H107" s="526">
        <f t="shared" si="21"/>
        <v>100</v>
      </c>
      <c r="I107" s="526">
        <f t="shared" si="21"/>
        <v>100</v>
      </c>
      <c r="J107" s="526">
        <f t="shared" si="21"/>
        <v>100</v>
      </c>
      <c r="K107" s="526">
        <f t="shared" si="21"/>
        <v>100</v>
      </c>
      <c r="L107" s="526">
        <f t="shared" si="21"/>
        <v>100</v>
      </c>
      <c r="M107" s="527">
        <f t="shared" si="21"/>
        <v>100</v>
      </c>
      <c r="N107" s="1263"/>
      <c r="O107" s="1263"/>
      <c r="P107" s="22"/>
      <c r="Q107" s="484"/>
    </row>
    <row r="108" spans="1:17" ht="15" thickTop="1">
      <c r="A108" s="582"/>
      <c r="B108" s="520" t="s">
        <v>2425</v>
      </c>
      <c r="C108" s="536"/>
      <c r="D108" s="536"/>
      <c r="E108" s="536"/>
      <c r="F108" s="566"/>
      <c r="G108" s="566"/>
      <c r="H108" s="566"/>
      <c r="I108" s="566"/>
      <c r="J108" s="566"/>
      <c r="K108" s="567"/>
      <c r="L108" s="568"/>
      <c r="M108" s="569"/>
      <c r="N108" s="1262"/>
      <c r="O108" s="1262"/>
      <c r="P108" s="22"/>
      <c r="Q108" s="484"/>
    </row>
    <row r="109" spans="1:17" ht="15.75" thickBot="1">
      <c r="A109" s="515"/>
      <c r="B109" s="525"/>
      <c r="C109" s="526">
        <v>100</v>
      </c>
      <c r="D109" s="526">
        <f t="shared" ref="D109:M109" si="22">C109-$K36</f>
        <v>100</v>
      </c>
      <c r="E109" s="526">
        <f t="shared" si="22"/>
        <v>100</v>
      </c>
      <c r="F109" s="526">
        <f t="shared" si="22"/>
        <v>100</v>
      </c>
      <c r="G109" s="526">
        <f t="shared" si="22"/>
        <v>100</v>
      </c>
      <c r="H109" s="526">
        <f t="shared" si="22"/>
        <v>100</v>
      </c>
      <c r="I109" s="526">
        <f t="shared" si="22"/>
        <v>100</v>
      </c>
      <c r="J109" s="526">
        <f t="shared" si="22"/>
        <v>100</v>
      </c>
      <c r="K109" s="526">
        <f t="shared" si="22"/>
        <v>100</v>
      </c>
      <c r="L109" s="526">
        <f t="shared" si="22"/>
        <v>100</v>
      </c>
      <c r="M109" s="527">
        <f t="shared" si="22"/>
        <v>100</v>
      </c>
      <c r="N109" s="1263"/>
      <c r="O109" s="1263"/>
      <c r="P109" s="22"/>
      <c r="Q109" s="484"/>
    </row>
    <row r="110" spans="1:17" ht="15" thickTop="1">
      <c r="A110" s="582"/>
      <c r="B110" s="520" t="s">
        <v>2426</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5.75" thickBot="1">
      <c r="A112" s="515"/>
      <c r="B112" s="525"/>
      <c r="C112" s="565">
        <v>100</v>
      </c>
      <c r="D112" s="526">
        <f>C112+$K37</f>
        <v>100</v>
      </c>
      <c r="E112" s="526">
        <f t="shared" ref="E112:M112" si="23">D112+$K37</f>
        <v>100</v>
      </c>
      <c r="F112" s="526">
        <f t="shared" si="23"/>
        <v>100</v>
      </c>
      <c r="G112" s="526">
        <f t="shared" si="23"/>
        <v>100</v>
      </c>
      <c r="H112" s="526">
        <f t="shared" si="23"/>
        <v>100</v>
      </c>
      <c r="I112" s="526">
        <f t="shared" si="23"/>
        <v>100</v>
      </c>
      <c r="J112" s="526">
        <f t="shared" si="23"/>
        <v>100</v>
      </c>
      <c r="K112" s="526">
        <f t="shared" si="23"/>
        <v>100</v>
      </c>
      <c r="L112" s="526">
        <f t="shared" si="23"/>
        <v>100</v>
      </c>
      <c r="M112" s="526">
        <f t="shared" si="23"/>
        <v>100</v>
      </c>
      <c r="N112" s="1263"/>
      <c r="O112" s="1263"/>
      <c r="P112" s="22"/>
      <c r="Q112" s="484"/>
    </row>
    <row r="113" spans="1:17" s="451" customFormat="1" ht="15" thickTop="1">
      <c r="A113" s="576"/>
      <c r="B113" s="520" t="s">
        <v>2496</v>
      </c>
      <c r="C113" s="536"/>
      <c r="D113" s="536"/>
      <c r="E113" s="536"/>
      <c r="F113" s="536"/>
      <c r="G113" s="536"/>
      <c r="H113" s="566"/>
      <c r="I113" s="566"/>
      <c r="J113" s="566"/>
      <c r="K113" s="567"/>
      <c r="L113" s="568"/>
      <c r="M113" s="569"/>
      <c r="N113" s="1264"/>
      <c r="O113" s="1264"/>
      <c r="P113" s="541"/>
      <c r="Q113" s="542"/>
    </row>
    <row r="114" spans="1:17" s="451" customFormat="1" ht="15.75" thickBot="1">
      <c r="A114" s="535"/>
      <c r="B114" s="525"/>
      <c r="C114" s="526">
        <v>100</v>
      </c>
      <c r="D114" s="526">
        <f>C114-$K38</f>
        <v>100</v>
      </c>
      <c r="E114" s="526">
        <f t="shared" ref="E114:M114" si="24">D114-$K38</f>
        <v>100</v>
      </c>
      <c r="F114" s="526">
        <f t="shared" si="24"/>
        <v>100</v>
      </c>
      <c r="G114" s="526">
        <f t="shared" si="24"/>
        <v>100</v>
      </c>
      <c r="H114" s="526">
        <f t="shared" si="24"/>
        <v>100</v>
      </c>
      <c r="I114" s="526">
        <f t="shared" si="24"/>
        <v>100</v>
      </c>
      <c r="J114" s="526">
        <f t="shared" si="24"/>
        <v>100</v>
      </c>
      <c r="K114" s="526">
        <f t="shared" si="24"/>
        <v>100</v>
      </c>
      <c r="L114" s="526">
        <f t="shared" si="24"/>
        <v>100</v>
      </c>
      <c r="M114" s="526">
        <f t="shared" si="24"/>
        <v>100</v>
      </c>
      <c r="N114" s="1264"/>
      <c r="O114" s="1264"/>
      <c r="P114" s="541"/>
      <c r="Q114" s="542"/>
    </row>
    <row r="115" spans="1:17" ht="15" thickTop="1">
      <c r="A115" s="582"/>
      <c r="B115" s="520" t="s">
        <v>2427</v>
      </c>
      <c r="C115" s="536"/>
      <c r="D115" s="536"/>
      <c r="E115" s="566"/>
      <c r="F115" s="566"/>
      <c r="G115" s="566"/>
      <c r="H115" s="566"/>
      <c r="I115" s="566"/>
      <c r="J115" s="566"/>
      <c r="K115" s="567"/>
      <c r="L115" s="568"/>
      <c r="M115" s="569"/>
      <c r="N115" s="1262"/>
      <c r="O115" s="1262"/>
      <c r="P115" s="22"/>
      <c r="Q115" s="484"/>
    </row>
    <row r="116" spans="1:17" ht="15.75" thickBot="1">
      <c r="A116" s="515"/>
      <c r="B116" s="525"/>
      <c r="C116" s="526">
        <v>100</v>
      </c>
      <c r="D116" s="526">
        <f t="shared" ref="D116:M116" si="25">C116-$K39</f>
        <v>100</v>
      </c>
      <c r="E116" s="526">
        <f t="shared" si="25"/>
        <v>100</v>
      </c>
      <c r="F116" s="526">
        <f t="shared" si="25"/>
        <v>100</v>
      </c>
      <c r="G116" s="526">
        <f t="shared" si="25"/>
        <v>100</v>
      </c>
      <c r="H116" s="526">
        <f t="shared" si="25"/>
        <v>100</v>
      </c>
      <c r="I116" s="526">
        <f t="shared" si="25"/>
        <v>100</v>
      </c>
      <c r="J116" s="526">
        <f t="shared" si="25"/>
        <v>100</v>
      </c>
      <c r="K116" s="526">
        <f t="shared" si="25"/>
        <v>100</v>
      </c>
      <c r="L116" s="526">
        <f t="shared" si="25"/>
        <v>100</v>
      </c>
      <c r="M116" s="527">
        <f t="shared" si="25"/>
        <v>100</v>
      </c>
      <c r="N116" s="1263"/>
      <c r="O116" s="1263"/>
      <c r="P116" s="22"/>
      <c r="Q116" s="484"/>
    </row>
    <row r="117" spans="1:17" ht="15" thickTop="1">
      <c r="A117" s="582"/>
      <c r="B117" s="520" t="s">
        <v>2428</v>
      </c>
      <c r="C117" s="536"/>
      <c r="D117" s="536"/>
      <c r="E117" s="536"/>
      <c r="F117" s="536"/>
      <c r="G117" s="536"/>
      <c r="H117" s="566"/>
      <c r="I117" s="566"/>
      <c r="J117" s="566"/>
      <c r="K117" s="567"/>
      <c r="L117" s="568"/>
      <c r="M117" s="569"/>
      <c r="N117" s="1262"/>
      <c r="O117" s="1262"/>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2497</v>
      </c>
      <c r="C119" s="566"/>
      <c r="D119" s="566"/>
      <c r="E119" s="566"/>
      <c r="F119" s="566"/>
      <c r="G119" s="566"/>
      <c r="H119" s="566"/>
      <c r="I119" s="566"/>
      <c r="J119" s="566"/>
      <c r="K119" s="566"/>
      <c r="L119" s="2470"/>
      <c r="M119" s="2471"/>
      <c r="N119" s="1263"/>
      <c r="O119" s="1263"/>
      <c r="P119" s="620"/>
      <c r="Q119" s="621"/>
    </row>
    <row r="120" spans="1:17" ht="15.75" thickBot="1">
      <c r="A120" s="515"/>
      <c r="B120" s="525"/>
      <c r="C120" s="565">
        <v>100</v>
      </c>
      <c r="D120" s="526">
        <f>C120-$K41</f>
        <v>100</v>
      </c>
      <c r="E120" s="526">
        <f t="shared" ref="E120:M120" si="26">D120-$K41</f>
        <v>100</v>
      </c>
      <c r="F120" s="526">
        <f t="shared" si="26"/>
        <v>100</v>
      </c>
      <c r="G120" s="526">
        <f t="shared" si="26"/>
        <v>100</v>
      </c>
      <c r="H120" s="526">
        <f t="shared" si="26"/>
        <v>100</v>
      </c>
      <c r="I120" s="526">
        <f t="shared" si="26"/>
        <v>100</v>
      </c>
      <c r="J120" s="526">
        <f t="shared" si="26"/>
        <v>100</v>
      </c>
      <c r="K120" s="526">
        <f t="shared" si="26"/>
        <v>100</v>
      </c>
      <c r="L120" s="526">
        <f t="shared" si="26"/>
        <v>100</v>
      </c>
      <c r="M120" s="526">
        <f t="shared" si="26"/>
        <v>100</v>
      </c>
      <c r="N120" s="1263"/>
      <c r="O120" s="1263"/>
      <c r="P120" s="22"/>
      <c r="Q120" s="484"/>
    </row>
    <row r="121" spans="1:17" s="451" customFormat="1" ht="15" thickTop="1">
      <c r="A121" s="576"/>
      <c r="B121" s="520" t="s">
        <v>2479</v>
      </c>
      <c r="C121" s="536"/>
      <c r="D121" s="536"/>
      <c r="E121" s="536"/>
      <c r="F121" s="566"/>
      <c r="G121" s="537"/>
      <c r="H121" s="537"/>
      <c r="I121" s="537"/>
      <c r="J121" s="537"/>
      <c r="K121" s="537"/>
      <c r="L121" s="538"/>
      <c r="M121" s="539"/>
      <c r="N121" s="1264"/>
      <c r="O121" s="1264"/>
      <c r="P121" s="541"/>
      <c r="Q121" s="542"/>
    </row>
    <row r="122" spans="1:17" s="451" customFormat="1" ht="15.75"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2430</v>
      </c>
      <c r="C123" s="536"/>
      <c r="D123" s="536"/>
      <c r="E123" s="536"/>
      <c r="F123" s="566"/>
      <c r="G123" s="566"/>
      <c r="H123" s="566"/>
      <c r="I123" s="566"/>
      <c r="J123" s="566"/>
      <c r="K123" s="567"/>
      <c r="L123" s="568"/>
      <c r="M123" s="569"/>
      <c r="N123" s="1262"/>
      <c r="O123" s="1262"/>
      <c r="P123" s="22"/>
      <c r="Q123" s="484"/>
    </row>
    <row r="124" spans="1:17" ht="15.75" thickBot="1">
      <c r="A124" s="515"/>
      <c r="B124" s="525"/>
      <c r="C124" s="526">
        <v>100</v>
      </c>
      <c r="D124" s="526">
        <f t="shared" ref="D124:M124" si="27">C124-$K43</f>
        <v>100</v>
      </c>
      <c r="E124" s="526">
        <f t="shared" si="27"/>
        <v>100</v>
      </c>
      <c r="F124" s="526">
        <f t="shared" si="27"/>
        <v>100</v>
      </c>
      <c r="G124" s="526">
        <f t="shared" si="27"/>
        <v>100</v>
      </c>
      <c r="H124" s="526">
        <f t="shared" si="27"/>
        <v>100</v>
      </c>
      <c r="I124" s="526">
        <f t="shared" si="27"/>
        <v>100</v>
      </c>
      <c r="J124" s="526">
        <f t="shared" si="27"/>
        <v>100</v>
      </c>
      <c r="K124" s="526">
        <f t="shared" si="27"/>
        <v>100</v>
      </c>
      <c r="L124" s="526">
        <f t="shared" si="27"/>
        <v>100</v>
      </c>
      <c r="M124" s="527">
        <f t="shared" si="27"/>
        <v>100</v>
      </c>
      <c r="N124" s="1263"/>
      <c r="O124" s="1263"/>
      <c r="P124" s="22"/>
      <c r="Q124" s="484"/>
    </row>
    <row r="125" spans="1:17" ht="15" thickTop="1">
      <c r="A125" s="582"/>
      <c r="B125" s="520" t="s">
        <v>2431</v>
      </c>
      <c r="C125" s="561" t="s">
        <v>2406</v>
      </c>
      <c r="D125" s="561" t="s">
        <v>2407</v>
      </c>
      <c r="E125" s="561" t="s">
        <v>2408</v>
      </c>
      <c r="F125" s="561" t="s">
        <v>2409</v>
      </c>
      <c r="G125" s="561" t="s">
        <v>2410</v>
      </c>
      <c r="H125" s="521"/>
      <c r="I125" s="521"/>
      <c r="J125" s="521"/>
      <c r="K125" s="522"/>
      <c r="L125" s="523"/>
      <c r="M125" s="524"/>
      <c r="N125" s="1262"/>
      <c r="O125" s="1262"/>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5"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5.75" thickBot="1">
      <c r="A128" s="535"/>
      <c r="B128" s="525"/>
      <c r="C128" s="543"/>
      <c r="D128" s="517"/>
      <c r="E128" s="517"/>
      <c r="F128" s="517"/>
      <c r="G128" s="543"/>
      <c r="H128" s="545"/>
      <c r="I128" s="545"/>
      <c r="J128" s="545"/>
      <c r="K128" s="545"/>
      <c r="L128" s="545"/>
      <c r="M128" s="546"/>
      <c r="N128" s="1264"/>
      <c r="O128" s="1264"/>
      <c r="P128" s="541"/>
      <c r="Q128" s="542"/>
    </row>
    <row r="129" spans="1:17" ht="15" thickTop="1">
      <c r="A129" s="582"/>
      <c r="B129" s="520">
        <f>B46</f>
        <v>111</v>
      </c>
      <c r="C129" s="536"/>
      <c r="D129" s="536"/>
      <c r="E129" s="536"/>
      <c r="F129" s="536"/>
      <c r="G129" s="566"/>
      <c r="H129" s="566"/>
      <c r="I129" s="566"/>
      <c r="J129" s="566"/>
      <c r="K129" s="567"/>
      <c r="L129" s="568"/>
      <c r="M129" s="569"/>
      <c r="N129" s="1262"/>
      <c r="O129" s="1262"/>
      <c r="P129" s="22"/>
      <c r="Q129" s="484"/>
    </row>
    <row r="130" spans="1:17" ht="15.75" thickBot="1">
      <c r="A130" s="515"/>
      <c r="B130" s="525"/>
      <c r="C130" s="543"/>
      <c r="D130" s="543"/>
      <c r="E130" s="543"/>
      <c r="F130" s="543"/>
      <c r="G130" s="517"/>
      <c r="H130" s="517"/>
      <c r="I130" s="517"/>
      <c r="J130" s="517"/>
      <c r="K130" s="517"/>
      <c r="L130" s="517"/>
      <c r="M130" s="518"/>
      <c r="N130" s="1263"/>
      <c r="O130" s="1263"/>
      <c r="P130" s="22"/>
      <c r="Q130" s="484"/>
    </row>
    <row r="131" spans="1:17" ht="15" thickTop="1">
      <c r="A131" s="582"/>
      <c r="B131" s="528">
        <f>B47</f>
        <v>111</v>
      </c>
      <c r="C131" s="503"/>
      <c r="D131" s="503"/>
      <c r="E131" s="503"/>
      <c r="F131" s="503"/>
      <c r="G131" s="570"/>
      <c r="H131" s="570"/>
      <c r="I131" s="570"/>
      <c r="J131" s="570"/>
      <c r="K131" s="503"/>
      <c r="L131" s="504"/>
      <c r="M131" s="573"/>
      <c r="N131" s="1262"/>
      <c r="O131" s="1262"/>
      <c r="P131" s="22"/>
      <c r="Q131" s="484"/>
    </row>
    <row r="132" spans="1:17" ht="15.75" thickBot="1">
      <c r="A132" s="2472"/>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2339</v>
      </c>
      <c r="B1" s="1729" t="s">
        <v>2498</v>
      </c>
      <c r="C1" s="1721"/>
      <c r="D1" s="1734"/>
      <c r="E1" s="2379"/>
      <c r="F1" s="1735" t="s">
        <v>2341</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2009</v>
      </c>
      <c r="B2" s="1720" t="e">
        <f ca="1">IF(D2="——",IF(C2="元",ROUND(C43*D3,0),ROUND(C43*D3/10000,0)),IF(C2="元",ROUND(C43*D3,0),ROUND(C43*D3/10000,0))-E2)</f>
        <v>#DIV/0!</v>
      </c>
      <c r="C2" s="162" t="str">
        <f>'数据-取费表'!B3</f>
        <v>元</v>
      </c>
      <c r="D2" s="2381"/>
      <c r="E2" s="2473" t="e">
        <f ca="1">SUMIF(INDIRECT("'"&amp;G2&amp;"'"&amp;"!A:A"),"承租人权益价值",INDIRECT("'"&amp;G2&amp;"'"&amp;"!c:c"))</f>
        <v>#REF!</v>
      </c>
      <c r="F2" s="2382" t="str">
        <f>C2</f>
        <v>元</v>
      </c>
      <c r="G2" s="2383"/>
      <c r="H2" s="979"/>
      <c r="I2" s="979"/>
      <c r="J2" s="979"/>
      <c r="K2" s="979"/>
      <c r="L2" s="1236"/>
      <c r="M2" s="1237"/>
      <c r="N2" s="1237"/>
      <c r="O2" s="1237"/>
      <c r="P2" s="745"/>
      <c r="Q2" s="745"/>
      <c r="R2" s="745"/>
      <c r="S2" s="745"/>
      <c r="T2" s="745"/>
      <c r="U2" s="745"/>
      <c r="V2" s="745"/>
      <c r="W2" s="745"/>
      <c r="X2" s="745"/>
      <c r="Y2" s="745"/>
      <c r="Z2" s="745"/>
      <c r="AA2" s="745"/>
      <c r="AB2" s="745"/>
      <c r="AC2" s="759"/>
    </row>
    <row r="3" spans="1:29" s="376" customFormat="1" ht="28.5" customHeight="1" thickBot="1">
      <c r="A3" s="166" t="s">
        <v>2010</v>
      </c>
      <c r="B3" s="592" t="e">
        <f ca="1">ROUND(IF(D2="——",C43,IF(C2="万元",B2*10000/D3,B2/D3)),0)</f>
        <v>#DIV/0!</v>
      </c>
      <c r="C3" s="378" t="s">
        <v>2342</v>
      </c>
      <c r="D3" s="377">
        <f>IF(C1="仅计算典型户型",'数据-取费表'!E5,'数据-取费表'!B5)</f>
        <v>103.71</v>
      </c>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79" t="s">
        <v>2343</v>
      </c>
      <c r="B4" s="380"/>
      <c r="C4" s="2993" t="s">
        <v>2344</v>
      </c>
      <c r="D4" s="2994"/>
      <c r="E4" s="2995" t="s">
        <v>2345</v>
      </c>
      <c r="F4" s="2996"/>
      <c r="G4" s="2993" t="s">
        <v>2346</v>
      </c>
      <c r="H4" s="2994"/>
      <c r="I4" s="2993" t="s">
        <v>2347</v>
      </c>
      <c r="J4" s="2994"/>
      <c r="K4" s="593"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2991" t="s">
        <v>2346</v>
      </c>
      <c r="AC4" s="2990" t="s">
        <v>2347</v>
      </c>
    </row>
    <row r="5" spans="1:29" ht="15">
      <c r="A5" s="382"/>
      <c r="B5" s="383"/>
      <c r="C5" s="3012" t="s">
        <v>2350</v>
      </c>
      <c r="D5" s="3013"/>
      <c r="E5" s="3044" t="s">
        <v>2351</v>
      </c>
      <c r="F5" s="3011"/>
      <c r="G5" s="3012" t="s">
        <v>2352</v>
      </c>
      <c r="H5" s="3013"/>
      <c r="I5" s="3012" t="s">
        <v>2353</v>
      </c>
      <c r="J5" s="3013"/>
      <c r="K5" s="593"/>
      <c r="L5" s="1238"/>
      <c r="M5" s="1239"/>
      <c r="N5" s="1239"/>
      <c r="O5" s="1239"/>
      <c r="P5" s="2999"/>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593" t="s">
        <v>2355</v>
      </c>
      <c r="L6" s="1238"/>
      <c r="M6" s="1239"/>
      <c r="N6" s="1239"/>
      <c r="O6" s="1239"/>
      <c r="P6" s="3001"/>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25" t="s">
        <v>2357</v>
      </c>
      <c r="Q7" s="3027"/>
      <c r="R7" s="747" t="s">
        <v>25</v>
      </c>
      <c r="S7" s="748">
        <f t="shared" ref="S7:S15" si="0">F7</f>
        <v>0</v>
      </c>
      <c r="T7" s="747" t="s">
        <v>25</v>
      </c>
      <c r="U7" s="748">
        <f t="shared" ref="U7:U15" si="1">H7</f>
        <v>0</v>
      </c>
      <c r="V7" s="747" t="s">
        <v>25</v>
      </c>
      <c r="W7" s="748">
        <f t="shared" ref="W7:W15" si="2">J7</f>
        <v>0</v>
      </c>
      <c r="X7" s="749"/>
      <c r="Y7" s="3025" t="s">
        <v>2357</v>
      </c>
      <c r="Z7" s="3026"/>
      <c r="AA7" s="750" t="e">
        <f>D7/F7</f>
        <v>#DIV/0!</v>
      </c>
      <c r="AB7" s="750" t="e">
        <f>D7/H7</f>
        <v>#DIV/0!</v>
      </c>
      <c r="AC7" s="750" t="e">
        <f>D7/J7</f>
        <v>#DIV/0!</v>
      </c>
    </row>
    <row r="8" spans="1:29" s="35" customFormat="1" ht="15.75" thickBot="1">
      <c r="A8" s="386" t="s">
        <v>2358</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25" t="s">
        <v>2360</v>
      </c>
      <c r="Q8" s="3026"/>
      <c r="R8" s="747" t="s">
        <v>25</v>
      </c>
      <c r="S8" s="748">
        <f t="shared" si="0"/>
        <v>100</v>
      </c>
      <c r="T8" s="747" t="s">
        <v>25</v>
      </c>
      <c r="U8" s="748">
        <f t="shared" si="1"/>
        <v>100</v>
      </c>
      <c r="V8" s="747" t="s">
        <v>25</v>
      </c>
      <c r="W8" s="748">
        <f t="shared" si="2"/>
        <v>100</v>
      </c>
      <c r="X8" s="749"/>
      <c r="Y8" s="3025" t="s">
        <v>2360</v>
      </c>
      <c r="Z8" s="3026"/>
      <c r="AA8" s="750">
        <f t="shared" ref="AA8:AA40" si="3">D8/F8</f>
        <v>1</v>
      </c>
      <c r="AB8" s="750">
        <f t="shared" ref="AB8:AB40" si="4">D8/H8</f>
        <v>1</v>
      </c>
      <c r="AC8" s="750">
        <f t="shared" ref="AC8:AC40" si="5">D8/J8</f>
        <v>1</v>
      </c>
    </row>
    <row r="9" spans="1:29" s="35" customFormat="1">
      <c r="A9" s="394" t="s">
        <v>2361</v>
      </c>
      <c r="B9" s="28" t="s">
        <v>2362</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29"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29" s="406" customFormat="1" ht="27">
      <c r="A10" s="400"/>
      <c r="B10" s="401" t="s">
        <v>2365</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29"/>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2366</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29"/>
      <c r="Q11" s="1882"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6">
        <v>111</v>
      </c>
      <c r="C12" s="411"/>
      <c r="D12" s="412">
        <v>100</v>
      </c>
      <c r="E12" s="413"/>
      <c r="F12" s="51">
        <f>SUMIF(64:64,E12,65:65)-SUMIF(64:64,C12,65:65)+100</f>
        <v>100</v>
      </c>
      <c r="G12" s="2474"/>
      <c r="H12" s="51">
        <f>SUMIF(64:64,G12,65:65)-SUMIF(64:64,C12,65:65)+100</f>
        <v>100</v>
      </c>
      <c r="I12" s="449"/>
      <c r="J12" s="51">
        <f>SUMIF(64:64,I12,65:65)-SUMIF(64:64,C12,65:65)+100</f>
        <v>100</v>
      </c>
      <c r="K12" s="596"/>
      <c r="L12" s="1240"/>
      <c r="M12" s="1241"/>
      <c r="N12" s="1241"/>
      <c r="O12" s="1242"/>
      <c r="P12" s="3029"/>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6">
        <v>111</v>
      </c>
      <c r="C13" s="413"/>
      <c r="D13" s="414">
        <v>100</v>
      </c>
      <c r="E13" s="413"/>
      <c r="F13" s="51">
        <f>SUMIF(66:66,E13,67:67)-SUMIF(66:66,C13,67:67)+100</f>
        <v>100</v>
      </c>
      <c r="G13" s="2474"/>
      <c r="H13" s="414">
        <f>SUMIF(66:66,G13,67:67)-SUMIF(66:66,C13,67:67)+100</f>
        <v>100</v>
      </c>
      <c r="I13" s="449"/>
      <c r="J13" s="414">
        <f>SUMIF(66:66,I13,67:67)-SUMIF(66:66,C13,67:67)+100</f>
        <v>100</v>
      </c>
      <c r="K13" s="596"/>
      <c r="L13" s="1248"/>
      <c r="M13" s="1239"/>
      <c r="N13" s="1239"/>
      <c r="O13" s="1247"/>
      <c r="P13" s="3029"/>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8">
        <v>111</v>
      </c>
      <c r="C14" s="2399"/>
      <c r="D14" s="416">
        <v>100</v>
      </c>
      <c r="E14" s="2399"/>
      <c r="F14" s="416">
        <f>SUMIF(68:68,E14,69:69)-SUMIF(68:68,C14,69:69)+100</f>
        <v>100</v>
      </c>
      <c r="G14" s="2474"/>
      <c r="H14" s="416">
        <f>SUMIF(68:68,G14,69:69)-SUMIF(68:68,C14,69:69)+100</f>
        <v>100</v>
      </c>
      <c r="I14" s="449"/>
      <c r="J14" s="416">
        <f>SUMIF(68:68,I14,69:69)-SUMIF(68:68,C14,69:69)+100</f>
        <v>100</v>
      </c>
      <c r="K14" s="596"/>
      <c r="L14" s="1248"/>
      <c r="M14" s="1239"/>
      <c r="N14" s="1239"/>
      <c r="O14" s="1247"/>
      <c r="P14" s="3029"/>
      <c r="Q14" s="1882">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8" t="s">
        <v>2367</v>
      </c>
      <c r="B15" s="26" t="s">
        <v>2499</v>
      </c>
      <c r="C15" s="247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18" t="s">
        <v>2368</v>
      </c>
      <c r="Q15" s="1894" t="str">
        <f t="shared" si="6"/>
        <v>产业集聚程度</v>
      </c>
      <c r="R15" s="751" t="s">
        <v>25</v>
      </c>
      <c r="S15" s="752">
        <f t="shared" si="0"/>
        <v>100</v>
      </c>
      <c r="T15" s="751" t="s">
        <v>25</v>
      </c>
      <c r="U15" s="752">
        <f t="shared" si="1"/>
        <v>100</v>
      </c>
      <c r="V15" s="751" t="s">
        <v>25</v>
      </c>
      <c r="W15" s="752">
        <f t="shared" si="2"/>
        <v>100</v>
      </c>
      <c r="X15" s="1895"/>
      <c r="Y15" s="3018" t="s">
        <v>2368</v>
      </c>
      <c r="Z15" s="1897" t="str">
        <f t="shared" si="7"/>
        <v>产业集聚程度</v>
      </c>
      <c r="AA15" s="1898">
        <f t="shared" si="3"/>
        <v>1</v>
      </c>
      <c r="AB15" s="1898">
        <f t="shared" si="4"/>
        <v>1</v>
      </c>
      <c r="AC15" s="1898">
        <f t="shared" si="5"/>
        <v>1</v>
      </c>
    </row>
    <row r="16" spans="1:29" ht="15">
      <c r="A16" s="407"/>
      <c r="B16" s="424"/>
      <c r="C16" s="425"/>
      <c r="D16" s="426"/>
      <c r="E16" s="425"/>
      <c r="F16" s="428"/>
      <c r="G16" s="425"/>
      <c r="H16" s="429"/>
      <c r="I16" s="425"/>
      <c r="J16" s="426"/>
      <c r="K16" s="598"/>
      <c r="L16" s="1248"/>
      <c r="M16" s="1239"/>
      <c r="N16" s="1239"/>
      <c r="O16" s="1247"/>
      <c r="P16" s="3019"/>
      <c r="Q16" s="1894"/>
      <c r="R16" s="751"/>
      <c r="S16" s="752"/>
      <c r="T16" s="751"/>
      <c r="U16" s="752"/>
      <c r="V16" s="751"/>
      <c r="W16" s="752"/>
      <c r="X16" s="1895"/>
      <c r="Y16" s="3019"/>
      <c r="Z16" s="1897"/>
      <c r="AA16" s="1898">
        <v>1</v>
      </c>
      <c r="AB16" s="1898">
        <v>1</v>
      </c>
      <c r="AC16" s="1898">
        <v>1</v>
      </c>
    </row>
    <row r="17" spans="1:29" ht="85.5">
      <c r="A17" s="407"/>
      <c r="B17" s="430" t="s">
        <v>1751</v>
      </c>
      <c r="C17" s="2403"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19"/>
      <c r="Q17" s="1894" t="str">
        <f>B17</f>
        <v>交通便捷度</v>
      </c>
      <c r="R17" s="751" t="s">
        <v>25</v>
      </c>
      <c r="S17" s="752">
        <f>F17</f>
        <v>100</v>
      </c>
      <c r="T17" s="751" t="s">
        <v>25</v>
      </c>
      <c r="U17" s="752">
        <f>H17</f>
        <v>100</v>
      </c>
      <c r="V17" s="751" t="s">
        <v>25</v>
      </c>
      <c r="W17" s="752">
        <f>J17</f>
        <v>100</v>
      </c>
      <c r="X17" s="1895"/>
      <c r="Y17" s="3019"/>
      <c r="Z17" s="1897" t="str">
        <f>Q17</f>
        <v>交通便捷度</v>
      </c>
      <c r="AA17" s="1898">
        <f t="shared" si="3"/>
        <v>1</v>
      </c>
      <c r="AB17" s="1898">
        <f t="shared" si="4"/>
        <v>1</v>
      </c>
      <c r="AC17" s="1898">
        <f t="shared" si="5"/>
        <v>1</v>
      </c>
    </row>
    <row r="18" spans="1:29" ht="15">
      <c r="A18" s="407"/>
      <c r="B18" s="435"/>
      <c r="C18" s="436"/>
      <c r="D18" s="429"/>
      <c r="E18" s="1463"/>
      <c r="F18" s="432"/>
      <c r="G18" s="2404"/>
      <c r="H18" s="426"/>
      <c r="I18" s="1463"/>
      <c r="J18" s="426"/>
      <c r="K18" s="598"/>
      <c r="L18" s="1248"/>
      <c r="M18" s="1239"/>
      <c r="N18" s="1239"/>
      <c r="O18" s="1247"/>
      <c r="P18" s="3019"/>
      <c r="Q18" s="1894"/>
      <c r="R18" s="751"/>
      <c r="S18" s="752"/>
      <c r="T18" s="751"/>
      <c r="U18" s="752"/>
      <c r="V18" s="751"/>
      <c r="W18" s="752"/>
      <c r="X18" s="1895"/>
      <c r="Y18" s="3019"/>
      <c r="Z18" s="1897"/>
      <c r="AA18" s="1898">
        <v>1</v>
      </c>
      <c r="AB18" s="1898">
        <v>1</v>
      </c>
      <c r="AC18" s="1898">
        <v>1</v>
      </c>
    </row>
    <row r="19" spans="1:29" ht="42.75">
      <c r="A19" s="407"/>
      <c r="B19" s="614" t="s">
        <v>2483</v>
      </c>
      <c r="C19" s="2403"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19"/>
      <c r="Q19" s="1894" t="str">
        <f>B19</f>
        <v>公共配套设施</v>
      </c>
      <c r="R19" s="751" t="s">
        <v>25</v>
      </c>
      <c r="S19" s="752">
        <f>F19</f>
        <v>100</v>
      </c>
      <c r="T19" s="751" t="s">
        <v>25</v>
      </c>
      <c r="U19" s="752">
        <f>H19</f>
        <v>100</v>
      </c>
      <c r="V19" s="751" t="s">
        <v>25</v>
      </c>
      <c r="W19" s="752">
        <f>J19</f>
        <v>100</v>
      </c>
      <c r="X19" s="1895"/>
      <c r="Y19" s="3019"/>
      <c r="Z19" s="1897" t="str">
        <f>Q19</f>
        <v>公共配套设施</v>
      </c>
      <c r="AA19" s="1898">
        <f t="shared" si="3"/>
        <v>1</v>
      </c>
      <c r="AB19" s="1898">
        <f t="shared" si="4"/>
        <v>1</v>
      </c>
      <c r="AC19" s="1898">
        <f t="shared" si="5"/>
        <v>1</v>
      </c>
    </row>
    <row r="20" spans="1:29" ht="15">
      <c r="A20" s="407"/>
      <c r="B20" s="615"/>
      <c r="C20" s="425"/>
      <c r="D20" s="426"/>
      <c r="E20" s="427"/>
      <c r="F20" s="428"/>
      <c r="G20" s="2401"/>
      <c r="H20" s="426"/>
      <c r="I20" s="427"/>
      <c r="J20" s="426"/>
      <c r="K20" s="598"/>
      <c r="L20" s="1248"/>
      <c r="M20" s="1239"/>
      <c r="N20" s="1239"/>
      <c r="O20" s="1247"/>
      <c r="P20" s="3019"/>
      <c r="Q20" s="1894"/>
      <c r="R20" s="751"/>
      <c r="S20" s="752"/>
      <c r="T20" s="751"/>
      <c r="U20" s="752"/>
      <c r="V20" s="751"/>
      <c r="W20" s="752"/>
      <c r="X20" s="1895"/>
      <c r="Y20" s="3019"/>
      <c r="Z20" s="1897"/>
      <c r="AA20" s="1898">
        <v>1</v>
      </c>
      <c r="AB20" s="1898">
        <v>1</v>
      </c>
      <c r="AC20" s="1898">
        <v>1</v>
      </c>
    </row>
    <row r="21" spans="1:29" ht="28.5">
      <c r="A21" s="407"/>
      <c r="B21" s="616" t="s">
        <v>2484</v>
      </c>
      <c r="C21" s="2403"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19"/>
      <c r="Q21" s="1894" t="str">
        <f>B21</f>
        <v>基础设施水平</v>
      </c>
      <c r="R21" s="751" t="s">
        <v>25</v>
      </c>
      <c r="S21" s="752">
        <f>F21</f>
        <v>100</v>
      </c>
      <c r="T21" s="751" t="s">
        <v>25</v>
      </c>
      <c r="U21" s="752">
        <f>H21</f>
        <v>100</v>
      </c>
      <c r="V21" s="751" t="s">
        <v>25</v>
      </c>
      <c r="W21" s="752">
        <f>J21</f>
        <v>100</v>
      </c>
      <c r="X21" s="1895"/>
      <c r="Y21" s="3019"/>
      <c r="Z21" s="1897" t="str">
        <f>Q21</f>
        <v>基础设施水平</v>
      </c>
      <c r="AA21" s="1898">
        <f>D21/F21</f>
        <v>1</v>
      </c>
      <c r="AB21" s="1898">
        <f>D21/H21</f>
        <v>1</v>
      </c>
      <c r="AC21" s="1898">
        <f>D21/J21</f>
        <v>1</v>
      </c>
    </row>
    <row r="22" spans="1:29" ht="15">
      <c r="A22" s="407"/>
      <c r="B22" s="2405"/>
      <c r="C22" s="436"/>
      <c r="D22" s="426"/>
      <c r="E22" s="425"/>
      <c r="F22" s="428"/>
      <c r="G22" s="425"/>
      <c r="H22" s="426"/>
      <c r="I22" s="425"/>
      <c r="J22" s="426"/>
      <c r="K22" s="1464"/>
      <c r="L22" s="1248"/>
      <c r="M22" s="1239"/>
      <c r="N22" s="1239"/>
      <c r="O22" s="1247"/>
      <c r="P22" s="3019"/>
      <c r="Q22" s="1894"/>
      <c r="R22" s="751"/>
      <c r="S22" s="752"/>
      <c r="T22" s="751"/>
      <c r="U22" s="752"/>
      <c r="V22" s="751"/>
      <c r="W22" s="752"/>
      <c r="X22" s="1895"/>
      <c r="Y22" s="3019"/>
      <c r="Z22" s="1897"/>
      <c r="AA22" s="1898">
        <v>1</v>
      </c>
      <c r="AB22" s="1898">
        <v>1</v>
      </c>
      <c r="AC22" s="1898">
        <v>1</v>
      </c>
    </row>
    <row r="23" spans="1:29" ht="71.25">
      <c r="A23" s="407"/>
      <c r="B23" s="430" t="s">
        <v>2485</v>
      </c>
      <c r="C23" s="2403"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19"/>
      <c r="Q23" s="1894" t="str">
        <f>B23</f>
        <v>环境质量</v>
      </c>
      <c r="R23" s="751" t="s">
        <v>25</v>
      </c>
      <c r="S23" s="752">
        <f>F23</f>
        <v>100</v>
      </c>
      <c r="T23" s="751" t="s">
        <v>25</v>
      </c>
      <c r="U23" s="752">
        <f>H23</f>
        <v>100</v>
      </c>
      <c r="V23" s="751" t="s">
        <v>25</v>
      </c>
      <c r="W23" s="752">
        <f>J23</f>
        <v>100</v>
      </c>
      <c r="X23" s="1895"/>
      <c r="Y23" s="3019"/>
      <c r="Z23" s="1897" t="str">
        <f>Q23</f>
        <v>环境质量</v>
      </c>
      <c r="AA23" s="1898">
        <f t="shared" si="3"/>
        <v>1</v>
      </c>
      <c r="AB23" s="1898">
        <f t="shared" si="4"/>
        <v>1</v>
      </c>
      <c r="AC23" s="1898">
        <f t="shared" si="5"/>
        <v>1</v>
      </c>
    </row>
    <row r="24" spans="1:29" ht="15">
      <c r="A24" s="407"/>
      <c r="B24" s="2405"/>
      <c r="C24" s="425"/>
      <c r="D24" s="426"/>
      <c r="E24" s="427"/>
      <c r="F24" s="428"/>
      <c r="G24" s="2401"/>
      <c r="H24" s="426"/>
      <c r="I24" s="427"/>
      <c r="J24" s="426"/>
      <c r="K24" s="598"/>
      <c r="L24" s="1248"/>
      <c r="M24" s="1239"/>
      <c r="N24" s="1239"/>
      <c r="O24" s="1247"/>
      <c r="P24" s="3019"/>
      <c r="Q24" s="1894"/>
      <c r="R24" s="751"/>
      <c r="S24" s="752"/>
      <c r="T24" s="751"/>
      <c r="U24" s="752"/>
      <c r="V24" s="751"/>
      <c r="W24" s="752"/>
      <c r="X24" s="1895"/>
      <c r="Y24" s="3019"/>
      <c r="Z24" s="1897"/>
      <c r="AA24" s="1898">
        <v>1</v>
      </c>
      <c r="AB24" s="1898">
        <v>1</v>
      </c>
      <c r="AC24" s="1898">
        <v>1</v>
      </c>
    </row>
    <row r="25" spans="1:29" ht="15">
      <c r="A25" s="382"/>
      <c r="B25" s="2409">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19"/>
      <c r="Q25" s="1894">
        <f>B25</f>
        <v>111</v>
      </c>
      <c r="R25" s="751" t="s">
        <v>25</v>
      </c>
      <c r="S25" s="752">
        <f>F25</f>
        <v>100</v>
      </c>
      <c r="T25" s="751" t="s">
        <v>25</v>
      </c>
      <c r="U25" s="752">
        <f>H25</f>
        <v>100</v>
      </c>
      <c r="V25" s="751" t="s">
        <v>25</v>
      </c>
      <c r="W25" s="752">
        <f>J25</f>
        <v>100</v>
      </c>
      <c r="X25" s="1895"/>
      <c r="Y25" s="3019"/>
      <c r="Z25" s="1897">
        <f>Q25</f>
        <v>111</v>
      </c>
      <c r="AA25" s="1898">
        <f t="shared" si="3"/>
        <v>1</v>
      </c>
      <c r="AB25" s="1898">
        <f t="shared" si="4"/>
        <v>1</v>
      </c>
      <c r="AC25" s="1898">
        <f t="shared" si="5"/>
        <v>1</v>
      </c>
    </row>
    <row r="26" spans="1:29" ht="15">
      <c r="A26" s="407"/>
      <c r="B26" s="2409">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19"/>
      <c r="Q26" s="1894">
        <f t="shared" ref="Q26:Q40" si="8">B26</f>
        <v>111</v>
      </c>
      <c r="R26" s="751" t="s">
        <v>25</v>
      </c>
      <c r="S26" s="752">
        <f>F26</f>
        <v>100</v>
      </c>
      <c r="T26" s="751" t="s">
        <v>25</v>
      </c>
      <c r="U26" s="752">
        <f>H26</f>
        <v>100</v>
      </c>
      <c r="V26" s="751" t="s">
        <v>25</v>
      </c>
      <c r="W26" s="752">
        <f>J26</f>
        <v>100</v>
      </c>
      <c r="X26" s="1895"/>
      <c r="Y26" s="3019"/>
      <c r="Z26" s="1897">
        <f>Q26</f>
        <v>111</v>
      </c>
      <c r="AA26" s="1898">
        <f t="shared" si="3"/>
        <v>1</v>
      </c>
      <c r="AB26" s="1898">
        <f t="shared" si="4"/>
        <v>1</v>
      </c>
      <c r="AC26" s="1898">
        <f t="shared" si="5"/>
        <v>1</v>
      </c>
    </row>
    <row r="27" spans="1:29" s="35" customFormat="1" ht="15">
      <c r="A27" s="410"/>
      <c r="B27" s="2409">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19"/>
      <c r="Q27" s="1882">
        <f t="shared" si="8"/>
        <v>111</v>
      </c>
      <c r="R27" s="747" t="s">
        <v>25</v>
      </c>
      <c r="S27" s="748">
        <f>F27</f>
        <v>100</v>
      </c>
      <c r="T27" s="747" t="s">
        <v>25</v>
      </c>
      <c r="U27" s="748">
        <f>H27</f>
        <v>100</v>
      </c>
      <c r="V27" s="747" t="s">
        <v>25</v>
      </c>
      <c r="W27" s="748">
        <f>J27</f>
        <v>100</v>
      </c>
      <c r="X27" s="749"/>
      <c r="Y27" s="3019"/>
      <c r="Z27" s="23">
        <f>Q27</f>
        <v>111</v>
      </c>
      <c r="AA27" s="1898">
        <f>D27/F27</f>
        <v>1</v>
      </c>
      <c r="AB27" s="1898">
        <f>D27/H27</f>
        <v>1</v>
      </c>
      <c r="AC27" s="1898">
        <f>D27/J27</f>
        <v>1</v>
      </c>
    </row>
    <row r="28" spans="1:29" ht="15.75" thickBot="1">
      <c r="A28" s="415"/>
      <c r="B28" s="2409">
        <v>111</v>
      </c>
      <c r="C28" s="2399"/>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19"/>
      <c r="Q28" s="1894">
        <f t="shared" si="8"/>
        <v>111</v>
      </c>
      <c r="R28" s="751" t="s">
        <v>25</v>
      </c>
      <c r="S28" s="752">
        <f t="shared" ref="S28:S40" si="9">F28</f>
        <v>100</v>
      </c>
      <c r="T28" s="751" t="s">
        <v>25</v>
      </c>
      <c r="U28" s="752">
        <f t="shared" ref="U28:U40" si="10">H28</f>
        <v>100</v>
      </c>
      <c r="V28" s="751" t="s">
        <v>25</v>
      </c>
      <c r="W28" s="752">
        <f t="shared" ref="W28:W40" si="11">J28</f>
        <v>100</v>
      </c>
      <c r="X28" s="1895"/>
      <c r="Y28" s="3019"/>
      <c r="Z28" s="1897">
        <f t="shared" ref="Z28:Z40" si="12">Q28</f>
        <v>111</v>
      </c>
      <c r="AA28" s="1898">
        <f t="shared" si="3"/>
        <v>1</v>
      </c>
      <c r="AB28" s="1898">
        <f t="shared" si="4"/>
        <v>1</v>
      </c>
      <c r="AC28" s="1898">
        <f t="shared" si="5"/>
        <v>1</v>
      </c>
    </row>
    <row r="29" spans="1:29" ht="15">
      <c r="A29" s="446" t="s">
        <v>2372</v>
      </c>
      <c r="B29" s="28" t="s">
        <v>2488</v>
      </c>
      <c r="C29" s="2469" t="s">
        <v>2500</v>
      </c>
      <c r="D29" s="447">
        <v>100</v>
      </c>
      <c r="E29" s="2469"/>
      <c r="F29" s="441">
        <f>SUMIF(88:88,E29,89:89)-SUMIF(88:88,C29,89:89)+100</f>
        <v>100</v>
      </c>
      <c r="G29" s="2469"/>
      <c r="H29" s="414">
        <f>SUMIF(88:88,G29,89:89)-SUMIF(88:88,C29,89:89)+100</f>
        <v>100</v>
      </c>
      <c r="I29" s="2469"/>
      <c r="J29" s="447">
        <f>SUMIF(88:88,I29,89:89)-SUMIF(88:88,C29,89:89)+100</f>
        <v>100</v>
      </c>
      <c r="K29" s="595"/>
      <c r="L29" s="1248"/>
      <c r="M29" s="1239"/>
      <c r="N29" s="1239"/>
      <c r="O29" s="1247"/>
      <c r="P29" s="3052" t="s">
        <v>2374</v>
      </c>
      <c r="Q29" s="1894" t="str">
        <f t="shared" si="8"/>
        <v>建筑类型</v>
      </c>
      <c r="R29" s="751" t="s">
        <v>25</v>
      </c>
      <c r="S29" s="752">
        <f t="shared" si="9"/>
        <v>100</v>
      </c>
      <c r="T29" s="751" t="s">
        <v>25</v>
      </c>
      <c r="U29" s="752">
        <f t="shared" si="10"/>
        <v>100</v>
      </c>
      <c r="V29" s="751" t="s">
        <v>25</v>
      </c>
      <c r="W29" s="752">
        <f t="shared" si="11"/>
        <v>100</v>
      </c>
      <c r="X29" s="1895"/>
      <c r="Y29" s="3023" t="s">
        <v>2374</v>
      </c>
      <c r="Z29" s="1897" t="str">
        <f t="shared" si="12"/>
        <v>建筑类型</v>
      </c>
      <c r="AA29" s="1898">
        <f t="shared" si="3"/>
        <v>1</v>
      </c>
      <c r="AB29" s="1898">
        <f t="shared" si="4"/>
        <v>1</v>
      </c>
      <c r="AC29" s="1898">
        <f t="shared" si="5"/>
        <v>1</v>
      </c>
    </row>
    <row r="30" spans="1:29" s="451" customFormat="1" ht="15">
      <c r="A30" s="448"/>
      <c r="B30" s="401" t="s">
        <v>2375</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23"/>
      <c r="Q30" s="753" t="str">
        <f t="shared" si="8"/>
        <v>项目建筑规模</v>
      </c>
      <c r="R30" s="754" t="s">
        <v>25</v>
      </c>
      <c r="S30" s="755" t="e">
        <f t="shared" si="9"/>
        <v>#N/A</v>
      </c>
      <c r="T30" s="754" t="s">
        <v>25</v>
      </c>
      <c r="U30" s="755" t="e">
        <f t="shared" si="10"/>
        <v>#N/A</v>
      </c>
      <c r="V30" s="754" t="s">
        <v>25</v>
      </c>
      <c r="W30" s="755" t="e">
        <f t="shared" si="11"/>
        <v>#N/A</v>
      </c>
      <c r="X30" s="756"/>
      <c r="Y30" s="3023"/>
      <c r="Z30" s="757" t="str">
        <f t="shared" si="12"/>
        <v>项目建筑规模</v>
      </c>
      <c r="AA30" s="1898" t="e">
        <f t="shared" si="3"/>
        <v>#N/A</v>
      </c>
      <c r="AB30" s="1898" t="e">
        <f t="shared" si="4"/>
        <v>#N/A</v>
      </c>
      <c r="AC30" s="1898" t="e">
        <f t="shared" si="5"/>
        <v>#N/A</v>
      </c>
    </row>
    <row r="31" spans="1:29" ht="15">
      <c r="A31" s="452"/>
      <c r="B31" s="401" t="s">
        <v>2376</v>
      </c>
      <c r="C31" s="440" t="s">
        <v>2501</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23"/>
      <c r="Q31" s="1894" t="str">
        <f t="shared" si="8"/>
        <v>建筑结构</v>
      </c>
      <c r="R31" s="751" t="s">
        <v>25</v>
      </c>
      <c r="S31" s="752">
        <f t="shared" si="9"/>
        <v>100</v>
      </c>
      <c r="T31" s="751" t="s">
        <v>25</v>
      </c>
      <c r="U31" s="752">
        <f t="shared" si="10"/>
        <v>100</v>
      </c>
      <c r="V31" s="751" t="s">
        <v>25</v>
      </c>
      <c r="W31" s="752">
        <f t="shared" si="11"/>
        <v>100</v>
      </c>
      <c r="X31" s="1895"/>
      <c r="Y31" s="3023"/>
      <c r="Z31" s="1897" t="str">
        <f t="shared" si="12"/>
        <v>建筑结构</v>
      </c>
      <c r="AA31" s="1898">
        <f t="shared" si="3"/>
        <v>1</v>
      </c>
      <c r="AB31" s="1898">
        <f t="shared" si="4"/>
        <v>1</v>
      </c>
      <c r="AC31" s="1898">
        <f t="shared" si="5"/>
        <v>1</v>
      </c>
    </row>
    <row r="32" spans="1:29" ht="15">
      <c r="A32" s="452"/>
      <c r="B32" s="401" t="s">
        <v>2461</v>
      </c>
      <c r="C32" s="440" t="s">
        <v>2502</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23"/>
      <c r="Q32" s="1894" t="str">
        <f t="shared" si="8"/>
        <v>公共部分装修</v>
      </c>
      <c r="R32" s="751" t="s">
        <v>25</v>
      </c>
      <c r="S32" s="752">
        <f t="shared" si="9"/>
        <v>100</v>
      </c>
      <c r="T32" s="751" t="s">
        <v>25</v>
      </c>
      <c r="U32" s="752">
        <f t="shared" si="10"/>
        <v>100</v>
      </c>
      <c r="V32" s="751" t="s">
        <v>25</v>
      </c>
      <c r="W32" s="752">
        <f t="shared" si="11"/>
        <v>100</v>
      </c>
      <c r="X32" s="1895"/>
      <c r="Y32" s="3023"/>
      <c r="Z32" s="1897" t="str">
        <f t="shared" si="12"/>
        <v>公共部分装修</v>
      </c>
      <c r="AA32" s="1898">
        <f t="shared" si="3"/>
        <v>1</v>
      </c>
      <c r="AB32" s="1898">
        <f t="shared" si="4"/>
        <v>1</v>
      </c>
      <c r="AC32" s="1898">
        <f t="shared" si="5"/>
        <v>1</v>
      </c>
    </row>
    <row r="33" spans="1:29" ht="15">
      <c r="A33" s="452"/>
      <c r="B33" s="401" t="s">
        <v>2462</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23"/>
      <c r="Q33" s="1894" t="str">
        <f t="shared" si="8"/>
        <v>成新度</v>
      </c>
      <c r="R33" s="751" t="s">
        <v>25</v>
      </c>
      <c r="S33" s="752" t="e">
        <f t="shared" si="9"/>
        <v>#N/A</v>
      </c>
      <c r="T33" s="751" t="s">
        <v>25</v>
      </c>
      <c r="U33" s="752" t="e">
        <f t="shared" si="10"/>
        <v>#N/A</v>
      </c>
      <c r="V33" s="751" t="s">
        <v>25</v>
      </c>
      <c r="W33" s="752" t="e">
        <f t="shared" si="11"/>
        <v>#N/A</v>
      </c>
      <c r="X33" s="1895"/>
      <c r="Y33" s="3023"/>
      <c r="Z33" s="1897" t="str">
        <f t="shared" si="12"/>
        <v>成新度</v>
      </c>
      <c r="AA33" s="1898" t="e">
        <f t="shared" si="3"/>
        <v>#N/A</v>
      </c>
      <c r="AB33" s="1898" t="e">
        <f t="shared" si="4"/>
        <v>#N/A</v>
      </c>
      <c r="AC33" s="1898" t="e">
        <f t="shared" si="5"/>
        <v>#N/A</v>
      </c>
    </row>
    <row r="34" spans="1:29" s="35" customFormat="1" ht="15">
      <c r="A34" s="453"/>
      <c r="B34" s="401" t="s">
        <v>2490</v>
      </c>
      <c r="C34" s="440" t="s">
        <v>2503</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23"/>
      <c r="Q34" s="1882" t="str">
        <f t="shared" si="8"/>
        <v>物业管理</v>
      </c>
      <c r="R34" s="747" t="s">
        <v>25</v>
      </c>
      <c r="S34" s="748">
        <f t="shared" si="9"/>
        <v>100</v>
      </c>
      <c r="T34" s="747" t="s">
        <v>25</v>
      </c>
      <c r="U34" s="748">
        <f t="shared" si="10"/>
        <v>100</v>
      </c>
      <c r="V34" s="747" t="s">
        <v>25</v>
      </c>
      <c r="W34" s="748">
        <f t="shared" si="11"/>
        <v>100</v>
      </c>
      <c r="X34" s="749"/>
      <c r="Y34" s="3023"/>
      <c r="Z34" s="23" t="str">
        <f t="shared" si="12"/>
        <v>物业管理</v>
      </c>
      <c r="AA34" s="750">
        <f t="shared" si="3"/>
        <v>1</v>
      </c>
      <c r="AB34" s="750">
        <f t="shared" si="4"/>
        <v>1</v>
      </c>
      <c r="AC34" s="750">
        <f t="shared" si="5"/>
        <v>1</v>
      </c>
    </row>
    <row r="35" spans="1:29" ht="15">
      <c r="A35" s="452"/>
      <c r="B35" s="401" t="s">
        <v>2463</v>
      </c>
      <c r="C35" s="440" t="s">
        <v>2504</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23" t="s">
        <v>2374</v>
      </c>
      <c r="Q35" s="1894" t="str">
        <f t="shared" si="8"/>
        <v>市政基础设施</v>
      </c>
      <c r="R35" s="751" t="s">
        <v>25</v>
      </c>
      <c r="S35" s="752">
        <f t="shared" si="9"/>
        <v>100</v>
      </c>
      <c r="T35" s="751" t="s">
        <v>25</v>
      </c>
      <c r="U35" s="752">
        <f t="shared" si="10"/>
        <v>100</v>
      </c>
      <c r="V35" s="751" t="s">
        <v>25</v>
      </c>
      <c r="W35" s="752">
        <f t="shared" si="11"/>
        <v>100</v>
      </c>
      <c r="X35" s="1895"/>
      <c r="Y35" s="3023" t="s">
        <v>2374</v>
      </c>
      <c r="Z35" s="1897" t="str">
        <f t="shared" si="12"/>
        <v>市政基础设施</v>
      </c>
      <c r="AA35" s="1898">
        <f t="shared" si="3"/>
        <v>1</v>
      </c>
      <c r="AB35" s="1898">
        <f t="shared" si="4"/>
        <v>1</v>
      </c>
      <c r="AC35" s="1898">
        <f t="shared" si="5"/>
        <v>1</v>
      </c>
    </row>
    <row r="36" spans="1:29" ht="15">
      <c r="A36" s="452"/>
      <c r="B36" s="401" t="s">
        <v>2468</v>
      </c>
      <c r="C36" s="440" t="s">
        <v>2502</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23"/>
      <c r="Q36" s="1894" t="str">
        <f t="shared" si="8"/>
        <v>内部装修</v>
      </c>
      <c r="R36" s="751" t="s">
        <v>25</v>
      </c>
      <c r="S36" s="752">
        <f t="shared" si="9"/>
        <v>100</v>
      </c>
      <c r="T36" s="751" t="s">
        <v>25</v>
      </c>
      <c r="U36" s="752">
        <f t="shared" si="10"/>
        <v>100</v>
      </c>
      <c r="V36" s="751" t="s">
        <v>25</v>
      </c>
      <c r="W36" s="752">
        <f t="shared" si="11"/>
        <v>100</v>
      </c>
      <c r="X36" s="1895"/>
      <c r="Y36" s="3023"/>
      <c r="Z36" s="1897" t="str">
        <f t="shared" si="12"/>
        <v>内部装修</v>
      </c>
      <c r="AA36" s="1898">
        <f t="shared" si="3"/>
        <v>1</v>
      </c>
      <c r="AB36" s="1898">
        <f t="shared" si="4"/>
        <v>1</v>
      </c>
      <c r="AC36" s="1898">
        <f t="shared" si="5"/>
        <v>1</v>
      </c>
    </row>
    <row r="37" spans="1:29" ht="15">
      <c r="A37" s="452"/>
      <c r="B37" s="401" t="s">
        <v>2505</v>
      </c>
      <c r="C37" s="599" t="s">
        <v>2506</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23"/>
      <c r="Q37" s="1894" t="str">
        <f t="shared" si="8"/>
        <v>内部装修状况</v>
      </c>
      <c r="R37" s="751" t="s">
        <v>25</v>
      </c>
      <c r="S37" s="752">
        <f t="shared" si="9"/>
        <v>0</v>
      </c>
      <c r="T37" s="751" t="s">
        <v>25</v>
      </c>
      <c r="U37" s="752">
        <f t="shared" si="10"/>
        <v>0</v>
      </c>
      <c r="V37" s="751" t="s">
        <v>25</v>
      </c>
      <c r="W37" s="752">
        <f t="shared" si="11"/>
        <v>0</v>
      </c>
      <c r="X37" s="1895"/>
      <c r="Y37" s="3023"/>
      <c r="Z37" s="1897" t="str">
        <f t="shared" si="12"/>
        <v>内部装修状况</v>
      </c>
      <c r="AA37" s="1898" t="e">
        <f t="shared" si="3"/>
        <v>#DIV/0!</v>
      </c>
      <c r="AB37" s="1898" t="e">
        <f t="shared" si="4"/>
        <v>#DIV/0!</v>
      </c>
      <c r="AC37" s="1898" t="e">
        <f t="shared" si="5"/>
        <v>#DIV/0!</v>
      </c>
    </row>
    <row r="38" spans="1:29" s="451" customFormat="1" ht="15">
      <c r="A38" s="448"/>
      <c r="B38" s="2409">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23"/>
      <c r="Q38" s="753">
        <f t="shared" si="8"/>
        <v>111</v>
      </c>
      <c r="R38" s="754" t="s">
        <v>25</v>
      </c>
      <c r="S38" s="755">
        <f t="shared" si="9"/>
        <v>100</v>
      </c>
      <c r="T38" s="754" t="s">
        <v>25</v>
      </c>
      <c r="U38" s="755">
        <f t="shared" si="10"/>
        <v>100</v>
      </c>
      <c r="V38" s="754" t="s">
        <v>25</v>
      </c>
      <c r="W38" s="755">
        <f t="shared" si="11"/>
        <v>100</v>
      </c>
      <c r="X38" s="756"/>
      <c r="Y38" s="3023"/>
      <c r="Z38" s="757">
        <f t="shared" si="12"/>
        <v>111</v>
      </c>
      <c r="AA38" s="1898">
        <f t="shared" si="3"/>
        <v>1</v>
      </c>
      <c r="AB38" s="1898">
        <f t="shared" si="4"/>
        <v>1</v>
      </c>
      <c r="AC38" s="1898">
        <f t="shared" si="5"/>
        <v>1</v>
      </c>
    </row>
    <row r="39" spans="1:29" ht="15">
      <c r="A39" s="452"/>
      <c r="B39" s="2409">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23"/>
      <c r="Q39" s="1894">
        <f t="shared" si="8"/>
        <v>111</v>
      </c>
      <c r="R39" s="751" t="s">
        <v>25</v>
      </c>
      <c r="S39" s="752">
        <f t="shared" si="9"/>
        <v>100</v>
      </c>
      <c r="T39" s="751" t="s">
        <v>25</v>
      </c>
      <c r="U39" s="752">
        <f t="shared" si="10"/>
        <v>100</v>
      </c>
      <c r="V39" s="751" t="s">
        <v>25</v>
      </c>
      <c r="W39" s="752">
        <f t="shared" si="11"/>
        <v>100</v>
      </c>
      <c r="X39" s="1895"/>
      <c r="Y39" s="3023"/>
      <c r="Z39" s="1897">
        <f t="shared" si="12"/>
        <v>111</v>
      </c>
      <c r="AA39" s="1898">
        <f t="shared" si="3"/>
        <v>1</v>
      </c>
      <c r="AB39" s="1898">
        <f t="shared" si="4"/>
        <v>1</v>
      </c>
      <c r="AC39" s="1898">
        <f t="shared" si="5"/>
        <v>1</v>
      </c>
    </row>
    <row r="40" spans="1:29" ht="15.75" thickBot="1">
      <c r="A40" s="458"/>
      <c r="B40" s="2398">
        <v>111</v>
      </c>
      <c r="C40" s="2399">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24"/>
      <c r="Q40" s="1894">
        <f t="shared" si="8"/>
        <v>111</v>
      </c>
      <c r="R40" s="751" t="s">
        <v>25</v>
      </c>
      <c r="S40" s="752">
        <f t="shared" si="9"/>
        <v>100</v>
      </c>
      <c r="T40" s="751" t="s">
        <v>25</v>
      </c>
      <c r="U40" s="752">
        <f t="shared" si="10"/>
        <v>100</v>
      </c>
      <c r="V40" s="751" t="s">
        <v>25</v>
      </c>
      <c r="W40" s="752">
        <f t="shared" si="11"/>
        <v>100</v>
      </c>
      <c r="X40" s="1895"/>
      <c r="Y40" s="3024"/>
      <c r="Z40" s="1897">
        <f t="shared" si="12"/>
        <v>111</v>
      </c>
      <c r="AA40" s="1898">
        <f t="shared" si="3"/>
        <v>1</v>
      </c>
      <c r="AB40" s="1898">
        <f t="shared" si="4"/>
        <v>1</v>
      </c>
      <c r="AC40" s="1898">
        <f t="shared" si="5"/>
        <v>1</v>
      </c>
    </row>
    <row r="41" spans="1:29" ht="15">
      <c r="A41" s="459" t="s">
        <v>2386</v>
      </c>
      <c r="B41" s="460"/>
      <c r="C41" s="1497" t="s">
        <v>1</v>
      </c>
      <c r="D41" s="1498"/>
      <c r="E41" s="1499"/>
      <c r="F41" s="1500"/>
      <c r="G41" s="1501"/>
      <c r="H41" s="1502"/>
      <c r="I41" s="1499"/>
      <c r="J41" s="1502"/>
      <c r="K41" s="760"/>
      <c r="L41" s="1251"/>
      <c r="M41" s="1252"/>
      <c r="N41" s="1239"/>
      <c r="O41" s="1252"/>
      <c r="P41" s="3029" t="str">
        <f>A41</f>
        <v>成交单价（元/平方米）</v>
      </c>
      <c r="Q41" s="3029"/>
      <c r="R41" s="3030">
        <f>E41</f>
        <v>0</v>
      </c>
      <c r="S41" s="3030"/>
      <c r="T41" s="3030">
        <f>G41</f>
        <v>0</v>
      </c>
      <c r="U41" s="3030"/>
      <c r="V41" s="3030">
        <f>I41</f>
        <v>0</v>
      </c>
      <c r="W41" s="3030"/>
      <c r="X41" s="736"/>
      <c r="Y41" s="758"/>
      <c r="Z41" s="736"/>
      <c r="AA41" s="736"/>
      <c r="AB41" s="736"/>
      <c r="AC41" s="736"/>
    </row>
    <row r="42" spans="1:29" ht="15.75" thickBot="1">
      <c r="A42" s="466" t="s">
        <v>2469</v>
      </c>
      <c r="B42" s="467"/>
      <c r="C42" s="1503" t="e">
        <f>R43</f>
        <v>#DIV/0!</v>
      </c>
      <c r="D42" s="1504"/>
      <c r="E42" s="1505" t="e">
        <f>R42</f>
        <v>#DIV/0!</v>
      </c>
      <c r="F42" s="1505"/>
      <c r="G42" s="1503" t="e">
        <f>T42</f>
        <v>#DIV/0!</v>
      </c>
      <c r="H42" s="1504"/>
      <c r="I42" s="1505" t="e">
        <f>V42</f>
        <v>#DIV/0!</v>
      </c>
      <c r="J42" s="1504"/>
      <c r="K42" s="761"/>
      <c r="L42" s="1251"/>
      <c r="M42" s="1252"/>
      <c r="N42" s="1239"/>
      <c r="O42" s="1252"/>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6"/>
      <c r="Y42" s="736"/>
      <c r="Z42" s="736"/>
      <c r="AA42" s="736"/>
      <c r="AB42" s="736"/>
      <c r="AC42" s="736"/>
    </row>
    <row r="43" spans="1:29" ht="15.75" thickBot="1">
      <c r="A43" s="472" t="s">
        <v>2492</v>
      </c>
      <c r="B43" s="473"/>
      <c r="C43" s="1507" t="e">
        <f>R43</f>
        <v>#DIV/0!</v>
      </c>
      <c r="D43" s="1507"/>
      <c r="E43" s="1507"/>
      <c r="F43" s="1507"/>
      <c r="G43" s="1507"/>
      <c r="H43" s="1507"/>
      <c r="I43" s="1507"/>
      <c r="J43" s="1507"/>
      <c r="K43" s="762"/>
      <c r="L43" s="1251"/>
      <c r="M43" s="1252"/>
      <c r="N43" s="1252"/>
      <c r="O43" s="1252"/>
      <c r="P43" s="3035" t="str">
        <f>A43</f>
        <v>估价对象XX用房的比较价值（楼面单价，元/平方米）</v>
      </c>
      <c r="Q43" s="3036"/>
      <c r="R43" s="3037" t="e">
        <f>IF(E1="售价",ROUND(AVERAGE(R42:V42),0),ROUND(AVERAGE(R42:V42),1))</f>
        <v>#DIV/0!</v>
      </c>
      <c r="S43" s="3037"/>
      <c r="T43" s="3037"/>
      <c r="U43" s="3037"/>
      <c r="V43" s="3037"/>
      <c r="W43" s="3037"/>
      <c r="X43" s="736"/>
      <c r="Y43" s="736"/>
      <c r="Z43" s="736"/>
      <c r="AA43" s="736"/>
      <c r="AB43" s="736"/>
      <c r="AC43" s="736"/>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2471</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2472</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2473</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0" t="s">
        <v>2474</v>
      </c>
      <c r="B51" s="736"/>
      <c r="C51" s="741"/>
      <c r="D51" s="741"/>
      <c r="E51" s="741"/>
      <c r="F51" s="742"/>
      <c r="G51" s="742"/>
      <c r="H51" s="741"/>
      <c r="I51" s="741"/>
      <c r="J51" s="741"/>
      <c r="K51" s="743"/>
      <c r="L51" s="744"/>
      <c r="M51" s="741"/>
      <c r="N51" s="741"/>
      <c r="O51" s="741"/>
      <c r="P51" s="483"/>
      <c r="Q51" s="484"/>
    </row>
    <row r="52" spans="1:17" s="488" customFormat="1" ht="15">
      <c r="A52" s="485" t="s">
        <v>2356</v>
      </c>
      <c r="B52" s="486"/>
      <c r="C52" s="1673" t="str">
        <f>YEAR(C7)&amp;"-"&amp;MONTH(C7)</f>
        <v>2018-6</v>
      </c>
      <c r="D52" s="1674">
        <f>EDATE(C52,-1)</f>
        <v>43221</v>
      </c>
      <c r="E52" s="1675">
        <f t="shared" ref="E52:O52" si="13">EDATE(D52,-1)</f>
        <v>43191</v>
      </c>
      <c r="F52" s="1675">
        <f t="shared" si="13"/>
        <v>43160</v>
      </c>
      <c r="G52" s="1675">
        <f t="shared" si="13"/>
        <v>43132</v>
      </c>
      <c r="H52" s="1675">
        <f t="shared" si="13"/>
        <v>43101</v>
      </c>
      <c r="I52" s="1675">
        <f t="shared" si="13"/>
        <v>43070</v>
      </c>
      <c r="J52" s="1675">
        <f t="shared" si="13"/>
        <v>43040</v>
      </c>
      <c r="K52" s="1675">
        <f t="shared" si="13"/>
        <v>43009</v>
      </c>
      <c r="L52" s="1675">
        <f t="shared" si="13"/>
        <v>42979</v>
      </c>
      <c r="M52" s="1675">
        <f t="shared" si="13"/>
        <v>42948</v>
      </c>
      <c r="N52" s="1675">
        <f t="shared" si="13"/>
        <v>42917</v>
      </c>
      <c r="O52" s="1675">
        <f t="shared" si="13"/>
        <v>42887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2394</v>
      </c>
      <c r="B54" s="496"/>
      <c r="C54" s="497"/>
      <c r="D54" s="498"/>
      <c r="E54" s="498"/>
      <c r="F54" s="498"/>
      <c r="G54" s="498"/>
      <c r="H54" s="498"/>
      <c r="I54" s="498"/>
      <c r="J54" s="498"/>
      <c r="K54" s="498"/>
      <c r="L54" s="498"/>
      <c r="M54" s="499"/>
      <c r="N54" s="498"/>
      <c r="O54" s="500"/>
      <c r="P54" s="484"/>
      <c r="Q54" s="484"/>
    </row>
    <row r="55" spans="1:17" s="35" customFormat="1" ht="15">
      <c r="A55" s="501" t="s">
        <v>2358</v>
      </c>
      <c r="B55" s="490"/>
      <c r="C55" s="502" t="s">
        <v>2359</v>
      </c>
      <c r="D55" s="503"/>
      <c r="E55" s="503"/>
      <c r="F55" s="503"/>
      <c r="G55" s="503"/>
      <c r="H55" s="503"/>
      <c r="I55" s="503"/>
      <c r="J55" s="503"/>
      <c r="K55" s="503"/>
      <c r="L55" s="504"/>
      <c r="M55" s="505"/>
      <c r="N55" s="1261"/>
      <c r="O55" s="1261"/>
      <c r="P55" s="506"/>
      <c r="Q55" s="484"/>
    </row>
    <row r="56" spans="1:17" s="35" customFormat="1" ht="15.75" thickBot="1">
      <c r="A56" s="501"/>
      <c r="B56" s="490"/>
      <c r="C56" s="622">
        <v>100</v>
      </c>
      <c r="D56" s="492"/>
      <c r="E56" s="492"/>
      <c r="F56" s="492"/>
      <c r="G56" s="492"/>
      <c r="H56" s="492"/>
      <c r="I56" s="492"/>
      <c r="J56" s="492"/>
      <c r="K56" s="492"/>
      <c r="L56" s="492"/>
      <c r="M56" s="494"/>
      <c r="N56" s="1261"/>
      <c r="O56" s="1261"/>
      <c r="P56" s="484"/>
      <c r="Q56" s="484"/>
    </row>
    <row r="57" spans="1:17">
      <c r="A57" s="507" t="s">
        <v>2397</v>
      </c>
      <c r="B57" s="508" t="s">
        <v>2362</v>
      </c>
      <c r="C57" s="509">
        <f>C9</f>
        <v>0</v>
      </c>
      <c r="D57" s="510"/>
      <c r="E57" s="510"/>
      <c r="F57" s="510"/>
      <c r="G57" s="510"/>
      <c r="H57" s="510"/>
      <c r="I57" s="510"/>
      <c r="J57" s="510"/>
      <c r="K57" s="511"/>
      <c r="L57" s="512"/>
      <c r="M57" s="513"/>
      <c r="N57" s="1262"/>
      <c r="O57" s="1262"/>
      <c r="P57" s="22"/>
      <c r="Q57" s="484"/>
    </row>
    <row r="58" spans="1:17" ht="15.75" thickBot="1">
      <c r="A58" s="515"/>
      <c r="B58" s="516"/>
      <c r="C58" s="517">
        <v>100</v>
      </c>
      <c r="D58" s="517"/>
      <c r="E58" s="517"/>
      <c r="F58" s="517"/>
      <c r="G58" s="517"/>
      <c r="H58" s="517"/>
      <c r="I58" s="517"/>
      <c r="J58" s="517"/>
      <c r="K58" s="517"/>
      <c r="L58" s="517"/>
      <c r="M58" s="518"/>
      <c r="N58" s="1263"/>
      <c r="O58" s="1263"/>
      <c r="P58" s="22"/>
      <c r="Q58" s="484"/>
    </row>
    <row r="59" spans="1:17" ht="27.75" thickTop="1">
      <c r="A59" s="515"/>
      <c r="B59" s="520" t="s">
        <v>2365</v>
      </c>
      <c r="C59" s="521" t="s">
        <v>2398</v>
      </c>
      <c r="D59" s="521" t="s">
        <v>2399</v>
      </c>
      <c r="E59" s="521" t="s">
        <v>2400</v>
      </c>
      <c r="F59" s="521" t="s">
        <v>2401</v>
      </c>
      <c r="G59" s="521" t="s">
        <v>2402</v>
      </c>
      <c r="H59" s="521" t="s">
        <v>2403</v>
      </c>
      <c r="I59" s="521" t="s">
        <v>2404</v>
      </c>
      <c r="J59" s="521"/>
      <c r="K59" s="522"/>
      <c r="L59" s="523"/>
      <c r="M59" s="524"/>
      <c r="N59" s="1262"/>
      <c r="O59" s="1262"/>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75" thickTop="1">
      <c r="A61" s="515"/>
      <c r="B61" s="528" t="s">
        <v>2366</v>
      </c>
      <c r="C61" s="529" t="str">
        <f>C62&amp;"（含）"&amp;"-"&amp;D62</f>
        <v>（含）-</v>
      </c>
      <c r="D61" s="529" t="str">
        <f t="shared" ref="D61:L61" si="14">D62&amp;"（含）"&amp;"-"&amp;E62</f>
        <v>（含）-</v>
      </c>
      <c r="E61" s="529" t="str">
        <f t="shared" si="14"/>
        <v>（含）-</v>
      </c>
      <c r="F61" s="529" t="str">
        <f t="shared" si="14"/>
        <v>（含）-</v>
      </c>
      <c r="G61" s="529" t="str">
        <f t="shared" si="14"/>
        <v>（含）-</v>
      </c>
      <c r="H61" s="529" t="str">
        <f t="shared" si="14"/>
        <v>（含）-</v>
      </c>
      <c r="I61" s="529" t="str">
        <f t="shared" si="14"/>
        <v>（含）-</v>
      </c>
      <c r="J61" s="529" t="str">
        <f t="shared" si="14"/>
        <v>（含）-</v>
      </c>
      <c r="K61" s="529" t="str">
        <f t="shared" si="14"/>
        <v>（含）-</v>
      </c>
      <c r="L61" s="529" t="str">
        <f t="shared" si="14"/>
        <v>（含）-</v>
      </c>
      <c r="M61" s="426" t="str">
        <f>M62&amp;"（含）"&amp;"-"&amp;P62</f>
        <v>（含）-</v>
      </c>
      <c r="N61" s="1263"/>
      <c r="O61" s="1263"/>
      <c r="P61" s="22"/>
      <c r="Q61" s="484"/>
    </row>
    <row r="62" spans="1:17" ht="15">
      <c r="A62" s="515"/>
      <c r="B62" s="530"/>
      <c r="C62" s="531"/>
      <c r="D62" s="531"/>
      <c r="E62" s="531"/>
      <c r="F62" s="531"/>
      <c r="G62" s="531"/>
      <c r="H62" s="531"/>
      <c r="I62" s="531"/>
      <c r="J62" s="531"/>
      <c r="K62" s="532"/>
      <c r="L62" s="533"/>
      <c r="M62" s="534"/>
      <c r="N62" s="1262"/>
      <c r="O62" s="1262"/>
      <c r="P62" s="22"/>
      <c r="Q62" s="484"/>
    </row>
    <row r="63" spans="1:17" ht="15.75" thickBot="1">
      <c r="A63" s="515"/>
      <c r="B63" s="516"/>
      <c r="C63" s="526">
        <v>100</v>
      </c>
      <c r="D63" s="526">
        <f t="shared" ref="D63:M63" si="15">C63-$K11</f>
        <v>100</v>
      </c>
      <c r="E63" s="526">
        <f t="shared" si="15"/>
        <v>100</v>
      </c>
      <c r="F63" s="526">
        <f t="shared" si="15"/>
        <v>100</v>
      </c>
      <c r="G63" s="526">
        <f t="shared" si="15"/>
        <v>100</v>
      </c>
      <c r="H63" s="526">
        <f t="shared" si="15"/>
        <v>100</v>
      </c>
      <c r="I63" s="526">
        <f t="shared" si="15"/>
        <v>100</v>
      </c>
      <c r="J63" s="526">
        <f t="shared" si="15"/>
        <v>100</v>
      </c>
      <c r="K63" s="526">
        <f t="shared" si="15"/>
        <v>100</v>
      </c>
      <c r="L63" s="526">
        <f t="shared" si="15"/>
        <v>100</v>
      </c>
      <c r="M63" s="527">
        <f t="shared" si="15"/>
        <v>100</v>
      </c>
      <c r="N63" s="1263"/>
      <c r="O63" s="1263"/>
      <c r="P63" s="22"/>
      <c r="Q63" s="484"/>
    </row>
    <row r="64" spans="1:17" s="451" customFormat="1" ht="15.75" thickTop="1">
      <c r="A64" s="535"/>
      <c r="B64" s="520">
        <f>B12</f>
        <v>111</v>
      </c>
      <c r="C64" s="536"/>
      <c r="D64" s="536"/>
      <c r="E64" s="536"/>
      <c r="F64" s="536"/>
      <c r="G64" s="536"/>
      <c r="H64" s="537"/>
      <c r="I64" s="537"/>
      <c r="J64" s="537"/>
      <c r="K64" s="537"/>
      <c r="L64" s="538"/>
      <c r="M64" s="539"/>
      <c r="N64" s="1264"/>
      <c r="O64" s="1264"/>
      <c r="P64" s="541"/>
      <c r="Q64" s="542"/>
    </row>
    <row r="65" spans="1:17" s="451" customFormat="1" ht="15.75" thickBot="1">
      <c r="A65" s="535"/>
      <c r="B65" s="525"/>
      <c r="C65" s="543"/>
      <c r="D65" s="517"/>
      <c r="E65" s="517"/>
      <c r="F65" s="517"/>
      <c r="G65" s="517"/>
      <c r="H65" s="517"/>
      <c r="I65" s="517"/>
      <c r="J65" s="517"/>
      <c r="K65" s="517"/>
      <c r="L65" s="517"/>
      <c r="M65" s="518"/>
      <c r="N65" s="1263"/>
      <c r="O65" s="1263"/>
      <c r="P65" s="541"/>
      <c r="Q65" s="542"/>
    </row>
    <row r="66" spans="1:17" s="451" customFormat="1" ht="15.75" thickTop="1">
      <c r="A66" s="535"/>
      <c r="B66" s="520">
        <f>B13</f>
        <v>111</v>
      </c>
      <c r="C66" s="536"/>
      <c r="D66" s="536"/>
      <c r="E66" s="536"/>
      <c r="F66" s="536"/>
      <c r="G66" s="536"/>
      <c r="H66" s="537"/>
      <c r="I66" s="537"/>
      <c r="J66" s="537"/>
      <c r="K66" s="537"/>
      <c r="L66" s="538"/>
      <c r="M66" s="539"/>
      <c r="N66" s="1264"/>
      <c r="O66" s="1264"/>
      <c r="P66" s="450"/>
      <c r="Q66" s="544"/>
    </row>
    <row r="67" spans="1:17" s="451" customFormat="1" ht="15.75" thickBot="1">
      <c r="A67" s="535"/>
      <c r="B67" s="525"/>
      <c r="C67" s="543"/>
      <c r="D67" s="517"/>
      <c r="E67" s="517"/>
      <c r="F67" s="517"/>
      <c r="G67" s="543"/>
      <c r="H67" s="545"/>
      <c r="I67" s="545"/>
      <c r="J67" s="545"/>
      <c r="K67" s="545"/>
      <c r="L67" s="545"/>
      <c r="M67" s="546"/>
      <c r="N67" s="1264"/>
      <c r="O67" s="1264"/>
      <c r="P67" s="541"/>
      <c r="Q67" s="542"/>
    </row>
    <row r="68" spans="1:17" s="451" customFormat="1" ht="15.75" thickTop="1">
      <c r="A68" s="535"/>
      <c r="B68" s="528">
        <f>B14</f>
        <v>111</v>
      </c>
      <c r="C68" s="503"/>
      <c r="D68" s="503"/>
      <c r="E68" s="503"/>
      <c r="F68" s="503"/>
      <c r="G68" s="503"/>
      <c r="H68" s="547"/>
      <c r="I68" s="547"/>
      <c r="J68" s="547"/>
      <c r="K68" s="547"/>
      <c r="L68" s="548"/>
      <c r="M68" s="549"/>
      <c r="N68" s="1264"/>
      <c r="O68" s="1264"/>
      <c r="P68" s="550"/>
      <c r="Q68" s="542"/>
    </row>
    <row r="69" spans="1:17" s="451" customFormat="1" ht="15.75" thickBot="1">
      <c r="A69" s="551"/>
      <c r="B69" s="552"/>
      <c r="C69" s="553"/>
      <c r="D69" s="553"/>
      <c r="E69" s="553"/>
      <c r="F69" s="553"/>
      <c r="G69" s="553"/>
      <c r="H69" s="554"/>
      <c r="I69" s="554"/>
      <c r="J69" s="554"/>
      <c r="K69" s="554"/>
      <c r="L69" s="554"/>
      <c r="M69" s="555"/>
      <c r="N69" s="1264"/>
      <c r="O69" s="1264"/>
      <c r="P69" s="541"/>
      <c r="Q69" s="542"/>
    </row>
    <row r="70" spans="1:17">
      <c r="A70" s="507" t="s">
        <v>2367</v>
      </c>
      <c r="B70" s="508" t="s">
        <v>2507</v>
      </c>
      <c r="C70" s="556" t="s">
        <v>2406</v>
      </c>
      <c r="D70" s="556" t="s">
        <v>2407</v>
      </c>
      <c r="E70" s="556" t="s">
        <v>2408</v>
      </c>
      <c r="F70" s="556" t="s">
        <v>2409</v>
      </c>
      <c r="G70" s="556" t="s">
        <v>2410</v>
      </c>
      <c r="H70" s="509"/>
      <c r="I70" s="509"/>
      <c r="J70" s="509"/>
      <c r="K70" s="557"/>
      <c r="L70" s="558"/>
      <c r="M70" s="559"/>
      <c r="N70" s="1262"/>
      <c r="O70" s="1262"/>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75" thickTop="1">
      <c r="A72" s="515"/>
      <c r="B72" s="520" t="s">
        <v>2411</v>
      </c>
      <c r="C72" s="561" t="s">
        <v>2406</v>
      </c>
      <c r="D72" s="561" t="s">
        <v>2407</v>
      </c>
      <c r="E72" s="561" t="s">
        <v>2408</v>
      </c>
      <c r="F72" s="561" t="s">
        <v>2409</v>
      </c>
      <c r="G72" s="561" t="s">
        <v>2410</v>
      </c>
      <c r="H72" s="521"/>
      <c r="I72" s="521"/>
      <c r="J72" s="521"/>
      <c r="K72" s="522"/>
      <c r="L72" s="523"/>
      <c r="M72" s="524"/>
      <c r="N72" s="1262"/>
      <c r="O72" s="1262"/>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75" thickTop="1">
      <c r="A74" s="515"/>
      <c r="B74" s="520" t="s">
        <v>2412</v>
      </c>
      <c r="C74" s="561" t="s">
        <v>2406</v>
      </c>
      <c r="D74" s="561" t="s">
        <v>2407</v>
      </c>
      <c r="E74" s="561" t="s">
        <v>2408</v>
      </c>
      <c r="F74" s="561" t="s">
        <v>2409</v>
      </c>
      <c r="G74" s="561" t="s">
        <v>2410</v>
      </c>
      <c r="H74" s="521"/>
      <c r="I74" s="521"/>
      <c r="J74" s="521"/>
      <c r="K74" s="522"/>
      <c r="L74" s="523"/>
      <c r="M74" s="524"/>
      <c r="N74" s="1262"/>
      <c r="O74" s="1262"/>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75" thickTop="1">
      <c r="A76" s="515"/>
      <c r="B76" s="528" t="s">
        <v>2484</v>
      </c>
      <c r="C76" s="521" t="s">
        <v>2413</v>
      </c>
      <c r="D76" s="521" t="s">
        <v>2414</v>
      </c>
      <c r="E76" s="521" t="s">
        <v>2415</v>
      </c>
      <c r="F76" s="521" t="s">
        <v>2416</v>
      </c>
      <c r="G76" s="521" t="s">
        <v>2417</v>
      </c>
      <c r="H76" s="521"/>
      <c r="I76" s="521"/>
      <c r="J76" s="521"/>
      <c r="K76" s="521"/>
      <c r="L76" s="521"/>
      <c r="M76" s="1462"/>
      <c r="N76" s="1263"/>
      <c r="O76" s="1263"/>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75" thickTop="1">
      <c r="A78" s="515"/>
      <c r="B78" s="520" t="s">
        <v>2494</v>
      </c>
      <c r="C78" s="561" t="s">
        <v>2406</v>
      </c>
      <c r="D78" s="561" t="s">
        <v>2407</v>
      </c>
      <c r="E78" s="561" t="s">
        <v>2408</v>
      </c>
      <c r="F78" s="561" t="s">
        <v>2409</v>
      </c>
      <c r="G78" s="561" t="s">
        <v>2410</v>
      </c>
      <c r="H78" s="521"/>
      <c r="I78" s="521"/>
      <c r="J78" s="521"/>
      <c r="K78" s="522"/>
      <c r="L78" s="523"/>
      <c r="M78" s="524"/>
      <c r="N78" s="1262"/>
      <c r="O78" s="1262"/>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5" customFormat="1" ht="15.75" thickTop="1">
      <c r="A80" s="562"/>
      <c r="B80" s="520">
        <f>B25</f>
        <v>111</v>
      </c>
      <c r="C80" s="536"/>
      <c r="D80" s="536"/>
      <c r="E80" s="536"/>
      <c r="F80" s="536"/>
      <c r="G80" s="536"/>
      <c r="H80" s="536"/>
      <c r="I80" s="536"/>
      <c r="J80" s="536"/>
      <c r="K80" s="536"/>
      <c r="L80" s="563"/>
      <c r="M80" s="564"/>
      <c r="N80" s="1261"/>
      <c r="O80" s="1261"/>
      <c r="P80" s="22"/>
      <c r="Q80" s="484"/>
    </row>
    <row r="81" spans="1:17" s="35" customFormat="1" ht="15.75" thickBot="1">
      <c r="A81" s="562"/>
      <c r="B81" s="525"/>
      <c r="C81" s="543"/>
      <c r="D81" s="517"/>
      <c r="E81" s="517"/>
      <c r="F81" s="517"/>
      <c r="G81" s="517"/>
      <c r="H81" s="517"/>
      <c r="I81" s="517"/>
      <c r="J81" s="517"/>
      <c r="K81" s="517"/>
      <c r="L81" s="517"/>
      <c r="M81" s="518"/>
      <c r="N81" s="1263"/>
      <c r="O81" s="1263"/>
      <c r="P81" s="22"/>
      <c r="Q81" s="484"/>
    </row>
    <row r="82" spans="1:17" s="35" customFormat="1" ht="15.75" thickTop="1">
      <c r="A82" s="562"/>
      <c r="B82" s="520">
        <f>B26</f>
        <v>111</v>
      </c>
      <c r="C82" s="536"/>
      <c r="D82" s="536"/>
      <c r="E82" s="536"/>
      <c r="F82" s="536"/>
      <c r="G82" s="536"/>
      <c r="H82" s="536"/>
      <c r="I82" s="536"/>
      <c r="J82" s="536"/>
      <c r="K82" s="536"/>
      <c r="L82" s="563"/>
      <c r="M82" s="564"/>
      <c r="N82" s="1261"/>
      <c r="O82" s="1261"/>
      <c r="P82" s="22"/>
      <c r="Q82" s="484"/>
    </row>
    <row r="83" spans="1:17" s="35" customFormat="1" ht="15.75" thickBot="1">
      <c r="A83" s="562"/>
      <c r="B83" s="525"/>
      <c r="C83" s="543"/>
      <c r="D83" s="517"/>
      <c r="E83" s="517"/>
      <c r="F83" s="517"/>
      <c r="G83" s="517"/>
      <c r="H83" s="517"/>
      <c r="I83" s="517"/>
      <c r="J83" s="517"/>
      <c r="K83" s="517"/>
      <c r="L83" s="517"/>
      <c r="M83" s="518"/>
      <c r="N83" s="1263"/>
      <c r="O83" s="1263"/>
      <c r="P83" s="22"/>
      <c r="Q83" s="484"/>
    </row>
    <row r="84" spans="1:17" s="451" customFormat="1" ht="15.75" thickTop="1">
      <c r="A84" s="535"/>
      <c r="B84" s="520">
        <f>B27</f>
        <v>111</v>
      </c>
      <c r="C84" s="536"/>
      <c r="D84" s="536"/>
      <c r="E84" s="536"/>
      <c r="F84" s="536"/>
      <c r="G84" s="536"/>
      <c r="H84" s="536"/>
      <c r="I84" s="536"/>
      <c r="J84" s="536"/>
      <c r="K84" s="536"/>
      <c r="L84" s="563"/>
      <c r="M84" s="564"/>
      <c r="N84" s="1264"/>
      <c r="O84" s="1264"/>
      <c r="P84" s="541"/>
      <c r="Q84" s="542"/>
    </row>
    <row r="85" spans="1:17" s="451" customFormat="1" ht="15.75" thickBot="1">
      <c r="A85" s="535"/>
      <c r="B85" s="525"/>
      <c r="C85" s="543"/>
      <c r="D85" s="517"/>
      <c r="E85" s="517"/>
      <c r="F85" s="517"/>
      <c r="G85" s="517"/>
      <c r="H85" s="517"/>
      <c r="I85" s="517"/>
      <c r="J85" s="517"/>
      <c r="K85" s="517"/>
      <c r="L85" s="517"/>
      <c r="M85" s="518"/>
      <c r="N85" s="1264"/>
      <c r="O85" s="1264"/>
      <c r="P85" s="541"/>
      <c r="Q85" s="542"/>
    </row>
    <row r="86" spans="1:17" ht="15.75" thickTop="1">
      <c r="A86" s="515"/>
      <c r="B86" s="528">
        <f>B28</f>
        <v>111</v>
      </c>
      <c r="C86" s="503"/>
      <c r="D86" s="503"/>
      <c r="E86" s="503"/>
      <c r="F86" s="503"/>
      <c r="G86" s="570"/>
      <c r="H86" s="570"/>
      <c r="I86" s="570"/>
      <c r="J86" s="570"/>
      <c r="K86" s="571"/>
      <c r="L86" s="572"/>
      <c r="M86" s="573"/>
      <c r="N86" s="1262"/>
      <c r="O86" s="1262"/>
      <c r="P86" s="22"/>
      <c r="Q86" s="484"/>
    </row>
    <row r="87" spans="1:17" ht="15.75" thickBot="1">
      <c r="A87" s="2428"/>
      <c r="B87" s="552"/>
      <c r="C87" s="553"/>
      <c r="D87" s="553"/>
      <c r="E87" s="553"/>
      <c r="F87" s="553"/>
      <c r="G87" s="574"/>
      <c r="H87" s="574"/>
      <c r="I87" s="574"/>
      <c r="J87" s="574"/>
      <c r="K87" s="574"/>
      <c r="L87" s="574"/>
      <c r="M87" s="575"/>
      <c r="N87" s="1263"/>
      <c r="O87" s="1263"/>
      <c r="P87" s="22"/>
      <c r="Q87" s="484"/>
    </row>
    <row r="88" spans="1:17">
      <c r="A88" s="507" t="s">
        <v>2372</v>
      </c>
      <c r="B88" s="508" t="s">
        <v>2421</v>
      </c>
      <c r="C88" s="510"/>
      <c r="D88" s="510"/>
      <c r="E88" s="510"/>
      <c r="F88" s="510"/>
      <c r="G88" s="510"/>
      <c r="H88" s="510"/>
      <c r="I88" s="510"/>
      <c r="J88" s="510"/>
      <c r="K88" s="511"/>
      <c r="L88" s="512"/>
      <c r="M88" s="513"/>
      <c r="N88" s="1262"/>
      <c r="O88" s="1262"/>
      <c r="P88" s="22"/>
      <c r="Q88" s="484"/>
    </row>
    <row r="89" spans="1:17" ht="15.75" thickBot="1">
      <c r="A89" s="515"/>
      <c r="B89" s="525"/>
      <c r="C89" s="526">
        <v>100</v>
      </c>
      <c r="D89" s="526">
        <f t="shared" ref="D89:M89" si="16">C89-$K29</f>
        <v>100</v>
      </c>
      <c r="E89" s="526">
        <f t="shared" si="16"/>
        <v>100</v>
      </c>
      <c r="F89" s="526">
        <f t="shared" si="16"/>
        <v>100</v>
      </c>
      <c r="G89" s="526">
        <f t="shared" si="16"/>
        <v>100</v>
      </c>
      <c r="H89" s="526">
        <f t="shared" si="16"/>
        <v>100</v>
      </c>
      <c r="I89" s="526">
        <f t="shared" si="16"/>
        <v>100</v>
      </c>
      <c r="J89" s="526">
        <f t="shared" si="16"/>
        <v>100</v>
      </c>
      <c r="K89" s="526">
        <f t="shared" si="16"/>
        <v>100</v>
      </c>
      <c r="L89" s="526">
        <f t="shared" si="16"/>
        <v>100</v>
      </c>
      <c r="M89" s="527">
        <f t="shared" si="16"/>
        <v>100</v>
      </c>
      <c r="N89" s="1263"/>
      <c r="O89" s="1263"/>
      <c r="P89" s="22"/>
      <c r="Q89" s="484"/>
    </row>
    <row r="90" spans="1:17" ht="15.75" thickTop="1">
      <c r="A90" s="515"/>
      <c r="B90" s="520" t="s">
        <v>2422</v>
      </c>
      <c r="C90" s="561" t="str">
        <f>C91&amp;"(含)"&amp;"-"&amp;D91</f>
        <v>(含)-</v>
      </c>
      <c r="D90" s="561" t="str">
        <f t="shared" ref="D90:L90" si="17">D91&amp;"(含)"&amp;"-"&amp;E91</f>
        <v>(含)-</v>
      </c>
      <c r="E90" s="561" t="str">
        <f t="shared" si="17"/>
        <v>(含)-</v>
      </c>
      <c r="F90" s="561" t="str">
        <f t="shared" si="17"/>
        <v>(含)-</v>
      </c>
      <c r="G90" s="561" t="str">
        <f t="shared" si="17"/>
        <v>(含)-</v>
      </c>
      <c r="H90" s="561" t="str">
        <f t="shared" si="17"/>
        <v>(含)-</v>
      </c>
      <c r="I90" s="561" t="str">
        <f t="shared" si="17"/>
        <v>(含)-</v>
      </c>
      <c r="J90" s="561" t="str">
        <f t="shared" si="17"/>
        <v>(含)-</v>
      </c>
      <c r="K90" s="561" t="str">
        <f t="shared" si="17"/>
        <v>(含)-</v>
      </c>
      <c r="L90" s="561" t="str">
        <f t="shared" si="17"/>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5.75"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2423</v>
      </c>
      <c r="C93" s="536"/>
      <c r="D93" s="536"/>
      <c r="E93" s="566"/>
      <c r="F93" s="566"/>
      <c r="G93" s="566"/>
      <c r="H93" s="566"/>
      <c r="I93" s="566"/>
      <c r="J93" s="566"/>
      <c r="K93" s="567"/>
      <c r="L93" s="568"/>
      <c r="M93" s="569"/>
      <c r="N93" s="1262"/>
      <c r="O93" s="1262"/>
      <c r="P93" s="22"/>
      <c r="Q93" s="484"/>
    </row>
    <row r="94" spans="1:17" ht="15.75" thickBot="1">
      <c r="A94" s="515"/>
      <c r="B94" s="525"/>
      <c r="C94" s="526">
        <v>100</v>
      </c>
      <c r="D94" s="526">
        <f t="shared" ref="D94:M94" si="18">C94-$K31</f>
        <v>100</v>
      </c>
      <c r="E94" s="526">
        <f t="shared" si="18"/>
        <v>100</v>
      </c>
      <c r="F94" s="526">
        <f t="shared" si="18"/>
        <v>100</v>
      </c>
      <c r="G94" s="526">
        <f t="shared" si="18"/>
        <v>100</v>
      </c>
      <c r="H94" s="526">
        <f t="shared" si="18"/>
        <v>100</v>
      </c>
      <c r="I94" s="526">
        <f t="shared" si="18"/>
        <v>100</v>
      </c>
      <c r="J94" s="526">
        <f t="shared" si="18"/>
        <v>100</v>
      </c>
      <c r="K94" s="526">
        <f t="shared" si="18"/>
        <v>100</v>
      </c>
      <c r="L94" s="526">
        <f t="shared" si="18"/>
        <v>100</v>
      </c>
      <c r="M94" s="527">
        <f t="shared" si="18"/>
        <v>100</v>
      </c>
      <c r="N94" s="1263"/>
      <c r="O94" s="1263"/>
      <c r="P94" s="22"/>
      <c r="Q94" s="484"/>
    </row>
    <row r="95" spans="1:17" ht="15" thickTop="1">
      <c r="A95" s="582"/>
      <c r="B95" s="520" t="s">
        <v>2425</v>
      </c>
      <c r="C95" s="536"/>
      <c r="D95" s="536"/>
      <c r="E95" s="536"/>
      <c r="F95" s="566"/>
      <c r="G95" s="566"/>
      <c r="H95" s="566"/>
      <c r="I95" s="566"/>
      <c r="J95" s="566"/>
      <c r="K95" s="567"/>
      <c r="L95" s="568"/>
      <c r="M95" s="569"/>
      <c r="N95" s="1262"/>
      <c r="O95" s="1262"/>
      <c r="P95" s="22"/>
      <c r="Q95" s="484"/>
    </row>
    <row r="96" spans="1:17" ht="15.75" thickBot="1">
      <c r="A96" s="515"/>
      <c r="B96" s="525"/>
      <c r="C96" s="526">
        <v>100</v>
      </c>
      <c r="D96" s="526">
        <f t="shared" ref="D96:M96" si="19">C96-$K32</f>
        <v>100</v>
      </c>
      <c r="E96" s="526">
        <f t="shared" si="19"/>
        <v>100</v>
      </c>
      <c r="F96" s="526">
        <f t="shared" si="19"/>
        <v>100</v>
      </c>
      <c r="G96" s="526">
        <f t="shared" si="19"/>
        <v>100</v>
      </c>
      <c r="H96" s="526">
        <f t="shared" si="19"/>
        <v>100</v>
      </c>
      <c r="I96" s="526">
        <f t="shared" si="19"/>
        <v>100</v>
      </c>
      <c r="J96" s="526">
        <f t="shared" si="19"/>
        <v>100</v>
      </c>
      <c r="K96" s="526">
        <f t="shared" si="19"/>
        <v>100</v>
      </c>
      <c r="L96" s="526">
        <f t="shared" si="19"/>
        <v>100</v>
      </c>
      <c r="M96" s="527">
        <f t="shared" si="19"/>
        <v>100</v>
      </c>
      <c r="N96" s="1263"/>
      <c r="O96" s="1263"/>
      <c r="P96" s="22"/>
      <c r="Q96" s="484"/>
    </row>
    <row r="97" spans="1:17" ht="15" thickTop="1">
      <c r="A97" s="582"/>
      <c r="B97" s="520" t="s">
        <v>2426</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5.75" thickBot="1">
      <c r="A99" s="515"/>
      <c r="B99" s="525"/>
      <c r="C99" s="565">
        <v>100</v>
      </c>
      <c r="D99" s="526">
        <f>C99+$K33</f>
        <v>100</v>
      </c>
      <c r="E99" s="526">
        <f t="shared" ref="E99:M99" si="20">D99+$K33</f>
        <v>100</v>
      </c>
      <c r="F99" s="526">
        <f t="shared" si="20"/>
        <v>100</v>
      </c>
      <c r="G99" s="526">
        <f t="shared" si="20"/>
        <v>100</v>
      </c>
      <c r="H99" s="526">
        <f t="shared" si="20"/>
        <v>100</v>
      </c>
      <c r="I99" s="526">
        <f t="shared" si="20"/>
        <v>100</v>
      </c>
      <c r="J99" s="526">
        <f t="shared" si="20"/>
        <v>100</v>
      </c>
      <c r="K99" s="526">
        <f t="shared" si="20"/>
        <v>100</v>
      </c>
      <c r="L99" s="526">
        <f t="shared" si="20"/>
        <v>100</v>
      </c>
      <c r="M99" s="526">
        <f t="shared" si="20"/>
        <v>100</v>
      </c>
      <c r="N99" s="1263"/>
      <c r="O99" s="1263"/>
      <c r="P99" s="22"/>
      <c r="Q99" s="484"/>
    </row>
    <row r="100" spans="1:17" s="451" customFormat="1" ht="15" thickTop="1">
      <c r="A100" s="576"/>
      <c r="B100" s="520" t="s">
        <v>2427</v>
      </c>
      <c r="C100" s="536"/>
      <c r="D100" s="536"/>
      <c r="E100" s="536"/>
      <c r="F100" s="536"/>
      <c r="G100" s="536"/>
      <c r="H100" s="566"/>
      <c r="I100" s="566"/>
      <c r="J100" s="566"/>
      <c r="K100" s="567"/>
      <c r="L100" s="568"/>
      <c r="M100" s="569"/>
      <c r="N100" s="1264"/>
      <c r="O100" s="1264"/>
      <c r="P100" s="541"/>
      <c r="Q100" s="542"/>
    </row>
    <row r="101" spans="1:17" s="451" customFormat="1" ht="15.75" thickBot="1">
      <c r="A101" s="535"/>
      <c r="B101" s="525"/>
      <c r="C101" s="526">
        <v>100</v>
      </c>
      <c r="D101" s="526">
        <f>C101-$K34</f>
        <v>100</v>
      </c>
      <c r="E101" s="526">
        <f t="shared" ref="E101:M101" si="21">D101-$K34</f>
        <v>100</v>
      </c>
      <c r="F101" s="526">
        <f t="shared" si="21"/>
        <v>100</v>
      </c>
      <c r="G101" s="526">
        <f t="shared" si="21"/>
        <v>100</v>
      </c>
      <c r="H101" s="526">
        <f t="shared" si="21"/>
        <v>100</v>
      </c>
      <c r="I101" s="526">
        <f t="shared" si="21"/>
        <v>100</v>
      </c>
      <c r="J101" s="526">
        <f t="shared" si="21"/>
        <v>100</v>
      </c>
      <c r="K101" s="526">
        <f t="shared" si="21"/>
        <v>100</v>
      </c>
      <c r="L101" s="526">
        <f t="shared" si="21"/>
        <v>100</v>
      </c>
      <c r="M101" s="526">
        <f t="shared" si="21"/>
        <v>100</v>
      </c>
      <c r="N101" s="1264"/>
      <c r="O101" s="1264"/>
      <c r="P101" s="541"/>
      <c r="Q101" s="542"/>
    </row>
    <row r="102" spans="1:17" ht="15" thickTop="1">
      <c r="A102" s="582"/>
      <c r="B102" s="520" t="s">
        <v>2428</v>
      </c>
      <c r="C102" s="536"/>
      <c r="D102" s="536"/>
      <c r="E102" s="536"/>
      <c r="F102" s="536"/>
      <c r="G102" s="536"/>
      <c r="H102" s="566"/>
      <c r="I102" s="566"/>
      <c r="J102" s="566"/>
      <c r="K102" s="567"/>
      <c r="L102" s="568"/>
      <c r="M102" s="569"/>
      <c r="N102" s="1262"/>
      <c r="O102" s="1262"/>
      <c r="P102" s="22"/>
      <c r="Q102" s="484"/>
    </row>
    <row r="103" spans="1:17" ht="15.75" thickBot="1">
      <c r="A103" s="515"/>
      <c r="B103" s="525"/>
      <c r="C103" s="526">
        <v>100</v>
      </c>
      <c r="D103" s="526">
        <f t="shared" ref="D103:M103" si="22">C103-$K35</f>
        <v>100</v>
      </c>
      <c r="E103" s="526">
        <f t="shared" si="22"/>
        <v>100</v>
      </c>
      <c r="F103" s="526">
        <f t="shared" si="22"/>
        <v>100</v>
      </c>
      <c r="G103" s="526">
        <f t="shared" si="22"/>
        <v>100</v>
      </c>
      <c r="H103" s="526">
        <f t="shared" si="22"/>
        <v>100</v>
      </c>
      <c r="I103" s="526">
        <f t="shared" si="22"/>
        <v>100</v>
      </c>
      <c r="J103" s="526">
        <f t="shared" si="22"/>
        <v>100</v>
      </c>
      <c r="K103" s="526">
        <f t="shared" si="22"/>
        <v>100</v>
      </c>
      <c r="L103" s="526">
        <f t="shared" si="22"/>
        <v>100</v>
      </c>
      <c r="M103" s="527">
        <f t="shared" si="22"/>
        <v>100</v>
      </c>
      <c r="N103" s="1263"/>
      <c r="O103" s="1263"/>
      <c r="P103" s="22"/>
      <c r="Q103" s="484"/>
    </row>
    <row r="104" spans="1:17" ht="15" thickTop="1">
      <c r="A104" s="582"/>
      <c r="B104" s="520" t="s">
        <v>2430</v>
      </c>
      <c r="C104" s="536"/>
      <c r="D104" s="536"/>
      <c r="E104" s="536"/>
      <c r="F104" s="536"/>
      <c r="G104" s="536"/>
      <c r="H104" s="566"/>
      <c r="I104" s="566"/>
      <c r="J104" s="566"/>
      <c r="K104" s="567"/>
      <c r="L104" s="568"/>
      <c r="M104" s="569"/>
      <c r="N104" s="1262"/>
      <c r="O104" s="1262"/>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15" thickTop="1">
      <c r="A106" s="582"/>
      <c r="B106" s="619" t="s">
        <v>2508</v>
      </c>
      <c r="C106" s="561" t="s">
        <v>2406</v>
      </c>
      <c r="D106" s="561" t="s">
        <v>2407</v>
      </c>
      <c r="E106" s="561" t="s">
        <v>2408</v>
      </c>
      <c r="F106" s="561" t="s">
        <v>2409</v>
      </c>
      <c r="G106" s="561" t="s">
        <v>2410</v>
      </c>
      <c r="H106" s="521"/>
      <c r="I106" s="521"/>
      <c r="J106" s="521"/>
      <c r="K106" s="522"/>
      <c r="L106" s="523"/>
      <c r="M106" s="524"/>
      <c r="N106" s="1263"/>
      <c r="O106" s="1263"/>
      <c r="P106" s="620"/>
      <c r="Q106" s="621"/>
    </row>
    <row r="107" spans="1:17" ht="15.75" thickBot="1">
      <c r="A107" s="515"/>
      <c r="B107" s="525"/>
      <c r="C107" s="565">
        <v>100</v>
      </c>
      <c r="D107" s="526">
        <f t="shared" ref="D107:M107" si="23">C107-$K37</f>
        <v>100</v>
      </c>
      <c r="E107" s="526">
        <f t="shared" si="23"/>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s="451" customFormat="1" ht="15"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5.75" thickBot="1">
      <c r="A109" s="535"/>
      <c r="B109" s="516"/>
      <c r="C109" s="543"/>
      <c r="D109" s="517"/>
      <c r="E109" s="517"/>
      <c r="F109" s="517"/>
      <c r="G109" s="543"/>
      <c r="H109" s="545"/>
      <c r="I109" s="545"/>
      <c r="J109" s="545"/>
      <c r="K109" s="545"/>
      <c r="L109" s="545"/>
      <c r="M109" s="546"/>
      <c r="N109" s="1264"/>
      <c r="O109" s="1264"/>
      <c r="P109" s="541"/>
      <c r="Q109" s="542"/>
    </row>
    <row r="110" spans="1:17" ht="15" thickTop="1">
      <c r="A110" s="582"/>
      <c r="B110" s="520">
        <f>B39</f>
        <v>111</v>
      </c>
      <c r="C110" s="536"/>
      <c r="D110" s="536"/>
      <c r="E110" s="536"/>
      <c r="F110" s="536"/>
      <c r="G110" s="536"/>
      <c r="H110" s="537"/>
      <c r="I110" s="537"/>
      <c r="J110" s="537"/>
      <c r="K110" s="537"/>
      <c r="L110" s="538"/>
      <c r="M110" s="539"/>
      <c r="N110" s="1262"/>
      <c r="O110" s="1262"/>
      <c r="P110" s="22"/>
      <c r="Q110" s="484"/>
    </row>
    <row r="111" spans="1:17" ht="15.75" thickBot="1">
      <c r="A111" s="515"/>
      <c r="B111" s="525"/>
      <c r="C111" s="543"/>
      <c r="D111" s="517"/>
      <c r="E111" s="517"/>
      <c r="F111" s="517"/>
      <c r="G111" s="543"/>
      <c r="H111" s="545"/>
      <c r="I111" s="545"/>
      <c r="J111" s="545"/>
      <c r="K111" s="545"/>
      <c r="L111" s="545"/>
      <c r="M111" s="546"/>
      <c r="N111" s="1263"/>
      <c r="O111" s="1263"/>
      <c r="P111" s="22"/>
      <c r="Q111" s="484"/>
    </row>
    <row r="112" spans="1:17" ht="15" thickTop="1">
      <c r="A112" s="582"/>
      <c r="B112" s="528">
        <f>B40</f>
        <v>111</v>
      </c>
      <c r="C112" s="503"/>
      <c r="D112" s="503"/>
      <c r="E112" s="503"/>
      <c r="F112" s="503"/>
      <c r="G112" s="570"/>
      <c r="H112" s="570"/>
      <c r="I112" s="570"/>
      <c r="J112" s="570"/>
      <c r="K112" s="503"/>
      <c r="L112" s="504"/>
      <c r="M112" s="573"/>
      <c r="N112" s="1262"/>
      <c r="O112" s="1262"/>
      <c r="P112" s="22"/>
      <c r="Q112" s="484"/>
    </row>
    <row r="113" spans="1:17" ht="15.75" thickBot="1">
      <c r="A113" s="2428"/>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2509</v>
      </c>
      <c r="B1" s="2476"/>
      <c r="C1" s="1724"/>
      <c r="D1" s="1725"/>
      <c r="E1" s="2379"/>
      <c r="F1" s="1726" t="s">
        <v>2341</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2009</v>
      </c>
      <c r="B2" s="1720" t="e">
        <f ca="1">IF(D2="——",IF(B37="元/平方米",IF(C2="元",ROUND(C39*D3,0),ROUND(C39*D3/10000,0)),IF(C2="元",ROUND(F3*C39,0),ROUND(F3*C39/10000,0))),IF(B37="元/平方米",IF(C2="元",ROUND(C39*D3,0),ROUND(C39*D3/10000,0)),IF(C2="元",ROUND(F3*C39,0),ROUND(F3*C39/10000,0)))-E2)</f>
        <v>#DIV/0!</v>
      </c>
      <c r="C2" s="162" t="str">
        <f>'数据-取费表'!B3</f>
        <v>元</v>
      </c>
      <c r="D2" s="2381"/>
      <c r="E2" s="1209" t="e">
        <f ca="1">SUMIF(INDIRECT("'"&amp;G2&amp;"'"&amp;"!A:A"),"承租人权益价值",INDIRECT("'"&amp;G2&amp;"'"&amp;"!c:c"))</f>
        <v>#REF!</v>
      </c>
      <c r="F2" s="2382" t="str">
        <f>C2</f>
        <v>元</v>
      </c>
      <c r="G2" s="2383"/>
      <c r="H2" s="979"/>
      <c r="I2" s="979"/>
      <c r="J2" s="979"/>
      <c r="K2" s="981"/>
      <c r="L2" s="1508"/>
      <c r="M2" s="745"/>
      <c r="N2" s="745"/>
      <c r="O2" s="745"/>
      <c r="P2" s="745"/>
      <c r="Q2" s="745"/>
      <c r="R2" s="745"/>
      <c r="S2" s="745"/>
      <c r="T2" s="745"/>
      <c r="U2" s="745"/>
      <c r="V2" s="745"/>
      <c r="W2" s="745"/>
      <c r="X2" s="745"/>
      <c r="Y2" s="745"/>
      <c r="Z2" s="745"/>
      <c r="AA2" s="745"/>
      <c r="AB2" s="745"/>
      <c r="AC2" s="746"/>
    </row>
    <row r="3" spans="1:29" s="376" customFormat="1" ht="28.5" customHeight="1" thickBot="1">
      <c r="A3" s="166" t="s">
        <v>2010</v>
      </c>
      <c r="B3" s="592" t="e">
        <f>IF(AND(D2="——",B37="元/平方米"),C39,ROUND(F3*C39/D3,0))</f>
        <v>#DIV/0!</v>
      </c>
      <c r="C3" s="378" t="s">
        <v>2342</v>
      </c>
      <c r="D3" s="377">
        <f>IF(C1="仅计算典型户型",'数据-取费表'!E5,'数据-取费表'!B5)</f>
        <v>103.71</v>
      </c>
      <c r="E3" s="1087" t="s">
        <v>2510</v>
      </c>
      <c r="F3" s="378">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9" t="s">
        <v>2343</v>
      </c>
      <c r="B4" s="380"/>
      <c r="C4" s="2993" t="s">
        <v>2344</v>
      </c>
      <c r="D4" s="2994"/>
      <c r="E4" s="2995" t="s">
        <v>2345</v>
      </c>
      <c r="F4" s="2996"/>
      <c r="G4" s="2993" t="s">
        <v>2346</v>
      </c>
      <c r="H4" s="2994"/>
      <c r="I4" s="2993" t="s">
        <v>2347</v>
      </c>
      <c r="J4" s="2994"/>
      <c r="K4" s="593" t="s">
        <v>2348</v>
      </c>
      <c r="L4" s="1509"/>
      <c r="M4" s="424"/>
      <c r="N4" s="424"/>
      <c r="O4" s="424"/>
      <c r="P4" s="2997" t="s">
        <v>2349</v>
      </c>
      <c r="Q4" s="2998"/>
      <c r="R4" s="3003" t="s">
        <v>2345</v>
      </c>
      <c r="S4" s="3004"/>
      <c r="T4" s="3003" t="s">
        <v>2346</v>
      </c>
      <c r="U4" s="3004"/>
      <c r="V4" s="3009" t="s">
        <v>2347</v>
      </c>
      <c r="W4" s="3009"/>
      <c r="X4" s="1895"/>
      <c r="Y4" s="3003" t="s">
        <v>2349</v>
      </c>
      <c r="Z4" s="3004"/>
      <c r="AA4" s="2990" t="s">
        <v>2345</v>
      </c>
      <c r="AB4" s="2991" t="s">
        <v>2346</v>
      </c>
      <c r="AC4" s="2990" t="s">
        <v>2347</v>
      </c>
    </row>
    <row r="5" spans="1:29" ht="15">
      <c r="A5" s="382"/>
      <c r="B5" s="383"/>
      <c r="C5" s="3012" t="s">
        <v>2350</v>
      </c>
      <c r="D5" s="3013"/>
      <c r="E5" s="3044" t="s">
        <v>2351</v>
      </c>
      <c r="F5" s="3011"/>
      <c r="G5" s="3012" t="s">
        <v>2352</v>
      </c>
      <c r="H5" s="3013"/>
      <c r="I5" s="3012" t="s">
        <v>2353</v>
      </c>
      <c r="J5" s="3013"/>
      <c r="K5" s="593"/>
      <c r="L5" s="1509"/>
      <c r="M5" s="424"/>
      <c r="N5" s="424"/>
      <c r="O5" s="424"/>
      <c r="P5" s="2999"/>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593" t="s">
        <v>2355</v>
      </c>
      <c r="L6" s="1509"/>
      <c r="M6" s="424"/>
      <c r="N6" s="424"/>
      <c r="O6" s="424"/>
      <c r="P6" s="3001"/>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25" t="s">
        <v>2357</v>
      </c>
      <c r="Q7" s="3027"/>
      <c r="R7" s="747" t="s">
        <v>25</v>
      </c>
      <c r="S7" s="748">
        <f t="shared" ref="S7:S14" si="0">F7</f>
        <v>0</v>
      </c>
      <c r="T7" s="747" t="s">
        <v>25</v>
      </c>
      <c r="U7" s="748">
        <f t="shared" ref="U7:U14" si="1">H7</f>
        <v>0</v>
      </c>
      <c r="V7" s="747" t="s">
        <v>25</v>
      </c>
      <c r="W7" s="748">
        <f t="shared" ref="W7:W14" si="2">J7</f>
        <v>0</v>
      </c>
      <c r="X7" s="749"/>
      <c r="Y7" s="3025" t="s">
        <v>2357</v>
      </c>
      <c r="Z7" s="3026"/>
      <c r="AA7" s="750" t="e">
        <f>D7/F7</f>
        <v>#DIV/0!</v>
      </c>
      <c r="AB7" s="750" t="e">
        <f>D7/H7</f>
        <v>#DIV/0!</v>
      </c>
      <c r="AC7" s="750" t="e">
        <f>D7/J7</f>
        <v>#DIV/0!</v>
      </c>
    </row>
    <row r="8" spans="1:29" s="35" customFormat="1" ht="15.75" thickBot="1">
      <c r="A8" s="386" t="s">
        <v>2358</v>
      </c>
      <c r="B8" s="387"/>
      <c r="C8" s="393" t="s">
        <v>2359</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25" t="s">
        <v>2360</v>
      </c>
      <c r="Q8" s="3026"/>
      <c r="R8" s="747" t="s">
        <v>25</v>
      </c>
      <c r="S8" s="748">
        <f t="shared" si="0"/>
        <v>0</v>
      </c>
      <c r="T8" s="747" t="s">
        <v>25</v>
      </c>
      <c r="U8" s="748">
        <f t="shared" si="1"/>
        <v>0</v>
      </c>
      <c r="V8" s="747" t="s">
        <v>25</v>
      </c>
      <c r="W8" s="748">
        <f t="shared" si="2"/>
        <v>0</v>
      </c>
      <c r="X8" s="749"/>
      <c r="Y8" s="3025" t="s">
        <v>2360</v>
      </c>
      <c r="Z8" s="3026"/>
      <c r="AA8" s="750" t="e">
        <f t="shared" ref="AA8:AA36" si="3">D8/F8</f>
        <v>#DIV/0!</v>
      </c>
      <c r="AB8" s="750" t="e">
        <f t="shared" ref="AB8:AB36" si="4">D8/H8</f>
        <v>#DIV/0!</v>
      </c>
      <c r="AC8" s="750" t="e">
        <f t="shared" ref="AC8:AC36" si="5">D8/J8</f>
        <v>#DIV/0!</v>
      </c>
    </row>
    <row r="9" spans="1:29" s="35" customFormat="1">
      <c r="A9" s="25" t="s">
        <v>2361</v>
      </c>
      <c r="B9" s="623" t="s">
        <v>2362</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29" t="s">
        <v>2363</v>
      </c>
      <c r="Q9" s="1882" t="str">
        <f t="shared" ref="Q9:Q14" si="6">B9</f>
        <v>用途</v>
      </c>
      <c r="R9" s="747" t="s">
        <v>25</v>
      </c>
      <c r="S9" s="748">
        <f t="shared" si="0"/>
        <v>100</v>
      </c>
      <c r="T9" s="747" t="s">
        <v>25</v>
      </c>
      <c r="U9" s="748">
        <f t="shared" si="1"/>
        <v>100</v>
      </c>
      <c r="V9" s="747" t="s">
        <v>25</v>
      </c>
      <c r="W9" s="748">
        <f t="shared" si="2"/>
        <v>100</v>
      </c>
      <c r="X9" s="749"/>
      <c r="Y9" s="2849" t="s">
        <v>2364</v>
      </c>
      <c r="Z9" s="23" t="str">
        <f t="shared" ref="Z9:Z14" si="7">Q9</f>
        <v>用途</v>
      </c>
      <c r="AA9" s="750">
        <f t="shared" si="3"/>
        <v>1</v>
      </c>
      <c r="AB9" s="750">
        <f t="shared" si="4"/>
        <v>1</v>
      </c>
      <c r="AC9" s="750">
        <f t="shared" si="5"/>
        <v>1</v>
      </c>
    </row>
    <row r="10" spans="1:29" s="406" customFormat="1" ht="27">
      <c r="A10" s="624"/>
      <c r="B10" s="625" t="s">
        <v>2365</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29"/>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6"/>
      <c r="P11" s="3029"/>
      <c r="Q11" s="1882">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29"/>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6"/>
      <c r="P13" s="3029"/>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85.5">
      <c r="A14" s="379" t="s">
        <v>2367</v>
      </c>
      <c r="B14" s="612" t="s">
        <v>2511</v>
      </c>
      <c r="C14" s="1475" t="str">
        <f>IF(B1="工业",估价对象房地状况!G4,估价对象房地状况!C6)</f>
        <v>估价对象周边道路状况、公共交通通达情况、停车便捷程度，综合评价交通便捷度较好</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6"/>
      <c r="P14" s="3018" t="s">
        <v>2368</v>
      </c>
      <c r="Q14" s="1894" t="str">
        <f t="shared" si="6"/>
        <v>交通便捷度</v>
      </c>
      <c r="R14" s="751" t="s">
        <v>25</v>
      </c>
      <c r="S14" s="752">
        <f t="shared" si="0"/>
        <v>100</v>
      </c>
      <c r="T14" s="751" t="s">
        <v>25</v>
      </c>
      <c r="U14" s="752">
        <f t="shared" si="1"/>
        <v>100</v>
      </c>
      <c r="V14" s="751" t="s">
        <v>25</v>
      </c>
      <c r="W14" s="752">
        <f t="shared" si="2"/>
        <v>100</v>
      </c>
      <c r="X14" s="1895"/>
      <c r="Y14" s="3018" t="s">
        <v>2368</v>
      </c>
      <c r="Z14" s="1897" t="str">
        <f t="shared" si="7"/>
        <v>交通便捷度</v>
      </c>
      <c r="AA14" s="1898">
        <f t="shared" si="3"/>
        <v>1</v>
      </c>
      <c r="AB14" s="1898">
        <f t="shared" si="4"/>
        <v>1</v>
      </c>
      <c r="AC14" s="1898">
        <f t="shared" si="5"/>
        <v>1</v>
      </c>
    </row>
    <row r="15" spans="1:29" ht="15">
      <c r="A15" s="382"/>
      <c r="B15" s="630"/>
      <c r="C15" s="1476"/>
      <c r="D15" s="1470"/>
      <c r="E15" s="425"/>
      <c r="F15" s="426"/>
      <c r="G15" s="1467"/>
      <c r="H15" s="429"/>
      <c r="I15" s="425"/>
      <c r="J15" s="426"/>
      <c r="K15" s="598"/>
      <c r="L15" s="1517"/>
      <c r="M15" s="424"/>
      <c r="N15" s="424"/>
      <c r="O15" s="1896"/>
      <c r="P15" s="3019"/>
      <c r="Q15" s="1894"/>
      <c r="R15" s="751"/>
      <c r="S15" s="752"/>
      <c r="T15" s="751"/>
      <c r="U15" s="752"/>
      <c r="V15" s="751"/>
      <c r="W15" s="752"/>
      <c r="X15" s="1895"/>
      <c r="Y15" s="3019"/>
      <c r="Z15" s="1897"/>
      <c r="AA15" s="1898">
        <v>1</v>
      </c>
      <c r="AB15" s="1898">
        <v>1</v>
      </c>
      <c r="AC15" s="1898">
        <v>1</v>
      </c>
    </row>
    <row r="16" spans="1:29" ht="42.75">
      <c r="A16" s="382"/>
      <c r="B16" s="614" t="s">
        <v>2483</v>
      </c>
      <c r="C16" s="1477" t="str">
        <f>IF(B1="工业",估价对象房地状况!G5,估价对象房地状况!C7)</f>
        <v>估价对象所在区域公共配套设施齐备情况</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6"/>
      <c r="P16" s="3019"/>
      <c r="Q16" s="1894" t="str">
        <f>B16</f>
        <v>公共配套设施</v>
      </c>
      <c r="R16" s="751" t="s">
        <v>25</v>
      </c>
      <c r="S16" s="752">
        <f>F16</f>
        <v>100</v>
      </c>
      <c r="T16" s="751" t="s">
        <v>25</v>
      </c>
      <c r="U16" s="752">
        <f>H16</f>
        <v>100</v>
      </c>
      <c r="V16" s="751" t="s">
        <v>25</v>
      </c>
      <c r="W16" s="752">
        <f>J16</f>
        <v>100</v>
      </c>
      <c r="X16" s="1895"/>
      <c r="Y16" s="3019"/>
      <c r="Z16" s="1897" t="str">
        <f>Q16</f>
        <v>公共配套设施</v>
      </c>
      <c r="AA16" s="1898">
        <f t="shared" si="3"/>
        <v>1</v>
      </c>
      <c r="AB16" s="1898">
        <f t="shared" si="4"/>
        <v>1</v>
      </c>
      <c r="AC16" s="1898">
        <f t="shared" si="5"/>
        <v>1</v>
      </c>
    </row>
    <row r="17" spans="1:29" ht="15">
      <c r="A17" s="382"/>
      <c r="B17" s="615"/>
      <c r="C17" s="1465"/>
      <c r="D17" s="1471"/>
      <c r="E17" s="427"/>
      <c r="F17" s="429"/>
      <c r="G17" s="427"/>
      <c r="H17" s="426"/>
      <c r="I17" s="427"/>
      <c r="J17" s="426"/>
      <c r="K17" s="598"/>
      <c r="L17" s="1517"/>
      <c r="M17" s="424"/>
      <c r="N17" s="424"/>
      <c r="O17" s="1896"/>
      <c r="P17" s="3019"/>
      <c r="Q17" s="1894"/>
      <c r="R17" s="751"/>
      <c r="S17" s="752"/>
      <c r="T17" s="751"/>
      <c r="U17" s="752"/>
      <c r="V17" s="751"/>
      <c r="W17" s="752"/>
      <c r="X17" s="1895"/>
      <c r="Y17" s="3019"/>
      <c r="Z17" s="1897"/>
      <c r="AA17" s="1898">
        <v>1</v>
      </c>
      <c r="AB17" s="1898">
        <v>1</v>
      </c>
      <c r="AC17" s="1898">
        <v>1</v>
      </c>
    </row>
    <row r="18" spans="1:29" ht="28.5">
      <c r="A18" s="382"/>
      <c r="B18" s="616" t="s">
        <v>2484</v>
      </c>
      <c r="C18" s="1477" t="str">
        <f>IF(B1="工业",估价对象房地状况!G6,估价对象房地状况!C8)</f>
        <v>估价对象所在区域基础设施水平</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6"/>
      <c r="P18" s="3019"/>
      <c r="Q18" s="1894" t="str">
        <f>B18</f>
        <v>基础设施水平</v>
      </c>
      <c r="R18" s="751" t="s">
        <v>25</v>
      </c>
      <c r="S18" s="752">
        <f>F18</f>
        <v>100</v>
      </c>
      <c r="T18" s="751" t="s">
        <v>25</v>
      </c>
      <c r="U18" s="752">
        <f>H18</f>
        <v>100</v>
      </c>
      <c r="V18" s="751" t="s">
        <v>25</v>
      </c>
      <c r="W18" s="752">
        <f>J18</f>
        <v>100</v>
      </c>
      <c r="X18" s="1895"/>
      <c r="Y18" s="3019"/>
      <c r="Z18" s="1897" t="str">
        <f>Q18</f>
        <v>基础设施水平</v>
      </c>
      <c r="AA18" s="1898">
        <f>D18/F18</f>
        <v>1</v>
      </c>
      <c r="AB18" s="1898">
        <f>D18/H18</f>
        <v>1</v>
      </c>
      <c r="AC18" s="1898">
        <f>D18/J18</f>
        <v>1</v>
      </c>
    </row>
    <row r="19" spans="1:29" ht="15">
      <c r="A19" s="382"/>
      <c r="B19" s="616"/>
      <c r="C19" s="1466"/>
      <c r="D19" s="1471"/>
      <c r="E19" s="1463"/>
      <c r="F19" s="429"/>
      <c r="G19" s="1463"/>
      <c r="H19" s="426"/>
      <c r="I19" s="427"/>
      <c r="J19" s="426"/>
      <c r="K19" s="1464"/>
      <c r="L19" s="1517"/>
      <c r="M19" s="424"/>
      <c r="N19" s="424"/>
      <c r="O19" s="1896"/>
      <c r="P19" s="3019"/>
      <c r="Q19" s="1894"/>
      <c r="R19" s="751"/>
      <c r="S19" s="752"/>
      <c r="T19" s="751"/>
      <c r="U19" s="752"/>
      <c r="V19" s="751"/>
      <c r="W19" s="752"/>
      <c r="X19" s="1895"/>
      <c r="Y19" s="3019"/>
      <c r="Z19" s="1897"/>
      <c r="AA19" s="1898">
        <v>1</v>
      </c>
      <c r="AB19" s="1898">
        <v>1</v>
      </c>
      <c r="AC19" s="1898">
        <v>1</v>
      </c>
    </row>
    <row r="20" spans="1:29" ht="57">
      <c r="A20" s="382"/>
      <c r="B20" s="614" t="s">
        <v>2512</v>
      </c>
      <c r="C20" s="1477" t="str">
        <f>IF(B1="工业",估价对象房地状况!G7,估价对象房地状况!C9)</f>
        <v>区域自然环境：；人文环境；综合评价环境状况一般</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6"/>
      <c r="P20" s="3019"/>
      <c r="Q20" s="1894" t="str">
        <f>B20</f>
        <v>自然及人文环境</v>
      </c>
      <c r="R20" s="751" t="s">
        <v>25</v>
      </c>
      <c r="S20" s="752">
        <f>F20</f>
        <v>100</v>
      </c>
      <c r="T20" s="751" t="s">
        <v>25</v>
      </c>
      <c r="U20" s="752">
        <f>H20</f>
        <v>100</v>
      </c>
      <c r="V20" s="751" t="s">
        <v>25</v>
      </c>
      <c r="W20" s="752">
        <f>J20</f>
        <v>100</v>
      </c>
      <c r="X20" s="1895"/>
      <c r="Y20" s="3019"/>
      <c r="Z20" s="1897" t="str">
        <f>Q20</f>
        <v>自然及人文环境</v>
      </c>
      <c r="AA20" s="1898">
        <f t="shared" si="3"/>
        <v>1</v>
      </c>
      <c r="AB20" s="1898">
        <f t="shared" si="4"/>
        <v>1</v>
      </c>
      <c r="AC20" s="1898">
        <f t="shared" si="5"/>
        <v>1</v>
      </c>
    </row>
    <row r="21" spans="1:29" ht="15">
      <c r="A21" s="382"/>
      <c r="B21" s="615"/>
      <c r="C21" s="1476"/>
      <c r="D21" s="1470"/>
      <c r="E21" s="425"/>
      <c r="F21" s="426"/>
      <c r="G21" s="1467"/>
      <c r="H21" s="426"/>
      <c r="I21" s="425"/>
      <c r="J21" s="426"/>
      <c r="K21" s="598"/>
      <c r="L21" s="1517"/>
      <c r="M21" s="424"/>
      <c r="N21" s="424"/>
      <c r="O21" s="1896"/>
      <c r="P21" s="3019"/>
      <c r="Q21" s="1894"/>
      <c r="R21" s="751"/>
      <c r="S21" s="752"/>
      <c r="T21" s="751"/>
      <c r="U21" s="752"/>
      <c r="V21" s="751"/>
      <c r="W21" s="752"/>
      <c r="X21" s="1895"/>
      <c r="Y21" s="3019"/>
      <c r="Z21" s="1897"/>
      <c r="AA21" s="1898">
        <v>1</v>
      </c>
      <c r="AB21" s="1898">
        <v>1</v>
      </c>
      <c r="AC21" s="1898">
        <v>1</v>
      </c>
    </row>
    <row r="22" spans="1:29" ht="15">
      <c r="A22" s="382"/>
      <c r="B22" s="614" t="s">
        <v>2513</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6"/>
      <c r="P22" s="3019"/>
      <c r="Q22" s="1894" t="str">
        <f>B22</f>
        <v>楼层</v>
      </c>
      <c r="R22" s="751" t="s">
        <v>25</v>
      </c>
      <c r="S22" s="752">
        <f>F22</f>
        <v>100</v>
      </c>
      <c r="T22" s="751" t="s">
        <v>25</v>
      </c>
      <c r="U22" s="752">
        <f>H22</f>
        <v>100</v>
      </c>
      <c r="V22" s="751" t="s">
        <v>25</v>
      </c>
      <c r="W22" s="752">
        <f>J22</f>
        <v>100</v>
      </c>
      <c r="X22" s="1895"/>
      <c r="Y22" s="3019"/>
      <c r="Z22" s="1897" t="str">
        <f>Q22</f>
        <v>楼层</v>
      </c>
      <c r="AA22" s="1898">
        <f t="shared" si="3"/>
        <v>1</v>
      </c>
      <c r="AB22" s="1898">
        <f t="shared" si="4"/>
        <v>1</v>
      </c>
      <c r="AC22" s="1898">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6"/>
      <c r="P23" s="3019"/>
      <c r="Q23" s="1894">
        <f>B23</f>
        <v>111</v>
      </c>
      <c r="R23" s="751" t="s">
        <v>25</v>
      </c>
      <c r="S23" s="752">
        <f>F23</f>
        <v>100</v>
      </c>
      <c r="T23" s="751" t="s">
        <v>25</v>
      </c>
      <c r="U23" s="752">
        <f>H23</f>
        <v>100</v>
      </c>
      <c r="V23" s="751" t="s">
        <v>25</v>
      </c>
      <c r="W23" s="752">
        <f>J23</f>
        <v>100</v>
      </c>
      <c r="X23" s="1895"/>
      <c r="Y23" s="3019"/>
      <c r="Z23" s="1897">
        <f>Q23</f>
        <v>111</v>
      </c>
      <c r="AA23" s="1898">
        <f t="shared" si="3"/>
        <v>1</v>
      </c>
      <c r="AB23" s="1898">
        <f t="shared" si="4"/>
        <v>1</v>
      </c>
      <c r="AC23" s="1898">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6"/>
      <c r="P24" s="3019"/>
      <c r="Q24" s="1894">
        <f t="shared" ref="Q24:Q36" si="8">B24</f>
        <v>111</v>
      </c>
      <c r="R24" s="751" t="s">
        <v>25</v>
      </c>
      <c r="S24" s="752">
        <f>F24</f>
        <v>100</v>
      </c>
      <c r="T24" s="751" t="s">
        <v>25</v>
      </c>
      <c r="U24" s="752">
        <f>H24</f>
        <v>100</v>
      </c>
      <c r="V24" s="751" t="s">
        <v>25</v>
      </c>
      <c r="W24" s="752">
        <f>J24</f>
        <v>100</v>
      </c>
      <c r="X24" s="1895"/>
      <c r="Y24" s="3019"/>
      <c r="Z24" s="1897">
        <f>Q24</f>
        <v>111</v>
      </c>
      <c r="AA24" s="1898">
        <f t="shared" si="3"/>
        <v>1</v>
      </c>
      <c r="AB24" s="1898">
        <f t="shared" si="4"/>
        <v>1</v>
      </c>
      <c r="AC24" s="1898">
        <f t="shared" si="5"/>
        <v>1</v>
      </c>
    </row>
    <row r="25" spans="1:29" s="35" customFormat="1" ht="15.75"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19"/>
      <c r="Q25" s="1882">
        <f t="shared" si="8"/>
        <v>111</v>
      </c>
      <c r="R25" s="747" t="s">
        <v>25</v>
      </c>
      <c r="S25" s="748">
        <f>F25</f>
        <v>100</v>
      </c>
      <c r="T25" s="747" t="s">
        <v>25</v>
      </c>
      <c r="U25" s="748">
        <f>H25</f>
        <v>100</v>
      </c>
      <c r="V25" s="747" t="s">
        <v>25</v>
      </c>
      <c r="W25" s="748">
        <f>J25</f>
        <v>100</v>
      </c>
      <c r="X25" s="749"/>
      <c r="Y25" s="3019"/>
      <c r="Z25" s="23">
        <f>Q25</f>
        <v>111</v>
      </c>
      <c r="AA25" s="1898">
        <f>D25/F25</f>
        <v>1</v>
      </c>
      <c r="AB25" s="1898">
        <f>D25/H25</f>
        <v>1</v>
      </c>
      <c r="AC25" s="1898">
        <f>D25/J25</f>
        <v>1</v>
      </c>
    </row>
    <row r="26" spans="1:29" ht="15">
      <c r="A26" s="634" t="s">
        <v>2372</v>
      </c>
      <c r="B26" s="27" t="s">
        <v>2514</v>
      </c>
      <c r="C26" s="2477"/>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6"/>
      <c r="P26" s="3052" t="s">
        <v>2374</v>
      </c>
      <c r="Q26" s="1894" t="str">
        <f t="shared" si="8"/>
        <v>配套类型</v>
      </c>
      <c r="R26" s="751" t="s">
        <v>25</v>
      </c>
      <c r="S26" s="752">
        <f t="shared" ref="S26:S36" si="9">F26</f>
        <v>100</v>
      </c>
      <c r="T26" s="751" t="s">
        <v>25</v>
      </c>
      <c r="U26" s="752">
        <f t="shared" ref="U26:U36" si="10">H26</f>
        <v>100</v>
      </c>
      <c r="V26" s="751" t="s">
        <v>25</v>
      </c>
      <c r="W26" s="752">
        <f t="shared" ref="W26:W36" si="11">J26</f>
        <v>100</v>
      </c>
      <c r="X26" s="1895"/>
      <c r="Y26" s="3023" t="s">
        <v>2374</v>
      </c>
      <c r="Z26" s="1897" t="str">
        <f t="shared" ref="Z26:Z36" si="12">Q26</f>
        <v>配套类型</v>
      </c>
      <c r="AA26" s="1898">
        <f t="shared" si="3"/>
        <v>1</v>
      </c>
      <c r="AB26" s="1898">
        <f t="shared" si="4"/>
        <v>1</v>
      </c>
      <c r="AC26" s="1898">
        <f t="shared" si="5"/>
        <v>1</v>
      </c>
    </row>
    <row r="27" spans="1:29" s="451" customFormat="1" ht="15">
      <c r="A27" s="635"/>
      <c r="B27" s="636" t="s">
        <v>2515</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23"/>
      <c r="Q27" s="753" t="str">
        <f t="shared" si="8"/>
        <v>项目停车位配比</v>
      </c>
      <c r="R27" s="754" t="s">
        <v>25</v>
      </c>
      <c r="S27" s="755">
        <f t="shared" si="9"/>
        <v>100</v>
      </c>
      <c r="T27" s="754" t="s">
        <v>25</v>
      </c>
      <c r="U27" s="755">
        <f t="shared" si="10"/>
        <v>100</v>
      </c>
      <c r="V27" s="754" t="s">
        <v>25</v>
      </c>
      <c r="W27" s="755">
        <f t="shared" si="11"/>
        <v>100</v>
      </c>
      <c r="X27" s="756"/>
      <c r="Y27" s="3023"/>
      <c r="Z27" s="757" t="str">
        <f t="shared" si="12"/>
        <v>项目停车位配比</v>
      </c>
      <c r="AA27" s="1898">
        <f t="shared" si="3"/>
        <v>1</v>
      </c>
      <c r="AB27" s="1898">
        <f t="shared" si="4"/>
        <v>1</v>
      </c>
      <c r="AC27" s="1898">
        <f t="shared" si="5"/>
        <v>1</v>
      </c>
    </row>
    <row r="28" spans="1:29" ht="15">
      <c r="A28" s="638"/>
      <c r="B28" s="636" t="s">
        <v>2516</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6"/>
      <c r="P28" s="3023"/>
      <c r="Q28" s="1894" t="str">
        <f t="shared" si="8"/>
        <v>公共部分装修</v>
      </c>
      <c r="R28" s="751" t="s">
        <v>25</v>
      </c>
      <c r="S28" s="752">
        <f t="shared" si="9"/>
        <v>100</v>
      </c>
      <c r="T28" s="751" t="s">
        <v>25</v>
      </c>
      <c r="U28" s="752">
        <f t="shared" si="10"/>
        <v>100</v>
      </c>
      <c r="V28" s="751" t="s">
        <v>25</v>
      </c>
      <c r="W28" s="752">
        <f t="shared" si="11"/>
        <v>100</v>
      </c>
      <c r="X28" s="1895"/>
      <c r="Y28" s="3023"/>
      <c r="Z28" s="1897" t="str">
        <f t="shared" si="12"/>
        <v>公共部分装修</v>
      </c>
      <c r="AA28" s="1898">
        <f t="shared" si="3"/>
        <v>1</v>
      </c>
      <c r="AB28" s="1898">
        <f t="shared" si="4"/>
        <v>1</v>
      </c>
      <c r="AC28" s="1898">
        <f t="shared" si="5"/>
        <v>1</v>
      </c>
    </row>
    <row r="29" spans="1:29" ht="15">
      <c r="A29" s="638"/>
      <c r="B29" s="636" t="s">
        <v>2517</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6"/>
      <c r="P29" s="3023"/>
      <c r="Q29" s="1894" t="str">
        <f t="shared" si="8"/>
        <v>成新率</v>
      </c>
      <c r="R29" s="751" t="s">
        <v>25</v>
      </c>
      <c r="S29" s="752" t="e">
        <f t="shared" si="9"/>
        <v>#N/A</v>
      </c>
      <c r="T29" s="751" t="s">
        <v>25</v>
      </c>
      <c r="U29" s="752" t="e">
        <f t="shared" si="10"/>
        <v>#N/A</v>
      </c>
      <c r="V29" s="751" t="s">
        <v>25</v>
      </c>
      <c r="W29" s="752" t="e">
        <f t="shared" si="11"/>
        <v>#N/A</v>
      </c>
      <c r="X29" s="1895"/>
      <c r="Y29" s="3023"/>
      <c r="Z29" s="1897" t="str">
        <f t="shared" si="12"/>
        <v>成新率</v>
      </c>
      <c r="AA29" s="1898" t="e">
        <f t="shared" si="3"/>
        <v>#N/A</v>
      </c>
      <c r="AB29" s="1898" t="e">
        <f t="shared" si="4"/>
        <v>#N/A</v>
      </c>
      <c r="AC29" s="1898" t="e">
        <f t="shared" si="5"/>
        <v>#N/A</v>
      </c>
    </row>
    <row r="30" spans="1:29" ht="15">
      <c r="A30" s="638"/>
      <c r="B30" s="636" t="s">
        <v>2518</v>
      </c>
      <c r="C30" s="639"/>
      <c r="D30" s="414">
        <v>100</v>
      </c>
      <c r="E30" s="639"/>
      <c r="F30" s="441">
        <f>SUMIF(88:88,E30,89:89)-SUMIF(88:88,C30,89:89)+100</f>
        <v>100</v>
      </c>
      <c r="G30" s="639"/>
      <c r="H30" s="414">
        <f>SUMIF(88:88,E30,89:89)-SUMIF(88:88,C30,89:89)+100</f>
        <v>100</v>
      </c>
      <c r="I30" s="639"/>
      <c r="J30" s="414">
        <f>SUMIF(88:88,E30,89:89)-SUMIF(88:88,C30,89:89)+100</f>
        <v>100</v>
      </c>
      <c r="K30" s="595"/>
      <c r="L30" s="1517"/>
      <c r="M30" s="424"/>
      <c r="N30" s="424"/>
      <c r="O30" s="1896"/>
      <c r="P30" s="3023"/>
      <c r="Q30" s="1894" t="str">
        <f t="shared" si="8"/>
        <v>物业等级</v>
      </c>
      <c r="R30" s="751" t="s">
        <v>25</v>
      </c>
      <c r="S30" s="752">
        <f t="shared" si="9"/>
        <v>100</v>
      </c>
      <c r="T30" s="751" t="s">
        <v>25</v>
      </c>
      <c r="U30" s="752">
        <f t="shared" si="10"/>
        <v>100</v>
      </c>
      <c r="V30" s="751" t="s">
        <v>25</v>
      </c>
      <c r="W30" s="752">
        <f t="shared" si="11"/>
        <v>100</v>
      </c>
      <c r="X30" s="1895"/>
      <c r="Y30" s="3023"/>
      <c r="Z30" s="1897" t="str">
        <f t="shared" si="12"/>
        <v>物业等级</v>
      </c>
      <c r="AA30" s="1898">
        <f t="shared" si="3"/>
        <v>1</v>
      </c>
      <c r="AB30" s="1898">
        <f t="shared" si="4"/>
        <v>1</v>
      </c>
      <c r="AC30" s="1898">
        <f t="shared" si="5"/>
        <v>1</v>
      </c>
    </row>
    <row r="31" spans="1:29" s="35" customFormat="1" ht="15">
      <c r="A31" s="640"/>
      <c r="B31" s="636" t="s">
        <v>2519</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23"/>
      <c r="Q31" s="1882" t="str">
        <f t="shared" si="8"/>
        <v>停车位面积</v>
      </c>
      <c r="R31" s="747" t="s">
        <v>25</v>
      </c>
      <c r="S31" s="748" t="e">
        <f t="shared" si="9"/>
        <v>#N/A</v>
      </c>
      <c r="T31" s="747" t="s">
        <v>25</v>
      </c>
      <c r="U31" s="748" t="e">
        <f t="shared" si="10"/>
        <v>#N/A</v>
      </c>
      <c r="V31" s="747" t="s">
        <v>25</v>
      </c>
      <c r="W31" s="748" t="e">
        <f t="shared" si="11"/>
        <v>#N/A</v>
      </c>
      <c r="X31" s="749"/>
      <c r="Y31" s="3023"/>
      <c r="Z31" s="23" t="str">
        <f t="shared" si="12"/>
        <v>停车位面积</v>
      </c>
      <c r="AA31" s="750" t="e">
        <f t="shared" si="3"/>
        <v>#N/A</v>
      </c>
      <c r="AB31" s="750" t="e">
        <f t="shared" si="4"/>
        <v>#N/A</v>
      </c>
      <c r="AC31" s="750" t="e">
        <f t="shared" si="5"/>
        <v>#N/A</v>
      </c>
    </row>
    <row r="32" spans="1:29" ht="15">
      <c r="A32" s="638"/>
      <c r="B32" s="636" t="s">
        <v>2520</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6"/>
      <c r="P32" s="3023" t="s">
        <v>2374</v>
      </c>
      <c r="Q32" s="1894" t="str">
        <f t="shared" si="8"/>
        <v>车位类型</v>
      </c>
      <c r="R32" s="751" t="s">
        <v>25</v>
      </c>
      <c r="S32" s="752">
        <f t="shared" si="9"/>
        <v>100</v>
      </c>
      <c r="T32" s="751" t="s">
        <v>25</v>
      </c>
      <c r="U32" s="752">
        <f t="shared" si="10"/>
        <v>100</v>
      </c>
      <c r="V32" s="751" t="s">
        <v>25</v>
      </c>
      <c r="W32" s="752">
        <f t="shared" si="11"/>
        <v>100</v>
      </c>
      <c r="X32" s="1895"/>
      <c r="Y32" s="3023" t="s">
        <v>2374</v>
      </c>
      <c r="Z32" s="1897" t="str">
        <f t="shared" si="12"/>
        <v>车位类型</v>
      </c>
      <c r="AA32" s="1898">
        <f t="shared" si="3"/>
        <v>1</v>
      </c>
      <c r="AB32" s="1898">
        <f t="shared" si="4"/>
        <v>1</v>
      </c>
      <c r="AC32" s="1898">
        <f t="shared" si="5"/>
        <v>1</v>
      </c>
    </row>
    <row r="33" spans="1:29" ht="15">
      <c r="A33" s="638"/>
      <c r="B33" s="636" t="s">
        <v>2521</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6"/>
      <c r="P33" s="3023"/>
      <c r="Q33" s="1894" t="str">
        <f t="shared" si="8"/>
        <v>是否直接入户</v>
      </c>
      <c r="R33" s="751" t="s">
        <v>25</v>
      </c>
      <c r="S33" s="752">
        <f t="shared" si="9"/>
        <v>100</v>
      </c>
      <c r="T33" s="751" t="s">
        <v>25</v>
      </c>
      <c r="U33" s="752">
        <f t="shared" si="10"/>
        <v>100</v>
      </c>
      <c r="V33" s="751" t="s">
        <v>25</v>
      </c>
      <c r="W33" s="752">
        <f t="shared" si="11"/>
        <v>100</v>
      </c>
      <c r="X33" s="1895"/>
      <c r="Y33" s="3023"/>
      <c r="Z33" s="1897" t="str">
        <f t="shared" si="12"/>
        <v>是否直接入户</v>
      </c>
      <c r="AA33" s="1898">
        <f t="shared" si="3"/>
        <v>1</v>
      </c>
      <c r="AB33" s="1898">
        <f t="shared" si="4"/>
        <v>1</v>
      </c>
      <c r="AC33" s="1898">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6"/>
      <c r="P34" s="3023"/>
      <c r="Q34" s="1894">
        <f t="shared" si="8"/>
        <v>111</v>
      </c>
      <c r="R34" s="751" t="s">
        <v>25</v>
      </c>
      <c r="S34" s="752">
        <f t="shared" si="9"/>
        <v>100</v>
      </c>
      <c r="T34" s="751" t="s">
        <v>25</v>
      </c>
      <c r="U34" s="752">
        <f t="shared" si="10"/>
        <v>100</v>
      </c>
      <c r="V34" s="751" t="s">
        <v>25</v>
      </c>
      <c r="W34" s="752">
        <f t="shared" si="11"/>
        <v>100</v>
      </c>
      <c r="X34" s="1895"/>
      <c r="Y34" s="3023"/>
      <c r="Z34" s="1897">
        <f t="shared" si="12"/>
        <v>111</v>
      </c>
      <c r="AA34" s="1898">
        <f t="shared" si="3"/>
        <v>1</v>
      </c>
      <c r="AB34" s="1898">
        <f t="shared" si="4"/>
        <v>1</v>
      </c>
      <c r="AC34" s="1898">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23"/>
      <c r="Q35" s="753">
        <f t="shared" si="8"/>
        <v>111</v>
      </c>
      <c r="R35" s="754" t="s">
        <v>25</v>
      </c>
      <c r="S35" s="755">
        <f t="shared" si="9"/>
        <v>100</v>
      </c>
      <c r="T35" s="754" t="s">
        <v>25</v>
      </c>
      <c r="U35" s="755">
        <f t="shared" si="10"/>
        <v>100</v>
      </c>
      <c r="V35" s="754" t="s">
        <v>25</v>
      </c>
      <c r="W35" s="755">
        <f t="shared" si="11"/>
        <v>100</v>
      </c>
      <c r="X35" s="756"/>
      <c r="Y35" s="3023"/>
      <c r="Z35" s="757">
        <f t="shared" si="12"/>
        <v>111</v>
      </c>
      <c r="AA35" s="1898">
        <f t="shared" si="3"/>
        <v>1</v>
      </c>
      <c r="AB35" s="1898">
        <f t="shared" si="4"/>
        <v>1</v>
      </c>
      <c r="AC35" s="1898">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6"/>
      <c r="P36" s="3023"/>
      <c r="Q36" s="1894">
        <f t="shared" si="8"/>
        <v>111</v>
      </c>
      <c r="R36" s="751" t="s">
        <v>25</v>
      </c>
      <c r="S36" s="752">
        <f t="shared" si="9"/>
        <v>100</v>
      </c>
      <c r="T36" s="751" t="s">
        <v>25</v>
      </c>
      <c r="U36" s="752">
        <f t="shared" si="10"/>
        <v>100</v>
      </c>
      <c r="V36" s="751" t="s">
        <v>25</v>
      </c>
      <c r="W36" s="752">
        <f t="shared" si="11"/>
        <v>100</v>
      </c>
      <c r="X36" s="1895"/>
      <c r="Y36" s="3023"/>
      <c r="Z36" s="1897">
        <f t="shared" si="12"/>
        <v>111</v>
      </c>
      <c r="AA36" s="1898">
        <f t="shared" si="3"/>
        <v>1</v>
      </c>
      <c r="AB36" s="1898">
        <f t="shared" si="4"/>
        <v>1</v>
      </c>
      <c r="AC36" s="1898">
        <f t="shared" si="5"/>
        <v>1</v>
      </c>
    </row>
    <row r="37" spans="1:29" ht="15">
      <c r="A37" s="459" t="s">
        <v>2522</v>
      </c>
      <c r="B37" s="1088" t="s">
        <v>2523</v>
      </c>
      <c r="C37" s="1497" t="s">
        <v>1</v>
      </c>
      <c r="D37" s="1498"/>
      <c r="E37" s="1499"/>
      <c r="F37" s="1500"/>
      <c r="G37" s="1501"/>
      <c r="H37" s="1502"/>
      <c r="I37" s="1499"/>
      <c r="J37" s="1502"/>
      <c r="K37" s="602"/>
      <c r="L37" s="1520"/>
      <c r="M37" s="736"/>
      <c r="N37" s="424"/>
      <c r="O37" s="736"/>
      <c r="P37" s="3029" t="str">
        <f>A37</f>
        <v>成交单价</v>
      </c>
      <c r="Q37" s="3029"/>
      <c r="R37" s="3030">
        <f>E37</f>
        <v>0</v>
      </c>
      <c r="S37" s="3030"/>
      <c r="T37" s="3030">
        <f>G37</f>
        <v>0</v>
      </c>
      <c r="U37" s="3030"/>
      <c r="V37" s="3030">
        <f>I37</f>
        <v>0</v>
      </c>
      <c r="W37" s="3030"/>
      <c r="X37" s="736"/>
      <c r="Y37" s="758"/>
      <c r="Z37" s="736"/>
      <c r="AA37" s="736"/>
      <c r="AB37" s="736"/>
      <c r="AC37" s="736"/>
    </row>
    <row r="38" spans="1:29" ht="15.75" thickBot="1">
      <c r="A38" s="466" t="s">
        <v>2524</v>
      </c>
      <c r="B38" s="467" t="str">
        <f>B37</f>
        <v>元/平方米</v>
      </c>
      <c r="C38" s="1503" t="e">
        <f>R39</f>
        <v>#DIV/0!</v>
      </c>
      <c r="D38" s="1504"/>
      <c r="E38" s="1505" t="e">
        <f>R38</f>
        <v>#DIV/0!</v>
      </c>
      <c r="F38" s="1505"/>
      <c r="G38" s="1503" t="e">
        <f>T38</f>
        <v>#DIV/0!</v>
      </c>
      <c r="H38" s="1504"/>
      <c r="I38" s="1505" t="e">
        <f>V38</f>
        <v>#DIV/0!</v>
      </c>
      <c r="J38" s="1504"/>
      <c r="K38" s="603"/>
      <c r="L38" s="1520"/>
      <c r="M38" s="736"/>
      <c r="N38" s="736"/>
      <c r="O38" s="736"/>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6"/>
      <c r="Y38" s="736"/>
      <c r="Z38" s="736"/>
      <c r="AA38" s="736"/>
      <c r="AB38" s="736"/>
      <c r="AC38" s="736"/>
    </row>
    <row r="39" spans="1:29" ht="15.75" thickBot="1">
      <c r="A39" s="472" t="s">
        <v>2525</v>
      </c>
      <c r="B39" s="473"/>
      <c r="C39" s="1507" t="e">
        <f>R39</f>
        <v>#DIV/0!</v>
      </c>
      <c r="D39" s="1507"/>
      <c r="E39" s="1507"/>
      <c r="F39" s="1507"/>
      <c r="G39" s="1507"/>
      <c r="H39" s="1507"/>
      <c r="I39" s="1507"/>
      <c r="J39" s="1507"/>
      <c r="K39" s="604"/>
      <c r="L39" s="1520"/>
      <c r="M39" s="736"/>
      <c r="N39" s="736"/>
      <c r="O39" s="736"/>
      <c r="P39" s="3035" t="str">
        <f>A39</f>
        <v>估价对象XX用房的比较价值（楼面单价，元/平方米）</v>
      </c>
      <c r="Q39" s="3036"/>
      <c r="R39" s="3037" t="e">
        <f>IF(E1="售价",ROUND(AVERAGE(R38:V38),0),ROUND(AVERAGE(R38:V38),1))</f>
        <v>#DIV/0!</v>
      </c>
      <c r="S39" s="3037"/>
      <c r="T39" s="3037"/>
      <c r="U39" s="3037"/>
      <c r="V39" s="3037"/>
      <c r="W39" s="3037"/>
      <c r="X39" s="736"/>
      <c r="Y39" s="736"/>
      <c r="Z39" s="736"/>
      <c r="AA39" s="736"/>
      <c r="AB39" s="736"/>
      <c r="AC39" s="736"/>
    </row>
    <row r="40" spans="1:29">
      <c r="A40" s="1252"/>
      <c r="B40" s="1252"/>
      <c r="C40" s="1252"/>
      <c r="D40" s="1252"/>
      <c r="E40" s="1252"/>
      <c r="F40" s="1252"/>
      <c r="G40" s="1256"/>
      <c r="H40" s="1252"/>
      <c r="I40" s="1252"/>
      <c r="J40" s="1252"/>
      <c r="K40" s="1257"/>
      <c r="L40" s="1521"/>
      <c r="M40" s="736"/>
      <c r="N40" s="736"/>
      <c r="O40" s="736"/>
      <c r="P40" s="736"/>
      <c r="Q40" s="736"/>
      <c r="R40" s="736"/>
      <c r="S40" s="736"/>
      <c r="T40" s="736"/>
      <c r="U40" s="736"/>
      <c r="V40" s="736"/>
      <c r="W40" s="736"/>
      <c r="X40" s="736"/>
      <c r="Y40" s="736"/>
      <c r="Z40" s="736"/>
      <c r="AA40" s="736"/>
      <c r="AB40" s="736"/>
      <c r="AC40" s="736"/>
    </row>
    <row r="41" spans="1:29">
      <c r="A41" s="1252"/>
      <c r="B41" s="1252"/>
      <c r="C41" s="1252"/>
      <c r="D41" s="1252"/>
      <c r="E41" s="1252"/>
      <c r="F41" s="1252"/>
      <c r="G41" s="1252"/>
      <c r="H41" s="1252"/>
      <c r="I41" s="1252"/>
      <c r="J41" s="1252"/>
      <c r="K41" s="1257"/>
      <c r="L41" s="1521"/>
      <c r="M41" s="736"/>
      <c r="N41" s="736"/>
      <c r="O41" s="736"/>
      <c r="P41" s="736"/>
      <c r="Q41" s="736"/>
      <c r="R41" s="736"/>
      <c r="S41" s="736"/>
      <c r="T41" s="736"/>
      <c r="U41" s="736"/>
      <c r="V41" s="736"/>
      <c r="W41" s="736"/>
      <c r="X41" s="736"/>
      <c r="Y41" s="736"/>
      <c r="Z41" s="736"/>
      <c r="AA41" s="736"/>
      <c r="AB41" s="736"/>
      <c r="AC41" s="736"/>
    </row>
    <row r="42" spans="1:29" ht="13.5" customHeight="1">
      <c r="A42" s="1252"/>
      <c r="B42" s="1252"/>
      <c r="C42" s="477" t="s">
        <v>2526</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6"/>
      <c r="N42" s="736"/>
      <c r="O42" s="736"/>
      <c r="P42" s="736"/>
      <c r="Q42" s="736"/>
      <c r="R42" s="736"/>
      <c r="S42" s="736"/>
      <c r="T42" s="736"/>
      <c r="U42" s="736"/>
      <c r="V42" s="736"/>
      <c r="W42" s="736"/>
      <c r="X42" s="736"/>
      <c r="Y42" s="736"/>
      <c r="Z42" s="736"/>
      <c r="AA42" s="736"/>
      <c r="AB42" s="736"/>
      <c r="AC42" s="736"/>
    </row>
    <row r="43" spans="1:29" ht="13.5" customHeight="1">
      <c r="A43" s="1252"/>
      <c r="B43" s="1252"/>
      <c r="C43" s="477" t="s">
        <v>2527</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6"/>
      <c r="N43" s="736"/>
      <c r="O43" s="736"/>
      <c r="P43" s="736"/>
      <c r="Q43" s="736"/>
      <c r="R43" s="736"/>
      <c r="S43" s="736"/>
      <c r="T43" s="736"/>
      <c r="U43" s="736"/>
      <c r="V43" s="736"/>
      <c r="W43" s="736"/>
      <c r="X43" s="736"/>
      <c r="Y43" s="736"/>
      <c r="Z43" s="736"/>
      <c r="AA43" s="736"/>
      <c r="AB43" s="736"/>
      <c r="AC43" s="736"/>
    </row>
    <row r="44" spans="1:29" s="482" customFormat="1" ht="13.5" customHeight="1">
      <c r="A44" s="1254"/>
      <c r="B44" s="1254"/>
      <c r="C44" s="477" t="s">
        <v>2528</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8"/>
      <c r="N44" s="738"/>
      <c r="O44" s="738"/>
      <c r="P44" s="738"/>
      <c r="Q44" s="738"/>
      <c r="R44" s="738"/>
      <c r="S44" s="738"/>
      <c r="T44" s="738"/>
      <c r="U44" s="738"/>
      <c r="V44" s="738"/>
      <c r="W44" s="738"/>
      <c r="X44" s="738"/>
      <c r="Y44" s="738"/>
      <c r="Z44" s="738"/>
      <c r="AA44" s="738"/>
      <c r="AB44" s="738"/>
      <c r="AC44" s="738"/>
    </row>
    <row r="45" spans="1:29" s="482" customFormat="1">
      <c r="A45" s="1254"/>
      <c r="B45" s="1255"/>
      <c r="C45" s="1260"/>
      <c r="D45" s="1254"/>
      <c r="E45" s="1254"/>
      <c r="F45" s="1254"/>
      <c r="G45" s="1254"/>
      <c r="H45" s="1254"/>
      <c r="I45" s="1254"/>
      <c r="J45" s="1254"/>
      <c r="K45" s="1258"/>
      <c r="L45" s="1522"/>
      <c r="M45" s="738"/>
      <c r="N45" s="738"/>
      <c r="O45" s="738"/>
      <c r="P45" s="738"/>
      <c r="Q45" s="738"/>
      <c r="R45" s="738"/>
      <c r="S45" s="738"/>
      <c r="T45" s="738"/>
      <c r="U45" s="738"/>
      <c r="V45" s="738"/>
      <c r="W45" s="738"/>
      <c r="X45" s="738"/>
      <c r="Y45" s="738"/>
      <c r="Z45" s="738"/>
      <c r="AA45" s="738"/>
      <c r="AB45" s="738"/>
      <c r="AC45" s="738"/>
    </row>
    <row r="46" spans="1:29">
      <c r="A46" s="1252"/>
      <c r="B46" s="1255"/>
      <c r="C46" s="1260"/>
      <c r="D46" s="1252"/>
      <c r="E46" s="1252"/>
      <c r="F46" s="1252"/>
      <c r="G46" s="1252"/>
      <c r="H46" s="1252"/>
      <c r="I46" s="1252"/>
      <c r="J46" s="1252"/>
      <c r="K46" s="1257"/>
      <c r="L46" s="1521"/>
      <c r="M46" s="736"/>
      <c r="N46" s="736"/>
      <c r="O46" s="736"/>
      <c r="P46" s="736"/>
      <c r="Q46" s="736"/>
      <c r="R46" s="736"/>
      <c r="S46" s="736"/>
      <c r="T46" s="736"/>
      <c r="U46" s="736"/>
      <c r="V46" s="736"/>
      <c r="W46" s="736"/>
      <c r="X46" s="736"/>
      <c r="Y46" s="736"/>
      <c r="Z46" s="736"/>
      <c r="AA46" s="736"/>
      <c r="AB46" s="736"/>
      <c r="AC46" s="736"/>
    </row>
    <row r="47" spans="1:29" ht="21.75" thickBot="1">
      <c r="A47" s="1524" t="s">
        <v>2529</v>
      </c>
      <c r="B47" s="1252"/>
      <c r="C47" s="1268"/>
      <c r="D47" s="1268"/>
      <c r="E47" s="1268"/>
      <c r="F47" s="1525"/>
      <c r="G47" s="1525"/>
      <c r="H47" s="1268"/>
      <c r="I47" s="1268"/>
      <c r="J47" s="1268"/>
      <c r="K47" s="1266"/>
      <c r="L47" s="744"/>
      <c r="M47" s="741"/>
      <c r="N47" s="741"/>
      <c r="O47" s="741"/>
      <c r="P47" s="741"/>
      <c r="Q47" s="1523"/>
      <c r="R47" s="736"/>
      <c r="S47" s="736"/>
      <c r="T47" s="736"/>
      <c r="U47" s="736"/>
      <c r="V47" s="736"/>
      <c r="W47" s="736"/>
      <c r="X47" s="736"/>
      <c r="Y47" s="736"/>
      <c r="Z47" s="736"/>
      <c r="AA47" s="736"/>
      <c r="AB47" s="736"/>
      <c r="AC47" s="736"/>
    </row>
    <row r="48" spans="1:29" s="488" customFormat="1" ht="15">
      <c r="A48" s="485" t="s">
        <v>2530</v>
      </c>
      <c r="B48" s="486"/>
      <c r="C48" s="1673" t="str">
        <f>YEAR(C7)&amp;"-"&amp;MONTH(C7)</f>
        <v>2018-6</v>
      </c>
      <c r="D48" s="1674">
        <f>EDATE(C48,-1)</f>
        <v>43221</v>
      </c>
      <c r="E48" s="1674">
        <f t="shared" ref="E48:O48" si="13">EDATE(D48,-1)</f>
        <v>43191</v>
      </c>
      <c r="F48" s="1674">
        <f t="shared" si="13"/>
        <v>43160</v>
      </c>
      <c r="G48" s="1674">
        <f t="shared" si="13"/>
        <v>43132</v>
      </c>
      <c r="H48" s="1674">
        <f t="shared" si="13"/>
        <v>43101</v>
      </c>
      <c r="I48" s="1674">
        <f t="shared" si="13"/>
        <v>43070</v>
      </c>
      <c r="J48" s="1674">
        <f t="shared" si="13"/>
        <v>43040</v>
      </c>
      <c r="K48" s="1674">
        <f t="shared" si="13"/>
        <v>43009</v>
      </c>
      <c r="L48" s="1674">
        <f t="shared" si="13"/>
        <v>42979</v>
      </c>
      <c r="M48" s="1674">
        <f t="shared" si="13"/>
        <v>42948</v>
      </c>
      <c r="N48" s="1674">
        <f t="shared" si="13"/>
        <v>42917</v>
      </c>
      <c r="O48" s="1674">
        <f t="shared" si="13"/>
        <v>42887</v>
      </c>
      <c r="P48" s="487"/>
    </row>
    <row r="49" spans="1:17" s="35" customFormat="1" ht="15">
      <c r="A49" s="489"/>
      <c r="B49" s="490"/>
      <c r="C49" s="1672">
        <v>100</v>
      </c>
      <c r="D49" s="492"/>
      <c r="E49" s="492"/>
      <c r="F49" s="492"/>
      <c r="G49" s="492"/>
      <c r="H49" s="492"/>
      <c r="I49" s="492"/>
      <c r="J49" s="492"/>
      <c r="K49" s="492"/>
      <c r="L49" s="492"/>
      <c r="M49" s="493"/>
      <c r="N49" s="492"/>
      <c r="O49" s="494"/>
      <c r="P49" s="484"/>
    </row>
    <row r="50" spans="1:17" s="35" customFormat="1" ht="15.75" thickBot="1">
      <c r="A50" s="495" t="s">
        <v>2394</v>
      </c>
      <c r="B50" s="496"/>
      <c r="C50" s="497"/>
      <c r="D50" s="498"/>
      <c r="E50" s="498"/>
      <c r="F50" s="498"/>
      <c r="G50" s="498"/>
      <c r="H50" s="498"/>
      <c r="I50" s="498"/>
      <c r="J50" s="498"/>
      <c r="K50" s="498"/>
      <c r="L50" s="498"/>
      <c r="M50" s="499"/>
      <c r="N50" s="498"/>
      <c r="O50" s="500"/>
      <c r="P50" s="484"/>
      <c r="Q50" s="484"/>
    </row>
    <row r="51" spans="1:17" s="35" customFormat="1" ht="15">
      <c r="A51" s="501" t="s">
        <v>2358</v>
      </c>
      <c r="B51" s="490"/>
      <c r="C51" s="502" t="s">
        <v>2359</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2397</v>
      </c>
      <c r="B53" s="508" t="s">
        <v>2362</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2365</v>
      </c>
      <c r="C55" s="521" t="s">
        <v>2398</v>
      </c>
      <c r="D55" s="521" t="s">
        <v>2399</v>
      </c>
      <c r="E55" s="521" t="s">
        <v>2400</v>
      </c>
      <c r="F55" s="521" t="s">
        <v>2401</v>
      </c>
      <c r="G55" s="521" t="s">
        <v>2402</v>
      </c>
      <c r="H55" s="521" t="s">
        <v>2403</v>
      </c>
      <c r="I55" s="521" t="s">
        <v>2404</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2367</v>
      </c>
      <c r="B63" s="508" t="s">
        <v>2411</v>
      </c>
      <c r="C63" s="556" t="s">
        <v>2406</v>
      </c>
      <c r="D63" s="556" t="s">
        <v>2407</v>
      </c>
      <c r="E63" s="556" t="s">
        <v>2408</v>
      </c>
      <c r="F63" s="556" t="s">
        <v>2409</v>
      </c>
      <c r="G63" s="556" t="s">
        <v>2410</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2412</v>
      </c>
      <c r="C65" s="561" t="s">
        <v>2406</v>
      </c>
      <c r="D65" s="561" t="s">
        <v>2407</v>
      </c>
      <c r="E65" s="561" t="s">
        <v>2408</v>
      </c>
      <c r="F65" s="561" t="s">
        <v>2409</v>
      </c>
      <c r="G65" s="561" t="s">
        <v>2410</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2484</v>
      </c>
      <c r="C67" s="521" t="s">
        <v>2413</v>
      </c>
      <c r="D67" s="521" t="s">
        <v>2414</v>
      </c>
      <c r="E67" s="521" t="s">
        <v>2415</v>
      </c>
      <c r="F67" s="521" t="s">
        <v>2416</v>
      </c>
      <c r="G67" s="521" t="s">
        <v>2417</v>
      </c>
      <c r="H67" s="521"/>
      <c r="I67" s="521"/>
      <c r="J67" s="521"/>
      <c r="K67" s="521"/>
      <c r="L67" s="521"/>
      <c r="M67" s="1462"/>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2418</v>
      </c>
      <c r="C69" s="561" t="s">
        <v>2406</v>
      </c>
      <c r="D69" s="561" t="s">
        <v>2407</v>
      </c>
      <c r="E69" s="561" t="s">
        <v>2408</v>
      </c>
      <c r="F69" s="561" t="s">
        <v>2409</v>
      </c>
      <c r="G69" s="561" t="s">
        <v>2410</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2531</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2372</v>
      </c>
      <c r="B79" s="508" t="s">
        <v>2532</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4">C80-$K26</f>
        <v>100</v>
      </c>
      <c r="E80" s="526">
        <f t="shared" si="14"/>
        <v>100</v>
      </c>
      <c r="F80" s="526">
        <f t="shared" si="14"/>
        <v>100</v>
      </c>
      <c r="G80" s="526">
        <f t="shared" si="14"/>
        <v>100</v>
      </c>
      <c r="H80" s="526">
        <f t="shared" si="14"/>
        <v>100</v>
      </c>
      <c r="I80" s="526">
        <f t="shared" si="14"/>
        <v>100</v>
      </c>
      <c r="J80" s="526">
        <f t="shared" si="14"/>
        <v>100</v>
      </c>
      <c r="K80" s="526">
        <f t="shared" si="14"/>
        <v>100</v>
      </c>
      <c r="L80" s="526">
        <f t="shared" si="14"/>
        <v>100</v>
      </c>
      <c r="M80" s="527">
        <f t="shared" si="14"/>
        <v>100</v>
      </c>
      <c r="N80" s="519"/>
      <c r="O80" s="519"/>
      <c r="P80" s="22"/>
      <c r="Q80" s="484"/>
    </row>
    <row r="81" spans="1:17" ht="15.75" thickTop="1">
      <c r="A81" s="515"/>
      <c r="B81" s="520" t="s">
        <v>2533</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2425</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5">C84-$K28</f>
        <v>100</v>
      </c>
      <c r="E84" s="526">
        <f t="shared" si="15"/>
        <v>100</v>
      </c>
      <c r="F84" s="526">
        <f t="shared" si="15"/>
        <v>100</v>
      </c>
      <c r="G84" s="526">
        <f t="shared" si="15"/>
        <v>100</v>
      </c>
      <c r="H84" s="526">
        <f t="shared" si="15"/>
        <v>100</v>
      </c>
      <c r="I84" s="526">
        <f t="shared" si="15"/>
        <v>100</v>
      </c>
      <c r="J84" s="526">
        <f t="shared" si="15"/>
        <v>100</v>
      </c>
      <c r="K84" s="526">
        <f t="shared" si="15"/>
        <v>100</v>
      </c>
      <c r="L84" s="526">
        <f t="shared" si="15"/>
        <v>100</v>
      </c>
      <c r="M84" s="527">
        <f t="shared" si="15"/>
        <v>100</v>
      </c>
      <c r="N84" s="519"/>
      <c r="O84" s="519"/>
      <c r="P84" s="22"/>
      <c r="Q84" s="484"/>
    </row>
    <row r="85" spans="1:17" ht="15" thickTop="1">
      <c r="A85" s="582"/>
      <c r="B85" s="520" t="s">
        <v>2534</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6">D87+$K$29</f>
        <v>100</v>
      </c>
      <c r="F87" s="526">
        <f t="shared" si="16"/>
        <v>100</v>
      </c>
      <c r="G87" s="526">
        <f t="shared" si="16"/>
        <v>100</v>
      </c>
      <c r="H87" s="526">
        <f t="shared" si="16"/>
        <v>100</v>
      </c>
      <c r="I87" s="526">
        <f t="shared" si="16"/>
        <v>100</v>
      </c>
      <c r="J87" s="526">
        <f t="shared" si="16"/>
        <v>100</v>
      </c>
      <c r="K87" s="526">
        <f t="shared" si="16"/>
        <v>100</v>
      </c>
      <c r="L87" s="526">
        <f t="shared" si="16"/>
        <v>100</v>
      </c>
      <c r="M87" s="526">
        <f t="shared" si="16"/>
        <v>100</v>
      </c>
      <c r="N87" s="519"/>
      <c r="O87" s="519"/>
      <c r="P87" s="22"/>
      <c r="Q87" s="484"/>
    </row>
    <row r="88" spans="1:17" ht="15" thickTop="1">
      <c r="A88" s="582"/>
      <c r="B88" s="528" t="s">
        <v>2535</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17">C89+$K30</f>
        <v>100</v>
      </c>
      <c r="E89" s="526">
        <f t="shared" si="17"/>
        <v>100</v>
      </c>
      <c r="F89" s="526">
        <f t="shared" si="17"/>
        <v>100</v>
      </c>
      <c r="G89" s="526">
        <f t="shared" si="17"/>
        <v>100</v>
      </c>
      <c r="H89" s="526">
        <f t="shared" si="17"/>
        <v>100</v>
      </c>
      <c r="I89" s="526">
        <f t="shared" si="17"/>
        <v>100</v>
      </c>
      <c r="J89" s="526">
        <f t="shared" si="17"/>
        <v>100</v>
      </c>
      <c r="K89" s="526">
        <f t="shared" si="17"/>
        <v>100</v>
      </c>
      <c r="L89" s="526">
        <f t="shared" si="17"/>
        <v>100</v>
      </c>
      <c r="M89" s="526">
        <f t="shared" si="17"/>
        <v>100</v>
      </c>
      <c r="N89" s="519"/>
      <c r="O89" s="519"/>
      <c r="P89" s="22"/>
      <c r="Q89" s="484"/>
    </row>
    <row r="90" spans="1:17" s="451" customFormat="1" ht="15" thickTop="1">
      <c r="A90" s="576"/>
      <c r="B90" s="520" t="s">
        <v>2536</v>
      </c>
      <c r="C90" s="561" t="str">
        <f>C91&amp;"(含)"&amp;"-"&amp;D91</f>
        <v>(含)-</v>
      </c>
      <c r="D90" s="561" t="str">
        <f t="shared" ref="D90:L90" si="18">D91&amp;"(含)"&amp;"-"&amp;E91</f>
        <v>(含)-</v>
      </c>
      <c r="E90" s="561" t="str">
        <f t="shared" si="18"/>
        <v>(含)-</v>
      </c>
      <c r="F90" s="561" t="str">
        <f t="shared" si="18"/>
        <v>(含)-</v>
      </c>
      <c r="G90" s="561" t="str">
        <f t="shared" si="18"/>
        <v>(含)-</v>
      </c>
      <c r="H90" s="561" t="str">
        <f t="shared" si="18"/>
        <v>(含)-</v>
      </c>
      <c r="I90" s="561" t="str">
        <f t="shared" si="18"/>
        <v>(含)-</v>
      </c>
      <c r="J90" s="561" t="str">
        <f t="shared" si="18"/>
        <v>(含)-</v>
      </c>
      <c r="K90" s="561" t="str">
        <f t="shared" si="18"/>
        <v>(含)-</v>
      </c>
      <c r="L90" s="561" t="str">
        <f t="shared" si="18"/>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2537</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19">C94-$K32</f>
        <v>100</v>
      </c>
      <c r="E94" s="526">
        <f t="shared" si="19"/>
        <v>100</v>
      </c>
      <c r="F94" s="526">
        <f t="shared" si="19"/>
        <v>100</v>
      </c>
      <c r="G94" s="526">
        <f t="shared" si="19"/>
        <v>100</v>
      </c>
      <c r="H94" s="526">
        <f t="shared" si="19"/>
        <v>100</v>
      </c>
      <c r="I94" s="526">
        <f t="shared" si="19"/>
        <v>100</v>
      </c>
      <c r="J94" s="526">
        <f t="shared" si="19"/>
        <v>100</v>
      </c>
      <c r="K94" s="526">
        <f t="shared" si="19"/>
        <v>100</v>
      </c>
      <c r="L94" s="526">
        <f t="shared" si="19"/>
        <v>100</v>
      </c>
      <c r="M94" s="527">
        <f t="shared" si="19"/>
        <v>100</v>
      </c>
      <c r="N94" s="519"/>
      <c r="O94" s="519"/>
      <c r="P94" s="22"/>
      <c r="Q94" s="484"/>
    </row>
    <row r="95" spans="1:17" ht="15" thickTop="1">
      <c r="A95" s="582"/>
      <c r="B95" s="520" t="s">
        <v>2538</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2509</v>
      </c>
      <c r="B1" s="2476"/>
      <c r="C1" s="1724"/>
      <c r="D1" s="1734"/>
      <c r="E1" s="2379"/>
      <c r="F1" s="1735" t="s">
        <v>2341</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2009</v>
      </c>
      <c r="B2" s="1720" t="e">
        <f ca="1">IF(D2="——",IF(C2="元",ROUND(C37*D3,0),ROUND(C37*D3/10000,0)),IF(C2="元",ROUND(C37*D3,0),ROUND(C37*D3/10000,0))-E2)</f>
        <v>#DIV/0!</v>
      </c>
      <c r="C2" s="162" t="str">
        <f>'数据-取费表'!B3</f>
        <v>元</v>
      </c>
      <c r="D2" s="2381"/>
      <c r="E2" s="1733" t="e">
        <f ca="1">SUMIF(INDIRECT("'"&amp;G2&amp;"'"&amp;"!A:A"),"承租人权益价值",INDIRECT("'"&amp;G2&amp;"'"&amp;"!c:c"))</f>
        <v>#REF!</v>
      </c>
      <c r="F2" s="2382" t="str">
        <f>C2</f>
        <v>元</v>
      </c>
      <c r="G2" s="2383"/>
      <c r="H2" s="979"/>
      <c r="I2" s="979"/>
      <c r="J2" s="979"/>
      <c r="K2" s="981"/>
      <c r="L2" s="1236"/>
      <c r="M2" s="1237"/>
      <c r="N2" s="1237"/>
      <c r="O2" s="1237"/>
      <c r="P2" s="745"/>
      <c r="Q2" s="745"/>
      <c r="R2" s="745"/>
      <c r="S2" s="745"/>
      <c r="T2" s="745"/>
      <c r="U2" s="745"/>
      <c r="V2" s="745"/>
      <c r="W2" s="745"/>
      <c r="X2" s="745"/>
      <c r="Y2" s="745"/>
      <c r="Z2" s="745"/>
      <c r="AA2" s="745"/>
      <c r="AB2" s="745"/>
      <c r="AC2" s="746"/>
    </row>
    <row r="3" spans="1:29" s="376" customFormat="1" ht="28.5" customHeight="1" thickBot="1">
      <c r="A3" s="166" t="s">
        <v>2010</v>
      </c>
      <c r="B3" s="592" t="e">
        <f ca="1">ROUND(IF(D2="——",C37,IF(C2="万元",B2*10000/D3,B2/D3)),0)</f>
        <v>#DIV/0!</v>
      </c>
      <c r="C3" s="378" t="s">
        <v>2342</v>
      </c>
      <c r="D3" s="377">
        <f>IF(C1="仅计算典型户型",'数据-取费表'!E5,'数据-取费表'!B5)</f>
        <v>103.71</v>
      </c>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79" t="s">
        <v>2343</v>
      </c>
      <c r="B4" s="380"/>
      <c r="C4" s="2993" t="s">
        <v>2344</v>
      </c>
      <c r="D4" s="2994"/>
      <c r="E4" s="2995" t="s">
        <v>2345</v>
      </c>
      <c r="F4" s="2996"/>
      <c r="G4" s="2993" t="s">
        <v>2346</v>
      </c>
      <c r="H4" s="2994"/>
      <c r="I4" s="2993" t="s">
        <v>2347</v>
      </c>
      <c r="J4" s="2994"/>
      <c r="K4" s="593"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2991" t="s">
        <v>2346</v>
      </c>
      <c r="AC4" s="2990" t="s">
        <v>2347</v>
      </c>
    </row>
    <row r="5" spans="1:29" ht="15">
      <c r="A5" s="382"/>
      <c r="B5" s="383"/>
      <c r="C5" s="3012" t="s">
        <v>2350</v>
      </c>
      <c r="D5" s="3013"/>
      <c r="E5" s="3044" t="s">
        <v>2351</v>
      </c>
      <c r="F5" s="3011"/>
      <c r="G5" s="3012" t="s">
        <v>2352</v>
      </c>
      <c r="H5" s="3013"/>
      <c r="I5" s="3012" t="s">
        <v>2353</v>
      </c>
      <c r="J5" s="3013"/>
      <c r="K5" s="593"/>
      <c r="L5" s="1238"/>
      <c r="M5" s="1239"/>
      <c r="N5" s="1239"/>
      <c r="O5" s="1239"/>
      <c r="P5" s="2999"/>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593" t="s">
        <v>2355</v>
      </c>
      <c r="L6" s="1238"/>
      <c r="M6" s="1239"/>
      <c r="N6" s="1239"/>
      <c r="O6" s="1239"/>
      <c r="P6" s="3001"/>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2462"/>
      <c r="F7" s="389">
        <f>SUMIF(46:46,YEAR(E7)&amp;"-"&amp;MONTH(E7),47:47)</f>
        <v>0</v>
      </c>
      <c r="G7" s="390"/>
      <c r="H7" s="389">
        <f>SUMIF(46:46,YEAR(G7)&amp;"-"&amp;MONTH(G7),47:47)</f>
        <v>0</v>
      </c>
      <c r="I7" s="390"/>
      <c r="J7" s="389">
        <f>SUMIF(46:46,YEAR(I7)&amp;"-"&amp;MONTH(I7),47:47)</f>
        <v>0</v>
      </c>
      <c r="K7" s="594"/>
      <c r="L7" s="1240"/>
      <c r="M7" s="1241"/>
      <c r="N7" s="1241"/>
      <c r="O7" s="1241"/>
      <c r="P7" s="3025" t="s">
        <v>2357</v>
      </c>
      <c r="Q7" s="3027"/>
      <c r="R7" s="747" t="s">
        <v>25</v>
      </c>
      <c r="S7" s="748">
        <f t="shared" ref="S7:S14" si="0">F7</f>
        <v>0</v>
      </c>
      <c r="T7" s="747" t="s">
        <v>25</v>
      </c>
      <c r="U7" s="748">
        <f t="shared" ref="U7:U14" si="1">H7</f>
        <v>0</v>
      </c>
      <c r="V7" s="747" t="s">
        <v>25</v>
      </c>
      <c r="W7" s="748">
        <f t="shared" ref="W7:W14" si="2">J7</f>
        <v>0</v>
      </c>
      <c r="X7" s="749"/>
      <c r="Y7" s="3025" t="s">
        <v>2357</v>
      </c>
      <c r="Z7" s="3026"/>
      <c r="AA7" s="750" t="e">
        <f>D7/F7</f>
        <v>#DIV/0!</v>
      </c>
      <c r="AB7" s="750" t="e">
        <f>D7/H7</f>
        <v>#DIV/0!</v>
      </c>
      <c r="AC7" s="750" t="e">
        <f>D7/J7</f>
        <v>#DIV/0!</v>
      </c>
    </row>
    <row r="8" spans="1:29" s="35" customFormat="1" ht="15.75" thickBot="1">
      <c r="A8" s="386" t="s">
        <v>2358</v>
      </c>
      <c r="B8" s="387"/>
      <c r="C8" s="393" t="s">
        <v>2359</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25" t="s">
        <v>2360</v>
      </c>
      <c r="Q8" s="3026"/>
      <c r="R8" s="747" t="s">
        <v>25</v>
      </c>
      <c r="S8" s="748">
        <f t="shared" si="0"/>
        <v>0</v>
      </c>
      <c r="T8" s="747" t="s">
        <v>25</v>
      </c>
      <c r="U8" s="748">
        <f t="shared" si="1"/>
        <v>0</v>
      </c>
      <c r="V8" s="747" t="s">
        <v>25</v>
      </c>
      <c r="W8" s="748">
        <f t="shared" si="2"/>
        <v>0</v>
      </c>
      <c r="X8" s="749"/>
      <c r="Y8" s="3025" t="s">
        <v>2360</v>
      </c>
      <c r="Z8" s="3026"/>
      <c r="AA8" s="750" t="e">
        <f t="shared" ref="AA8:AA34" si="3">D8/F8</f>
        <v>#DIV/0!</v>
      </c>
      <c r="AB8" s="750" t="e">
        <f t="shared" ref="AB8:AB34" si="4">D8/H8</f>
        <v>#DIV/0!</v>
      </c>
      <c r="AC8" s="750" t="e">
        <f t="shared" ref="AC8:AC34" si="5">D8/J8</f>
        <v>#DIV/0!</v>
      </c>
    </row>
    <row r="9" spans="1:29" s="35" customFormat="1">
      <c r="A9" s="394" t="s">
        <v>2361</v>
      </c>
      <c r="B9" s="28" t="s">
        <v>2362</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29" t="s">
        <v>2363</v>
      </c>
      <c r="Q9" s="1882" t="str">
        <f t="shared" ref="Q9:Q14" si="6">B9</f>
        <v>用途</v>
      </c>
      <c r="R9" s="747" t="s">
        <v>25</v>
      </c>
      <c r="S9" s="748">
        <f t="shared" si="0"/>
        <v>100</v>
      </c>
      <c r="T9" s="747" t="s">
        <v>25</v>
      </c>
      <c r="U9" s="748">
        <f t="shared" si="1"/>
        <v>100</v>
      </c>
      <c r="V9" s="747" t="s">
        <v>25</v>
      </c>
      <c r="W9" s="748">
        <f t="shared" si="2"/>
        <v>100</v>
      </c>
      <c r="X9" s="749"/>
      <c r="Y9" s="2849" t="s">
        <v>2364</v>
      </c>
      <c r="Z9" s="23" t="str">
        <f t="shared" ref="Z9:Z14" si="7">Q9</f>
        <v>用途</v>
      </c>
      <c r="AA9" s="750">
        <f t="shared" si="3"/>
        <v>1</v>
      </c>
      <c r="AB9" s="750">
        <f t="shared" si="4"/>
        <v>1</v>
      </c>
      <c r="AC9" s="750">
        <f t="shared" si="5"/>
        <v>1</v>
      </c>
    </row>
    <row r="10" spans="1:29" s="406" customFormat="1" ht="27">
      <c r="A10" s="400"/>
      <c r="B10" s="401" t="s">
        <v>2365</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29"/>
      <c r="Q10" s="1882"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2396">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29"/>
      <c r="Q11" s="1882">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410"/>
      <c r="B12" s="2396">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29"/>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407"/>
      <c r="B13" s="2396">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29"/>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85.5">
      <c r="A14" s="418" t="s">
        <v>2367</v>
      </c>
      <c r="B14" s="26" t="s">
        <v>2511</v>
      </c>
      <c r="C14" s="247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18" t="s">
        <v>2368</v>
      </c>
      <c r="Q14" s="1894" t="str">
        <f t="shared" si="6"/>
        <v>交通便捷度</v>
      </c>
      <c r="R14" s="751" t="s">
        <v>25</v>
      </c>
      <c r="S14" s="752">
        <f t="shared" si="0"/>
        <v>100</v>
      </c>
      <c r="T14" s="751" t="s">
        <v>25</v>
      </c>
      <c r="U14" s="752">
        <f t="shared" si="1"/>
        <v>100</v>
      </c>
      <c r="V14" s="751" t="s">
        <v>25</v>
      </c>
      <c r="W14" s="752">
        <f t="shared" si="2"/>
        <v>100</v>
      </c>
      <c r="X14" s="1895"/>
      <c r="Y14" s="3018" t="s">
        <v>2368</v>
      </c>
      <c r="Z14" s="1897" t="str">
        <f t="shared" si="7"/>
        <v>交通便捷度</v>
      </c>
      <c r="AA14" s="1898">
        <f t="shared" si="3"/>
        <v>1</v>
      </c>
      <c r="AB14" s="1898">
        <f t="shared" si="4"/>
        <v>1</v>
      </c>
      <c r="AC14" s="1898">
        <f t="shared" si="5"/>
        <v>1</v>
      </c>
    </row>
    <row r="15" spans="1:29" ht="15">
      <c r="A15" s="407"/>
      <c r="B15" s="424"/>
      <c r="C15" s="425"/>
      <c r="D15" s="426"/>
      <c r="E15" s="425"/>
      <c r="F15" s="428"/>
      <c r="G15" s="425"/>
      <c r="H15" s="429"/>
      <c r="I15" s="425"/>
      <c r="J15" s="426"/>
      <c r="K15" s="598"/>
      <c r="L15" s="1248"/>
      <c r="M15" s="1239"/>
      <c r="N15" s="1239"/>
      <c r="O15" s="1247"/>
      <c r="P15" s="3019"/>
      <c r="Q15" s="1894"/>
      <c r="R15" s="751"/>
      <c r="S15" s="752"/>
      <c r="T15" s="751"/>
      <c r="U15" s="752"/>
      <c r="V15" s="751"/>
      <c r="W15" s="752"/>
      <c r="X15" s="1895"/>
      <c r="Y15" s="3019"/>
      <c r="Z15" s="1897"/>
      <c r="AA15" s="1898">
        <v>1</v>
      </c>
      <c r="AB15" s="1898">
        <v>1</v>
      </c>
      <c r="AC15" s="1898">
        <v>1</v>
      </c>
    </row>
    <row r="16" spans="1:29" ht="42.75">
      <c r="A16" s="407"/>
      <c r="B16" s="614" t="s">
        <v>2483</v>
      </c>
      <c r="C16" s="2403"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19"/>
      <c r="Q16" s="1894" t="str">
        <f>B16</f>
        <v>公共配套设施</v>
      </c>
      <c r="R16" s="751" t="s">
        <v>25</v>
      </c>
      <c r="S16" s="752">
        <f>F16</f>
        <v>100</v>
      </c>
      <c r="T16" s="751" t="s">
        <v>25</v>
      </c>
      <c r="U16" s="752">
        <f>H16</f>
        <v>100</v>
      </c>
      <c r="V16" s="751" t="s">
        <v>25</v>
      </c>
      <c r="W16" s="752">
        <f>J16</f>
        <v>100</v>
      </c>
      <c r="X16" s="1895"/>
      <c r="Y16" s="3019"/>
      <c r="Z16" s="1897" t="str">
        <f>Q16</f>
        <v>公共配套设施</v>
      </c>
      <c r="AA16" s="1898">
        <f t="shared" si="3"/>
        <v>1</v>
      </c>
      <c r="AB16" s="1898">
        <f t="shared" si="4"/>
        <v>1</v>
      </c>
      <c r="AC16" s="1898">
        <f t="shared" si="5"/>
        <v>1</v>
      </c>
    </row>
    <row r="17" spans="1:29" ht="15">
      <c r="A17" s="407"/>
      <c r="B17" s="615"/>
      <c r="C17" s="436"/>
      <c r="D17" s="426"/>
      <c r="E17" s="425"/>
      <c r="F17" s="428"/>
      <c r="G17" s="425"/>
      <c r="H17" s="426"/>
      <c r="I17" s="425"/>
      <c r="J17" s="426"/>
      <c r="K17" s="598"/>
      <c r="L17" s="1248"/>
      <c r="M17" s="1239"/>
      <c r="N17" s="1239"/>
      <c r="O17" s="1247"/>
      <c r="P17" s="3019"/>
      <c r="Q17" s="1894"/>
      <c r="R17" s="751"/>
      <c r="S17" s="752"/>
      <c r="T17" s="751"/>
      <c r="U17" s="752"/>
      <c r="V17" s="751"/>
      <c r="W17" s="752"/>
      <c r="X17" s="1895"/>
      <c r="Y17" s="3019"/>
      <c r="Z17" s="1897"/>
      <c r="AA17" s="1898">
        <v>1</v>
      </c>
      <c r="AB17" s="1898">
        <v>1</v>
      </c>
      <c r="AC17" s="1898">
        <v>1</v>
      </c>
    </row>
    <row r="18" spans="1:29" ht="28.5">
      <c r="A18" s="407"/>
      <c r="B18" s="616" t="s">
        <v>2484</v>
      </c>
      <c r="C18" s="2403"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19"/>
      <c r="Q18" s="1894" t="str">
        <f>B18</f>
        <v>基础设施水平</v>
      </c>
      <c r="R18" s="751" t="s">
        <v>25</v>
      </c>
      <c r="S18" s="752">
        <f>F18</f>
        <v>100</v>
      </c>
      <c r="T18" s="751" t="s">
        <v>25</v>
      </c>
      <c r="U18" s="752">
        <f>H18</f>
        <v>100</v>
      </c>
      <c r="V18" s="751" t="s">
        <v>25</v>
      </c>
      <c r="W18" s="752">
        <f>J18</f>
        <v>100</v>
      </c>
      <c r="X18" s="1895"/>
      <c r="Y18" s="3019"/>
      <c r="Z18" s="1897" t="str">
        <f>Q18</f>
        <v>基础设施水平</v>
      </c>
      <c r="AA18" s="1898">
        <f>D18/F18</f>
        <v>1</v>
      </c>
      <c r="AB18" s="1898">
        <f>D18/H18</f>
        <v>1</v>
      </c>
      <c r="AC18" s="1898">
        <f>D18/J18</f>
        <v>1</v>
      </c>
    </row>
    <row r="19" spans="1:29" ht="15">
      <c r="A19" s="407"/>
      <c r="B19" s="616"/>
      <c r="C19" s="436"/>
      <c r="D19" s="426"/>
      <c r="E19" s="436"/>
      <c r="F19" s="432"/>
      <c r="G19" s="436"/>
      <c r="H19" s="426"/>
      <c r="I19" s="425"/>
      <c r="J19" s="426"/>
      <c r="K19" s="1464"/>
      <c r="L19" s="1248"/>
      <c r="M19" s="1239"/>
      <c r="N19" s="1239"/>
      <c r="O19" s="1247"/>
      <c r="P19" s="3019"/>
      <c r="Q19" s="1894"/>
      <c r="R19" s="751"/>
      <c r="S19" s="752"/>
      <c r="T19" s="751"/>
      <c r="U19" s="752"/>
      <c r="V19" s="751"/>
      <c r="W19" s="752"/>
      <c r="X19" s="1895"/>
      <c r="Y19" s="3019"/>
      <c r="Z19" s="1897"/>
      <c r="AA19" s="1898">
        <v>1</v>
      </c>
      <c r="AB19" s="1898">
        <v>1</v>
      </c>
      <c r="AC19" s="1898">
        <v>1</v>
      </c>
    </row>
    <row r="20" spans="1:29" ht="57">
      <c r="A20" s="407"/>
      <c r="B20" s="430" t="s">
        <v>2512</v>
      </c>
      <c r="C20" s="2403"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19"/>
      <c r="Q20" s="1894" t="str">
        <f>B20</f>
        <v>自然及人文环境</v>
      </c>
      <c r="R20" s="751" t="s">
        <v>25</v>
      </c>
      <c r="S20" s="752">
        <f>F20</f>
        <v>100</v>
      </c>
      <c r="T20" s="751" t="s">
        <v>25</v>
      </c>
      <c r="U20" s="752">
        <f>H20</f>
        <v>100</v>
      </c>
      <c r="V20" s="751" t="s">
        <v>25</v>
      </c>
      <c r="W20" s="752">
        <f>J20</f>
        <v>100</v>
      </c>
      <c r="X20" s="1895"/>
      <c r="Y20" s="3019"/>
      <c r="Z20" s="1897" t="str">
        <f>Q20</f>
        <v>自然及人文环境</v>
      </c>
      <c r="AA20" s="1898">
        <f t="shared" si="3"/>
        <v>1</v>
      </c>
      <c r="AB20" s="1898">
        <f t="shared" si="4"/>
        <v>1</v>
      </c>
      <c r="AC20" s="1898">
        <f t="shared" si="5"/>
        <v>1</v>
      </c>
    </row>
    <row r="21" spans="1:29" ht="15">
      <c r="A21" s="407"/>
      <c r="B21" s="435"/>
      <c r="C21" s="425"/>
      <c r="D21" s="426"/>
      <c r="E21" s="425"/>
      <c r="F21" s="428"/>
      <c r="G21" s="425"/>
      <c r="H21" s="426"/>
      <c r="I21" s="425"/>
      <c r="J21" s="426"/>
      <c r="K21" s="598"/>
      <c r="L21" s="1248"/>
      <c r="M21" s="1239"/>
      <c r="N21" s="1239"/>
      <c r="O21" s="1247"/>
      <c r="P21" s="3019"/>
      <c r="Q21" s="1894"/>
      <c r="R21" s="751"/>
      <c r="S21" s="752"/>
      <c r="T21" s="751"/>
      <c r="U21" s="752"/>
      <c r="V21" s="751"/>
      <c r="W21" s="752"/>
      <c r="X21" s="1895"/>
      <c r="Y21" s="3019"/>
      <c r="Z21" s="1897"/>
      <c r="AA21" s="1898">
        <v>1</v>
      </c>
      <c r="AB21" s="1898">
        <v>1</v>
      </c>
      <c r="AC21" s="1898">
        <v>1</v>
      </c>
    </row>
    <row r="22" spans="1:29" ht="15">
      <c r="A22" s="407"/>
      <c r="B22" s="430" t="s">
        <v>2513</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19"/>
      <c r="Q22" s="1894" t="str">
        <f>B22</f>
        <v>楼层</v>
      </c>
      <c r="R22" s="751" t="s">
        <v>25</v>
      </c>
      <c r="S22" s="752">
        <f>F22</f>
        <v>100</v>
      </c>
      <c r="T22" s="751" t="s">
        <v>25</v>
      </c>
      <c r="U22" s="752">
        <f>H22</f>
        <v>100</v>
      </c>
      <c r="V22" s="751" t="s">
        <v>25</v>
      </c>
      <c r="W22" s="752">
        <f>J22</f>
        <v>100</v>
      </c>
      <c r="X22" s="1895"/>
      <c r="Y22" s="3019"/>
      <c r="Z22" s="1897" t="str">
        <f>Q22</f>
        <v>楼层</v>
      </c>
      <c r="AA22" s="1898">
        <f t="shared" si="3"/>
        <v>1</v>
      </c>
      <c r="AB22" s="1898">
        <f t="shared" si="4"/>
        <v>1</v>
      </c>
      <c r="AC22" s="1898">
        <f t="shared" si="5"/>
        <v>1</v>
      </c>
    </row>
    <row r="23" spans="1:29" ht="15">
      <c r="A23" s="382"/>
      <c r="B23" s="2396">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19"/>
      <c r="Q23" s="1894">
        <f>B23</f>
        <v>111</v>
      </c>
      <c r="R23" s="751" t="s">
        <v>25</v>
      </c>
      <c r="S23" s="752">
        <f>F23</f>
        <v>100</v>
      </c>
      <c r="T23" s="751" t="s">
        <v>25</v>
      </c>
      <c r="U23" s="752">
        <f>H23</f>
        <v>100</v>
      </c>
      <c r="V23" s="751" t="s">
        <v>25</v>
      </c>
      <c r="W23" s="752">
        <f>J23</f>
        <v>100</v>
      </c>
      <c r="X23" s="1895"/>
      <c r="Y23" s="3019"/>
      <c r="Z23" s="1897">
        <f>Q23</f>
        <v>111</v>
      </c>
      <c r="AA23" s="1898">
        <f t="shared" si="3"/>
        <v>1</v>
      </c>
      <c r="AB23" s="1898">
        <f t="shared" si="4"/>
        <v>1</v>
      </c>
      <c r="AC23" s="1898">
        <f t="shared" si="5"/>
        <v>1</v>
      </c>
    </row>
    <row r="24" spans="1:29" ht="15">
      <c r="A24" s="407"/>
      <c r="B24" s="2396">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19"/>
      <c r="Q24" s="1894">
        <f t="shared" ref="Q24:Q34" si="8">B24</f>
        <v>111</v>
      </c>
      <c r="R24" s="751" t="s">
        <v>25</v>
      </c>
      <c r="S24" s="752">
        <f>F24</f>
        <v>100</v>
      </c>
      <c r="T24" s="751" t="s">
        <v>25</v>
      </c>
      <c r="U24" s="752">
        <f>H24</f>
        <v>100</v>
      </c>
      <c r="V24" s="751" t="s">
        <v>25</v>
      </c>
      <c r="W24" s="752">
        <f>J24</f>
        <v>100</v>
      </c>
      <c r="X24" s="1895"/>
      <c r="Y24" s="3019"/>
      <c r="Z24" s="1897">
        <f>Q24</f>
        <v>111</v>
      </c>
      <c r="AA24" s="1898">
        <f t="shared" si="3"/>
        <v>1</v>
      </c>
      <c r="AB24" s="1898">
        <f t="shared" si="4"/>
        <v>1</v>
      </c>
      <c r="AC24" s="1898">
        <f t="shared" si="5"/>
        <v>1</v>
      </c>
    </row>
    <row r="25" spans="1:29" s="35" customFormat="1" ht="15.75" thickBot="1">
      <c r="A25" s="410"/>
      <c r="B25" s="2396">
        <v>111</v>
      </c>
      <c r="C25" s="2478"/>
      <c r="D25" s="647">
        <v>100</v>
      </c>
      <c r="E25" s="2478"/>
      <c r="F25" s="648">
        <f>SUMIF(75:75,E25,76:76)-SUMIF(75:75,C25,76:76)+100</f>
        <v>100</v>
      </c>
      <c r="G25" s="2478"/>
      <c r="H25" s="647">
        <f>SUMIF(75:75,G25,76:76)-SUMIF(75:75,C25,76:76)+100</f>
        <v>100</v>
      </c>
      <c r="I25" s="2478"/>
      <c r="J25" s="647">
        <f>SUMIF(75:75,I25,76:76)-SUMIF(75:75,C25,76:76)+100</f>
        <v>100</v>
      </c>
      <c r="K25" s="596"/>
      <c r="L25" s="1240"/>
      <c r="M25" s="1241"/>
      <c r="N25" s="1241"/>
      <c r="O25" s="1242"/>
      <c r="P25" s="3019"/>
      <c r="Q25" s="1882">
        <f t="shared" si="8"/>
        <v>111</v>
      </c>
      <c r="R25" s="747" t="s">
        <v>25</v>
      </c>
      <c r="S25" s="748">
        <f>F25</f>
        <v>100</v>
      </c>
      <c r="T25" s="747" t="s">
        <v>25</v>
      </c>
      <c r="U25" s="748">
        <f>H25</f>
        <v>100</v>
      </c>
      <c r="V25" s="747" t="s">
        <v>25</v>
      </c>
      <c r="W25" s="748">
        <f>J25</f>
        <v>100</v>
      </c>
      <c r="X25" s="749"/>
      <c r="Y25" s="3019"/>
      <c r="Z25" s="23">
        <f>Q25</f>
        <v>111</v>
      </c>
      <c r="AA25" s="1898">
        <f>D25/F25</f>
        <v>1</v>
      </c>
      <c r="AB25" s="1898">
        <f>D25/H25</f>
        <v>1</v>
      </c>
      <c r="AC25" s="1898">
        <f>D25/J25</f>
        <v>1</v>
      </c>
    </row>
    <row r="26" spans="1:29" ht="15">
      <c r="A26" s="446" t="s">
        <v>2372</v>
      </c>
      <c r="B26" s="28" t="s">
        <v>2516</v>
      </c>
      <c r="C26" s="2469"/>
      <c r="D26" s="447">
        <v>100</v>
      </c>
      <c r="E26" s="2469"/>
      <c r="F26" s="649">
        <f>SUMIF(77:77,E26,78:78)-SUMIF(77:77,C26,78:78)+100</f>
        <v>100</v>
      </c>
      <c r="G26" s="2469"/>
      <c r="H26" s="447">
        <f>SUMIF(77:77,G26,78:78)-SUMIF(77:77,C26,78:78)+100</f>
        <v>100</v>
      </c>
      <c r="I26" s="2469"/>
      <c r="J26" s="447">
        <f>SUMIF(77:77,I26,78:78)-SUMIF(77:77,C26,78:78)+100</f>
        <v>100</v>
      </c>
      <c r="K26" s="595"/>
      <c r="L26" s="1248"/>
      <c r="M26" s="1239"/>
      <c r="N26" s="1239"/>
      <c r="O26" s="1247"/>
      <c r="P26" s="3052" t="s">
        <v>2374</v>
      </c>
      <c r="Q26" s="1894" t="str">
        <f t="shared" si="8"/>
        <v>公共部分装修</v>
      </c>
      <c r="R26" s="751" t="s">
        <v>25</v>
      </c>
      <c r="S26" s="752">
        <f t="shared" ref="S26:S34" si="9">F26</f>
        <v>100</v>
      </c>
      <c r="T26" s="751" t="s">
        <v>25</v>
      </c>
      <c r="U26" s="752">
        <f t="shared" ref="U26:U34" si="10">H26</f>
        <v>100</v>
      </c>
      <c r="V26" s="751" t="s">
        <v>25</v>
      </c>
      <c r="W26" s="752">
        <f t="shared" ref="W26:W34" si="11">J26</f>
        <v>100</v>
      </c>
      <c r="X26" s="1895"/>
      <c r="Y26" s="3023" t="s">
        <v>2374</v>
      </c>
      <c r="Z26" s="1897" t="str">
        <f t="shared" ref="Z26:Z34" si="12">Q26</f>
        <v>公共部分装修</v>
      </c>
      <c r="AA26" s="1898">
        <f t="shared" si="3"/>
        <v>1</v>
      </c>
      <c r="AB26" s="1898">
        <f t="shared" si="4"/>
        <v>1</v>
      </c>
      <c r="AC26" s="1898">
        <f t="shared" si="5"/>
        <v>1</v>
      </c>
    </row>
    <row r="27" spans="1:29" s="451" customFormat="1" ht="15">
      <c r="A27" s="448"/>
      <c r="B27" s="401" t="s">
        <v>2517</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23"/>
      <c r="Q27" s="753" t="str">
        <f t="shared" si="8"/>
        <v>成新率</v>
      </c>
      <c r="R27" s="754" t="s">
        <v>25</v>
      </c>
      <c r="S27" s="755" t="e">
        <f t="shared" si="9"/>
        <v>#N/A</v>
      </c>
      <c r="T27" s="754" t="s">
        <v>25</v>
      </c>
      <c r="U27" s="755" t="e">
        <f t="shared" si="10"/>
        <v>#N/A</v>
      </c>
      <c r="V27" s="754" t="s">
        <v>25</v>
      </c>
      <c r="W27" s="755" t="e">
        <f t="shared" si="11"/>
        <v>#N/A</v>
      </c>
      <c r="X27" s="756"/>
      <c r="Y27" s="3023"/>
      <c r="Z27" s="757" t="str">
        <f t="shared" si="12"/>
        <v>成新率</v>
      </c>
      <c r="AA27" s="1898" t="e">
        <f t="shared" si="3"/>
        <v>#N/A</v>
      </c>
      <c r="AB27" s="1898" t="e">
        <f t="shared" si="4"/>
        <v>#N/A</v>
      </c>
      <c r="AC27" s="1898" t="e">
        <f t="shared" si="5"/>
        <v>#N/A</v>
      </c>
    </row>
    <row r="28" spans="1:29" ht="15">
      <c r="A28" s="452"/>
      <c r="B28" s="401" t="s">
        <v>2518</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23"/>
      <c r="Q28" s="1894" t="str">
        <f t="shared" si="8"/>
        <v>物业等级</v>
      </c>
      <c r="R28" s="751" t="s">
        <v>25</v>
      </c>
      <c r="S28" s="752">
        <f t="shared" si="9"/>
        <v>100</v>
      </c>
      <c r="T28" s="751" t="s">
        <v>25</v>
      </c>
      <c r="U28" s="752">
        <f t="shared" si="10"/>
        <v>100</v>
      </c>
      <c r="V28" s="751" t="s">
        <v>25</v>
      </c>
      <c r="W28" s="752">
        <f t="shared" si="11"/>
        <v>100</v>
      </c>
      <c r="X28" s="1895"/>
      <c r="Y28" s="3023"/>
      <c r="Z28" s="1897" t="str">
        <f t="shared" si="12"/>
        <v>物业等级</v>
      </c>
      <c r="AA28" s="1898">
        <f t="shared" si="3"/>
        <v>1</v>
      </c>
      <c r="AB28" s="1898">
        <f t="shared" si="4"/>
        <v>1</v>
      </c>
      <c r="AC28" s="1898">
        <f t="shared" si="5"/>
        <v>1</v>
      </c>
    </row>
    <row r="29" spans="1:29" ht="15">
      <c r="A29" s="452"/>
      <c r="B29" s="401" t="s">
        <v>2539</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23"/>
      <c r="Q29" s="1894" t="str">
        <f t="shared" si="8"/>
        <v>有无电梯</v>
      </c>
      <c r="R29" s="751" t="s">
        <v>25</v>
      </c>
      <c r="S29" s="752">
        <f t="shared" si="9"/>
        <v>100</v>
      </c>
      <c r="T29" s="751" t="s">
        <v>25</v>
      </c>
      <c r="U29" s="752">
        <f t="shared" si="10"/>
        <v>100</v>
      </c>
      <c r="V29" s="751" t="s">
        <v>25</v>
      </c>
      <c r="W29" s="752">
        <f t="shared" si="11"/>
        <v>100</v>
      </c>
      <c r="X29" s="1895"/>
      <c r="Y29" s="3023"/>
      <c r="Z29" s="1897" t="str">
        <f t="shared" si="12"/>
        <v>有无电梯</v>
      </c>
      <c r="AA29" s="1898">
        <f t="shared" si="3"/>
        <v>1</v>
      </c>
      <c r="AB29" s="1898">
        <f t="shared" si="4"/>
        <v>1</v>
      </c>
      <c r="AC29" s="1898">
        <f t="shared" si="5"/>
        <v>1</v>
      </c>
    </row>
    <row r="30" spans="1:29" ht="15">
      <c r="A30" s="452"/>
      <c r="B30" s="401" t="s">
        <v>2540</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23"/>
      <c r="Q30" s="1894" t="str">
        <f t="shared" si="8"/>
        <v>建筑面积</v>
      </c>
      <c r="R30" s="751" t="s">
        <v>25</v>
      </c>
      <c r="S30" s="752" t="e">
        <f t="shared" si="9"/>
        <v>#N/A</v>
      </c>
      <c r="T30" s="751" t="s">
        <v>25</v>
      </c>
      <c r="U30" s="752" t="e">
        <f t="shared" si="10"/>
        <v>#N/A</v>
      </c>
      <c r="V30" s="751" t="s">
        <v>25</v>
      </c>
      <c r="W30" s="752" t="e">
        <f t="shared" si="11"/>
        <v>#N/A</v>
      </c>
      <c r="X30" s="1895"/>
      <c r="Y30" s="3023"/>
      <c r="Z30" s="1897" t="str">
        <f t="shared" si="12"/>
        <v>建筑面积</v>
      </c>
      <c r="AA30" s="1898" t="e">
        <f t="shared" si="3"/>
        <v>#N/A</v>
      </c>
      <c r="AB30" s="1898" t="e">
        <f t="shared" si="4"/>
        <v>#N/A</v>
      </c>
      <c r="AC30" s="1898" t="e">
        <f t="shared" si="5"/>
        <v>#N/A</v>
      </c>
    </row>
    <row r="31" spans="1:29" s="35" customFormat="1" ht="15">
      <c r="A31" s="453"/>
      <c r="B31" s="401" t="s">
        <v>2541</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23"/>
      <c r="Q31" s="1882" t="str">
        <f t="shared" si="8"/>
        <v>是否封闭</v>
      </c>
      <c r="R31" s="747" t="s">
        <v>25</v>
      </c>
      <c r="S31" s="748">
        <f t="shared" si="9"/>
        <v>100</v>
      </c>
      <c r="T31" s="747" t="s">
        <v>25</v>
      </c>
      <c r="U31" s="748">
        <f t="shared" si="10"/>
        <v>100</v>
      </c>
      <c r="V31" s="747" t="s">
        <v>25</v>
      </c>
      <c r="W31" s="748">
        <f t="shared" si="11"/>
        <v>100</v>
      </c>
      <c r="X31" s="749"/>
      <c r="Y31" s="3023"/>
      <c r="Z31" s="23" t="str">
        <f t="shared" si="12"/>
        <v>是否封闭</v>
      </c>
      <c r="AA31" s="750">
        <f t="shared" si="3"/>
        <v>1</v>
      </c>
      <c r="AB31" s="750">
        <f t="shared" si="4"/>
        <v>1</v>
      </c>
      <c r="AC31" s="750">
        <f t="shared" si="5"/>
        <v>1</v>
      </c>
    </row>
    <row r="32" spans="1:29" ht="15">
      <c r="A32" s="452"/>
      <c r="B32" s="2396">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23" t="s">
        <v>2374</v>
      </c>
      <c r="Q32" s="1894">
        <f t="shared" si="8"/>
        <v>111</v>
      </c>
      <c r="R32" s="751" t="s">
        <v>25</v>
      </c>
      <c r="S32" s="752">
        <f t="shared" si="9"/>
        <v>100</v>
      </c>
      <c r="T32" s="751" t="s">
        <v>25</v>
      </c>
      <c r="U32" s="752">
        <f t="shared" si="10"/>
        <v>100</v>
      </c>
      <c r="V32" s="751" t="s">
        <v>25</v>
      </c>
      <c r="W32" s="752">
        <f t="shared" si="11"/>
        <v>100</v>
      </c>
      <c r="X32" s="1895"/>
      <c r="Y32" s="3023" t="s">
        <v>2374</v>
      </c>
      <c r="Z32" s="1897">
        <f t="shared" si="12"/>
        <v>111</v>
      </c>
      <c r="AA32" s="1898">
        <f t="shared" si="3"/>
        <v>1</v>
      </c>
      <c r="AB32" s="1898">
        <f t="shared" si="4"/>
        <v>1</v>
      </c>
      <c r="AC32" s="1898">
        <f t="shared" si="5"/>
        <v>1</v>
      </c>
    </row>
    <row r="33" spans="1:29" ht="15">
      <c r="A33" s="452"/>
      <c r="B33" s="2396">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23"/>
      <c r="Q33" s="1894">
        <f t="shared" si="8"/>
        <v>111</v>
      </c>
      <c r="R33" s="751" t="s">
        <v>25</v>
      </c>
      <c r="S33" s="752">
        <f t="shared" si="9"/>
        <v>100</v>
      </c>
      <c r="T33" s="751" t="s">
        <v>25</v>
      </c>
      <c r="U33" s="752">
        <f t="shared" si="10"/>
        <v>100</v>
      </c>
      <c r="V33" s="751" t="s">
        <v>25</v>
      </c>
      <c r="W33" s="752">
        <f t="shared" si="11"/>
        <v>100</v>
      </c>
      <c r="X33" s="1895"/>
      <c r="Y33" s="3023"/>
      <c r="Z33" s="1897">
        <f t="shared" si="12"/>
        <v>111</v>
      </c>
      <c r="AA33" s="1898">
        <f t="shared" si="3"/>
        <v>1</v>
      </c>
      <c r="AB33" s="1898">
        <f t="shared" si="4"/>
        <v>1</v>
      </c>
      <c r="AC33" s="1898">
        <f t="shared" si="5"/>
        <v>1</v>
      </c>
    </row>
    <row r="34" spans="1:29" ht="15.75" thickBot="1">
      <c r="A34" s="458"/>
      <c r="B34" s="2398">
        <v>111</v>
      </c>
      <c r="C34" s="2399"/>
      <c r="D34" s="416">
        <v>100</v>
      </c>
      <c r="E34" s="2479"/>
      <c r="F34" s="417">
        <f>SUMIF(95:95,E34,96:96)-SUMIF(95:95,C34,96:96)+100</f>
        <v>100</v>
      </c>
      <c r="G34" s="2479"/>
      <c r="H34" s="416">
        <f>SUMIF(95:95,G34,96:96)-SUMIF(95:95,C34,96:96)+100</f>
        <v>100</v>
      </c>
      <c r="I34" s="2479"/>
      <c r="J34" s="416">
        <f>SUMIF(95:95,I34,96:96)-SUMIF(95:95,C34,96:96)+100</f>
        <v>100</v>
      </c>
      <c r="K34" s="596"/>
      <c r="L34" s="1248"/>
      <c r="M34" s="1239"/>
      <c r="N34" s="1239"/>
      <c r="O34" s="1247"/>
      <c r="P34" s="3023"/>
      <c r="Q34" s="1894">
        <f t="shared" si="8"/>
        <v>111</v>
      </c>
      <c r="R34" s="751" t="s">
        <v>25</v>
      </c>
      <c r="S34" s="752">
        <f t="shared" si="9"/>
        <v>100</v>
      </c>
      <c r="T34" s="751" t="s">
        <v>25</v>
      </c>
      <c r="U34" s="752">
        <f t="shared" si="10"/>
        <v>100</v>
      </c>
      <c r="V34" s="751" t="s">
        <v>25</v>
      </c>
      <c r="W34" s="752">
        <f t="shared" si="11"/>
        <v>100</v>
      </c>
      <c r="X34" s="1895"/>
      <c r="Y34" s="3023"/>
      <c r="Z34" s="1897">
        <f t="shared" si="12"/>
        <v>111</v>
      </c>
      <c r="AA34" s="1898">
        <f t="shared" si="3"/>
        <v>1</v>
      </c>
      <c r="AB34" s="1898">
        <f t="shared" si="4"/>
        <v>1</v>
      </c>
      <c r="AC34" s="1898">
        <f t="shared" si="5"/>
        <v>1</v>
      </c>
    </row>
    <row r="35" spans="1:29" ht="15">
      <c r="A35" s="459" t="s">
        <v>2386</v>
      </c>
      <c r="B35" s="460"/>
      <c r="C35" s="1497" t="s">
        <v>1</v>
      </c>
      <c r="D35" s="1498"/>
      <c r="E35" s="1499"/>
      <c r="F35" s="1500"/>
      <c r="G35" s="1501"/>
      <c r="H35" s="1502"/>
      <c r="I35" s="1499"/>
      <c r="J35" s="1502"/>
      <c r="K35" s="760"/>
      <c r="L35" s="1251"/>
      <c r="M35" s="1252"/>
      <c r="N35" s="1239"/>
      <c r="O35" s="1252"/>
      <c r="P35" s="3029" t="str">
        <f>A35</f>
        <v>成交单价（元/平方米）</v>
      </c>
      <c r="Q35" s="3029"/>
      <c r="R35" s="3030">
        <f>E35</f>
        <v>0</v>
      </c>
      <c r="S35" s="3030"/>
      <c r="T35" s="3030">
        <f>G35</f>
        <v>0</v>
      </c>
      <c r="U35" s="3030"/>
      <c r="V35" s="3030">
        <f>I35</f>
        <v>0</v>
      </c>
      <c r="W35" s="3030"/>
      <c r="X35" s="736"/>
      <c r="Y35" s="758"/>
      <c r="Z35" s="736"/>
      <c r="AA35" s="736"/>
      <c r="AB35" s="736"/>
      <c r="AC35" s="736"/>
    </row>
    <row r="36" spans="1:29" ht="15.75" thickBot="1">
      <c r="A36" s="466" t="s">
        <v>2469</v>
      </c>
      <c r="B36" s="467"/>
      <c r="C36" s="1503" t="e">
        <f>R37</f>
        <v>#DIV/0!</v>
      </c>
      <c r="D36" s="1504"/>
      <c r="E36" s="1505" t="e">
        <f>R36</f>
        <v>#DIV/0!</v>
      </c>
      <c r="F36" s="1505"/>
      <c r="G36" s="1503" t="e">
        <f>T36</f>
        <v>#DIV/0!</v>
      </c>
      <c r="H36" s="1504"/>
      <c r="I36" s="1505" t="e">
        <f>V36</f>
        <v>#DIV/0!</v>
      </c>
      <c r="J36" s="1504"/>
      <c r="K36" s="761"/>
      <c r="L36" s="1251"/>
      <c r="M36" s="1252"/>
      <c r="N36" s="1239"/>
      <c r="O36" s="1252"/>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6"/>
      <c r="Y36" s="736"/>
      <c r="Z36" s="736"/>
      <c r="AA36" s="736"/>
      <c r="AB36" s="736"/>
      <c r="AC36" s="736"/>
    </row>
    <row r="37" spans="1:29" ht="15.75" thickBot="1">
      <c r="A37" s="472" t="s">
        <v>2492</v>
      </c>
      <c r="B37" s="473"/>
      <c r="C37" s="1507" t="e">
        <f>R37</f>
        <v>#DIV/0!</v>
      </c>
      <c r="D37" s="1507"/>
      <c r="E37" s="1507"/>
      <c r="F37" s="1507"/>
      <c r="G37" s="1507"/>
      <c r="H37" s="1507"/>
      <c r="I37" s="1507"/>
      <c r="J37" s="1507"/>
      <c r="K37" s="762"/>
      <c r="L37" s="1251"/>
      <c r="M37" s="1252"/>
      <c r="N37" s="1252"/>
      <c r="O37" s="1252"/>
      <c r="P37" s="3035" t="str">
        <f>A37</f>
        <v>估价对象XX用房的比较价值（楼面单价，元/平方米）</v>
      </c>
      <c r="Q37" s="3036"/>
      <c r="R37" s="3037" t="e">
        <f>IF(E1="售价",ROUND(AVERAGE(R36:V36),0),ROUND(AVERAGE(R36:V36),1))</f>
        <v>#DIV/0!</v>
      </c>
      <c r="S37" s="3037"/>
      <c r="T37" s="3037"/>
      <c r="U37" s="3037"/>
      <c r="V37" s="3037"/>
      <c r="W37" s="3037"/>
      <c r="X37" s="736"/>
      <c r="Y37" s="736"/>
      <c r="Z37" s="736"/>
      <c r="AA37" s="736"/>
      <c r="AB37" s="736"/>
      <c r="AC37" s="736"/>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2471</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2472</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2473</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0" t="s">
        <v>2474</v>
      </c>
      <c r="B45" s="736"/>
      <c r="C45" s="741"/>
      <c r="D45" s="741"/>
      <c r="E45" s="741"/>
      <c r="F45" s="742"/>
      <c r="G45" s="742"/>
      <c r="H45" s="741"/>
      <c r="I45" s="741"/>
      <c r="J45" s="741"/>
      <c r="K45" s="743"/>
      <c r="L45" s="744"/>
      <c r="M45" s="741"/>
      <c r="N45" s="741"/>
      <c r="O45" s="741"/>
      <c r="P45" s="483"/>
      <c r="Q45" s="484"/>
    </row>
    <row r="46" spans="1:29" s="488" customFormat="1" ht="15">
      <c r="A46" s="485" t="s">
        <v>2356</v>
      </c>
      <c r="B46" s="486"/>
      <c r="C46" s="1673" t="str">
        <f>YEAR(C7)&amp;"-"&amp;MONTH(C7)</f>
        <v>2018-6</v>
      </c>
      <c r="D46" s="1674">
        <f>EDATE(C46,-1)</f>
        <v>43221</v>
      </c>
      <c r="E46" s="1674">
        <f t="shared" ref="E46:O46" si="13">EDATE(D46,-1)</f>
        <v>43191</v>
      </c>
      <c r="F46" s="1674">
        <f t="shared" si="13"/>
        <v>43160</v>
      </c>
      <c r="G46" s="1674">
        <f t="shared" si="13"/>
        <v>43132</v>
      </c>
      <c r="H46" s="1674">
        <f t="shared" si="13"/>
        <v>43101</v>
      </c>
      <c r="I46" s="1674">
        <f t="shared" si="13"/>
        <v>43070</v>
      </c>
      <c r="J46" s="1674">
        <f t="shared" si="13"/>
        <v>43040</v>
      </c>
      <c r="K46" s="1674">
        <f t="shared" si="13"/>
        <v>43009</v>
      </c>
      <c r="L46" s="1674">
        <f t="shared" si="13"/>
        <v>42979</v>
      </c>
      <c r="M46" s="1674">
        <f t="shared" si="13"/>
        <v>42948</v>
      </c>
      <c r="N46" s="1674">
        <f t="shared" si="13"/>
        <v>42917</v>
      </c>
      <c r="O46" s="1674">
        <f t="shared" si="13"/>
        <v>42887</v>
      </c>
      <c r="P46" s="487"/>
    </row>
    <row r="47" spans="1:29" s="35" customFormat="1" ht="15">
      <c r="A47" s="489"/>
      <c r="B47" s="490"/>
      <c r="C47" s="1672">
        <v>100</v>
      </c>
      <c r="D47" s="492"/>
      <c r="E47" s="492"/>
      <c r="F47" s="492"/>
      <c r="G47" s="492"/>
      <c r="H47" s="492"/>
      <c r="I47" s="492"/>
      <c r="J47" s="492"/>
      <c r="K47" s="492"/>
      <c r="L47" s="492"/>
      <c r="M47" s="493"/>
      <c r="N47" s="492"/>
      <c r="O47" s="494"/>
      <c r="P47" s="484"/>
    </row>
    <row r="48" spans="1:29" s="35" customFormat="1" ht="15.75" thickBot="1">
      <c r="A48" s="495" t="s">
        <v>2394</v>
      </c>
      <c r="B48" s="496"/>
      <c r="C48" s="497"/>
      <c r="D48" s="498"/>
      <c r="E48" s="498"/>
      <c r="F48" s="498"/>
      <c r="G48" s="498"/>
      <c r="H48" s="498"/>
      <c r="I48" s="498"/>
      <c r="J48" s="498"/>
      <c r="K48" s="498"/>
      <c r="L48" s="498"/>
      <c r="M48" s="499"/>
      <c r="N48" s="498"/>
      <c r="O48" s="500"/>
      <c r="P48" s="484"/>
      <c r="Q48" s="484"/>
    </row>
    <row r="49" spans="1:17" s="35" customFormat="1" ht="15">
      <c r="A49" s="501" t="s">
        <v>2358</v>
      </c>
      <c r="B49" s="490"/>
      <c r="C49" s="502" t="s">
        <v>2359</v>
      </c>
      <c r="D49" s="503"/>
      <c r="E49" s="503"/>
      <c r="F49" s="503"/>
      <c r="G49" s="503"/>
      <c r="H49" s="503"/>
      <c r="I49" s="503"/>
      <c r="J49" s="503"/>
      <c r="K49" s="503"/>
      <c r="L49" s="504"/>
      <c r="M49" s="505"/>
      <c r="N49" s="1261"/>
      <c r="O49" s="1261"/>
      <c r="P49" s="506"/>
      <c r="Q49" s="484"/>
    </row>
    <row r="50" spans="1:17" s="35" customFormat="1" ht="15.75" thickBot="1">
      <c r="A50" s="501"/>
      <c r="B50" s="490"/>
      <c r="C50" s="622">
        <v>100</v>
      </c>
      <c r="D50" s="492"/>
      <c r="E50" s="492"/>
      <c r="F50" s="492"/>
      <c r="G50" s="492"/>
      <c r="H50" s="492"/>
      <c r="I50" s="492"/>
      <c r="J50" s="492"/>
      <c r="K50" s="492"/>
      <c r="L50" s="492"/>
      <c r="M50" s="494"/>
      <c r="N50" s="1261"/>
      <c r="O50" s="1261"/>
      <c r="P50" s="484"/>
      <c r="Q50" s="484"/>
    </row>
    <row r="51" spans="1:17">
      <c r="A51" s="507" t="s">
        <v>2397</v>
      </c>
      <c r="B51" s="508" t="s">
        <v>2362</v>
      </c>
      <c r="C51" s="509">
        <f>C9</f>
        <v>0</v>
      </c>
      <c r="D51" s="510"/>
      <c r="E51" s="510"/>
      <c r="F51" s="510"/>
      <c r="G51" s="510"/>
      <c r="H51" s="510"/>
      <c r="I51" s="510"/>
      <c r="J51" s="510"/>
      <c r="K51" s="511"/>
      <c r="L51" s="512"/>
      <c r="M51" s="513"/>
      <c r="N51" s="1262"/>
      <c r="O51" s="1262"/>
      <c r="P51" s="22"/>
      <c r="Q51" s="484"/>
    </row>
    <row r="52" spans="1:17" ht="15.75" thickBot="1">
      <c r="A52" s="515"/>
      <c r="B52" s="516"/>
      <c r="C52" s="517">
        <v>100</v>
      </c>
      <c r="D52" s="517"/>
      <c r="E52" s="517"/>
      <c r="F52" s="517"/>
      <c r="G52" s="517"/>
      <c r="H52" s="517"/>
      <c r="I52" s="517"/>
      <c r="J52" s="517"/>
      <c r="K52" s="517"/>
      <c r="L52" s="517"/>
      <c r="M52" s="518"/>
      <c r="N52" s="1263"/>
      <c r="O52" s="1263"/>
      <c r="P52" s="22"/>
      <c r="Q52" s="484"/>
    </row>
    <row r="53" spans="1:17" ht="27.75" thickTop="1">
      <c r="A53" s="515"/>
      <c r="B53" s="520" t="s">
        <v>2365</v>
      </c>
      <c r="C53" s="521" t="s">
        <v>2398</v>
      </c>
      <c r="D53" s="521" t="s">
        <v>2399</v>
      </c>
      <c r="E53" s="521" t="s">
        <v>2400</v>
      </c>
      <c r="F53" s="521" t="s">
        <v>2401</v>
      </c>
      <c r="G53" s="521" t="s">
        <v>2402</v>
      </c>
      <c r="H53" s="521" t="s">
        <v>2403</v>
      </c>
      <c r="I53" s="521" t="s">
        <v>2404</v>
      </c>
      <c r="J53" s="521"/>
      <c r="K53" s="522"/>
      <c r="L53" s="523"/>
      <c r="M53" s="524"/>
      <c r="N53" s="1262"/>
      <c r="O53" s="1262"/>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5.75" thickTop="1">
      <c r="A55" s="515"/>
      <c r="B55" s="642">
        <f>B11</f>
        <v>111</v>
      </c>
      <c r="C55" s="531"/>
      <c r="D55" s="531"/>
      <c r="E55" s="531"/>
      <c r="F55" s="531"/>
      <c r="G55" s="531"/>
      <c r="H55" s="531"/>
      <c r="I55" s="531"/>
      <c r="J55" s="531"/>
      <c r="K55" s="532"/>
      <c r="L55" s="533"/>
      <c r="M55" s="534"/>
      <c r="N55" s="1262"/>
      <c r="O55" s="1262"/>
      <c r="P55" s="22"/>
      <c r="Q55" s="484"/>
    </row>
    <row r="56" spans="1:17" ht="15.75" thickBot="1">
      <c r="A56" s="515"/>
      <c r="B56" s="516"/>
      <c r="C56" s="543"/>
      <c r="D56" s="517"/>
      <c r="E56" s="517"/>
      <c r="F56" s="517"/>
      <c r="G56" s="517"/>
      <c r="H56" s="517"/>
      <c r="I56" s="517"/>
      <c r="J56" s="517"/>
      <c r="K56" s="517"/>
      <c r="L56" s="517"/>
      <c r="M56" s="518"/>
      <c r="N56" s="1263"/>
      <c r="O56" s="1263"/>
      <c r="P56" s="22"/>
      <c r="Q56" s="484"/>
    </row>
    <row r="57" spans="1:17" s="451" customFormat="1" ht="15.75" thickTop="1">
      <c r="A57" s="535"/>
      <c r="B57" s="520">
        <f>B12</f>
        <v>111</v>
      </c>
      <c r="C57" s="531"/>
      <c r="D57" s="531"/>
      <c r="E57" s="531"/>
      <c r="F57" s="531"/>
      <c r="G57" s="536"/>
      <c r="H57" s="537"/>
      <c r="I57" s="537"/>
      <c r="J57" s="537"/>
      <c r="K57" s="537"/>
      <c r="L57" s="538"/>
      <c r="M57" s="539"/>
      <c r="N57" s="1264"/>
      <c r="O57" s="1264"/>
      <c r="P57" s="541"/>
      <c r="Q57" s="542"/>
    </row>
    <row r="58" spans="1:17" s="451" customFormat="1" ht="15.75" thickBot="1">
      <c r="A58" s="535"/>
      <c r="B58" s="525"/>
      <c r="C58" s="543"/>
      <c r="D58" s="517"/>
      <c r="E58" s="517"/>
      <c r="F58" s="517"/>
      <c r="G58" s="517"/>
      <c r="H58" s="517"/>
      <c r="I58" s="517"/>
      <c r="J58" s="517"/>
      <c r="K58" s="517"/>
      <c r="L58" s="517"/>
      <c r="M58" s="518"/>
      <c r="N58" s="1263"/>
      <c r="O58" s="1263"/>
      <c r="P58" s="541"/>
      <c r="Q58" s="542"/>
    </row>
    <row r="59" spans="1:17" s="451" customFormat="1" ht="15.75" thickTop="1">
      <c r="A59" s="535"/>
      <c r="B59" s="520">
        <f>B13</f>
        <v>111</v>
      </c>
      <c r="C59" s="531"/>
      <c r="D59" s="531"/>
      <c r="E59" s="531"/>
      <c r="F59" s="531"/>
      <c r="G59" s="536"/>
      <c r="H59" s="537"/>
      <c r="I59" s="537"/>
      <c r="J59" s="537"/>
      <c r="K59" s="537"/>
      <c r="L59" s="538"/>
      <c r="M59" s="539"/>
      <c r="N59" s="1264"/>
      <c r="O59" s="1264"/>
      <c r="P59" s="450"/>
      <c r="Q59" s="544"/>
    </row>
    <row r="60" spans="1:17" s="451" customFormat="1" ht="15.75" thickBot="1">
      <c r="A60" s="535"/>
      <c r="B60" s="525"/>
      <c r="C60" s="543"/>
      <c r="D60" s="543"/>
      <c r="E60" s="543"/>
      <c r="F60" s="543"/>
      <c r="G60" s="543"/>
      <c r="H60" s="545"/>
      <c r="I60" s="545"/>
      <c r="J60" s="545"/>
      <c r="K60" s="545"/>
      <c r="L60" s="545"/>
      <c r="M60" s="546"/>
      <c r="N60" s="1264"/>
      <c r="O60" s="1264"/>
      <c r="P60" s="541"/>
      <c r="Q60" s="542"/>
    </row>
    <row r="61" spans="1:17" ht="15" thickTop="1">
      <c r="A61" s="507" t="s">
        <v>2367</v>
      </c>
      <c r="B61" s="508" t="s">
        <v>2411</v>
      </c>
      <c r="C61" s="556" t="s">
        <v>2406</v>
      </c>
      <c r="D61" s="556" t="s">
        <v>2407</v>
      </c>
      <c r="E61" s="556" t="s">
        <v>2408</v>
      </c>
      <c r="F61" s="556" t="s">
        <v>2409</v>
      </c>
      <c r="G61" s="556" t="s">
        <v>2410</v>
      </c>
      <c r="H61" s="509"/>
      <c r="I61" s="509"/>
      <c r="J61" s="509"/>
      <c r="K61" s="557"/>
      <c r="L61" s="558"/>
      <c r="M61" s="559"/>
      <c r="N61" s="1262"/>
      <c r="O61" s="1262"/>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75" thickTop="1">
      <c r="A63" s="515"/>
      <c r="B63" s="520" t="s">
        <v>2412</v>
      </c>
      <c r="C63" s="561" t="s">
        <v>2406</v>
      </c>
      <c r="D63" s="561" t="s">
        <v>2407</v>
      </c>
      <c r="E63" s="561" t="s">
        <v>2408</v>
      </c>
      <c r="F63" s="561" t="s">
        <v>2409</v>
      </c>
      <c r="G63" s="561" t="s">
        <v>2410</v>
      </c>
      <c r="H63" s="521"/>
      <c r="I63" s="521"/>
      <c r="J63" s="521"/>
      <c r="K63" s="522"/>
      <c r="L63" s="523"/>
      <c r="M63" s="524"/>
      <c r="N63" s="1262"/>
      <c r="O63" s="1262"/>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75" thickTop="1">
      <c r="A65" s="515"/>
      <c r="B65" s="528" t="s">
        <v>2484</v>
      </c>
      <c r="C65" s="521" t="s">
        <v>2413</v>
      </c>
      <c r="D65" s="521" t="s">
        <v>2414</v>
      </c>
      <c r="E65" s="521" t="s">
        <v>2415</v>
      </c>
      <c r="F65" s="521" t="s">
        <v>2416</v>
      </c>
      <c r="G65" s="521" t="s">
        <v>2417</v>
      </c>
      <c r="H65" s="521"/>
      <c r="I65" s="521"/>
      <c r="J65" s="521"/>
      <c r="K65" s="521"/>
      <c r="L65" s="521"/>
      <c r="M65" s="1462"/>
      <c r="N65" s="1263"/>
      <c r="O65" s="1263"/>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75" thickTop="1">
      <c r="A67" s="515"/>
      <c r="B67" s="520" t="s">
        <v>2418</v>
      </c>
      <c r="C67" s="561" t="s">
        <v>2406</v>
      </c>
      <c r="D67" s="561" t="s">
        <v>2407</v>
      </c>
      <c r="E67" s="561" t="s">
        <v>2408</v>
      </c>
      <c r="F67" s="561" t="s">
        <v>2409</v>
      </c>
      <c r="G67" s="561" t="s">
        <v>2410</v>
      </c>
      <c r="H67" s="521"/>
      <c r="I67" s="521"/>
      <c r="J67" s="521"/>
      <c r="K67" s="522"/>
      <c r="L67" s="523"/>
      <c r="M67" s="524"/>
      <c r="N67" s="1262"/>
      <c r="O67" s="1262"/>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75" thickTop="1">
      <c r="A69" s="515"/>
      <c r="B69" s="520" t="s">
        <v>2531</v>
      </c>
      <c r="C69" s="536"/>
      <c r="D69" s="536"/>
      <c r="E69" s="536"/>
      <c r="F69" s="536"/>
      <c r="G69" s="536"/>
      <c r="H69" s="566"/>
      <c r="I69" s="566"/>
      <c r="J69" s="566"/>
      <c r="K69" s="567"/>
      <c r="L69" s="568"/>
      <c r="M69" s="569"/>
      <c r="N69" s="1262"/>
      <c r="O69" s="1262"/>
      <c r="P69" s="22"/>
      <c r="Q69" s="484"/>
    </row>
    <row r="70" spans="1:17" ht="15.75" thickBot="1">
      <c r="A70" s="515"/>
      <c r="B70" s="525"/>
      <c r="C70" s="526">
        <v>100</v>
      </c>
      <c r="D70" s="526">
        <f>C70-$K22</f>
        <v>100</v>
      </c>
      <c r="E70" s="526"/>
      <c r="F70" s="526"/>
      <c r="G70" s="526"/>
      <c r="H70" s="526"/>
      <c r="I70" s="526"/>
      <c r="J70" s="526"/>
      <c r="K70" s="526"/>
      <c r="L70" s="526"/>
      <c r="M70" s="527"/>
      <c r="N70" s="1263"/>
      <c r="O70" s="1263"/>
      <c r="P70" s="22"/>
      <c r="Q70" s="484"/>
    </row>
    <row r="71" spans="1:17" s="35" customFormat="1" ht="15.75" thickTop="1">
      <c r="A71" s="562"/>
      <c r="B71" s="520">
        <f>B23</f>
        <v>111</v>
      </c>
      <c r="C71" s="531"/>
      <c r="D71" s="531"/>
      <c r="E71" s="531"/>
      <c r="F71" s="531"/>
      <c r="G71" s="536"/>
      <c r="H71" s="536"/>
      <c r="I71" s="536"/>
      <c r="J71" s="536"/>
      <c r="K71" s="536"/>
      <c r="L71" s="563"/>
      <c r="M71" s="564"/>
      <c r="N71" s="1261"/>
      <c r="O71" s="1261"/>
      <c r="P71" s="22"/>
      <c r="Q71" s="484"/>
    </row>
    <row r="72" spans="1:17" s="35" customFormat="1" ht="15.75" thickBot="1">
      <c r="A72" s="562"/>
      <c r="B72" s="525"/>
      <c r="C72" s="543"/>
      <c r="D72" s="517"/>
      <c r="E72" s="517"/>
      <c r="F72" s="517"/>
      <c r="G72" s="517"/>
      <c r="H72" s="517"/>
      <c r="I72" s="517"/>
      <c r="J72" s="517"/>
      <c r="K72" s="517"/>
      <c r="L72" s="517"/>
      <c r="M72" s="518"/>
      <c r="N72" s="1263"/>
      <c r="O72" s="1263"/>
      <c r="P72" s="22"/>
      <c r="Q72" s="484"/>
    </row>
    <row r="73" spans="1:17" s="35" customFormat="1" ht="15.75" thickTop="1">
      <c r="A73" s="562"/>
      <c r="B73" s="520">
        <f>B24</f>
        <v>111</v>
      </c>
      <c r="C73" s="531"/>
      <c r="D73" s="531"/>
      <c r="E73" s="531"/>
      <c r="F73" s="531"/>
      <c r="G73" s="536"/>
      <c r="H73" s="536"/>
      <c r="I73" s="536"/>
      <c r="J73" s="536"/>
      <c r="K73" s="536"/>
      <c r="L73" s="536"/>
      <c r="M73" s="564"/>
      <c r="N73" s="1261"/>
      <c r="O73" s="1261"/>
      <c r="P73" s="22"/>
      <c r="Q73" s="484"/>
    </row>
    <row r="74" spans="1:17" s="35" customFormat="1" ht="15.75" thickBot="1">
      <c r="A74" s="562"/>
      <c r="B74" s="525"/>
      <c r="C74" s="543"/>
      <c r="D74" s="517"/>
      <c r="E74" s="517"/>
      <c r="F74" s="517"/>
      <c r="G74" s="517"/>
      <c r="H74" s="517"/>
      <c r="I74" s="517"/>
      <c r="J74" s="517"/>
      <c r="K74" s="517"/>
      <c r="L74" s="517"/>
      <c r="M74" s="518"/>
      <c r="N74" s="1263"/>
      <c r="O74" s="1263"/>
      <c r="P74" s="22"/>
      <c r="Q74" s="484"/>
    </row>
    <row r="75" spans="1:17" s="451" customFormat="1" ht="15.75" thickTop="1">
      <c r="A75" s="535"/>
      <c r="B75" s="520">
        <f>B25</f>
        <v>111</v>
      </c>
      <c r="C75" s="531"/>
      <c r="D75" s="531"/>
      <c r="E75" s="531"/>
      <c r="F75" s="531"/>
      <c r="G75" s="536"/>
      <c r="H75" s="537"/>
      <c r="I75" s="537"/>
      <c r="J75" s="537"/>
      <c r="K75" s="537"/>
      <c r="L75" s="538"/>
      <c r="M75" s="539"/>
      <c r="N75" s="1264"/>
      <c r="O75" s="1264"/>
      <c r="P75" s="541"/>
      <c r="Q75" s="542"/>
    </row>
    <row r="76" spans="1:17" s="451" customFormat="1" ht="15.75" thickBot="1">
      <c r="A76" s="535"/>
      <c r="B76" s="525"/>
      <c r="C76" s="543"/>
      <c r="D76" s="543"/>
      <c r="E76" s="543"/>
      <c r="F76" s="543"/>
      <c r="G76" s="517"/>
      <c r="H76" s="517"/>
      <c r="I76" s="517"/>
      <c r="J76" s="517"/>
      <c r="K76" s="517"/>
      <c r="L76" s="517"/>
      <c r="M76" s="518"/>
      <c r="N76" s="1264"/>
      <c r="O76" s="1264"/>
      <c r="P76" s="541"/>
      <c r="Q76" s="542"/>
    </row>
    <row r="77" spans="1:17" ht="15" thickTop="1">
      <c r="A77" s="507" t="s">
        <v>2372</v>
      </c>
      <c r="B77" s="508" t="s">
        <v>2425</v>
      </c>
      <c r="C77" s="536"/>
      <c r="D77" s="536"/>
      <c r="E77" s="510"/>
      <c r="F77" s="510"/>
      <c r="G77" s="510"/>
      <c r="H77" s="510"/>
      <c r="I77" s="510"/>
      <c r="J77" s="510"/>
      <c r="K77" s="511"/>
      <c r="L77" s="512"/>
      <c r="M77" s="513"/>
      <c r="N77" s="1262"/>
      <c r="O77" s="1262"/>
      <c r="P77" s="22"/>
      <c r="Q77" s="484"/>
    </row>
    <row r="78" spans="1:17" ht="15.75" thickBot="1">
      <c r="A78" s="515"/>
      <c r="B78" s="525"/>
      <c r="C78" s="526">
        <v>100</v>
      </c>
      <c r="D78" s="526">
        <f t="shared" ref="D78:M78" si="14">C78-$K26</f>
        <v>100</v>
      </c>
      <c r="E78" s="526">
        <f t="shared" si="14"/>
        <v>100</v>
      </c>
      <c r="F78" s="526">
        <f t="shared" si="14"/>
        <v>100</v>
      </c>
      <c r="G78" s="526">
        <f t="shared" si="14"/>
        <v>100</v>
      </c>
      <c r="H78" s="526">
        <f t="shared" si="14"/>
        <v>100</v>
      </c>
      <c r="I78" s="526">
        <f t="shared" si="14"/>
        <v>100</v>
      </c>
      <c r="J78" s="526">
        <f t="shared" si="14"/>
        <v>100</v>
      </c>
      <c r="K78" s="526">
        <f t="shared" si="14"/>
        <v>100</v>
      </c>
      <c r="L78" s="526">
        <f t="shared" si="14"/>
        <v>100</v>
      </c>
      <c r="M78" s="527">
        <f t="shared" si="14"/>
        <v>100</v>
      </c>
      <c r="N78" s="1263"/>
      <c r="O78" s="1263"/>
      <c r="P78" s="22"/>
      <c r="Q78" s="484"/>
    </row>
    <row r="79" spans="1:17" ht="15.75" thickTop="1">
      <c r="A79" s="515"/>
      <c r="B79" s="520" t="s">
        <v>2534</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ht="15">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5.75" thickBot="1">
      <c r="A81" s="535"/>
      <c r="B81" s="525"/>
      <c r="C81" s="565">
        <v>100</v>
      </c>
      <c r="D81" s="526">
        <f t="shared" ref="D81:M81" si="15">C81+$K27</f>
        <v>100</v>
      </c>
      <c r="E81" s="526">
        <f t="shared" si="15"/>
        <v>100</v>
      </c>
      <c r="F81" s="526">
        <f t="shared" si="15"/>
        <v>100</v>
      </c>
      <c r="G81" s="526">
        <f t="shared" si="15"/>
        <v>100</v>
      </c>
      <c r="H81" s="526">
        <f t="shared" si="15"/>
        <v>100</v>
      </c>
      <c r="I81" s="526">
        <f t="shared" si="15"/>
        <v>100</v>
      </c>
      <c r="J81" s="526">
        <f t="shared" si="15"/>
        <v>100</v>
      </c>
      <c r="K81" s="526">
        <f t="shared" si="15"/>
        <v>100</v>
      </c>
      <c r="L81" s="526">
        <f t="shared" si="15"/>
        <v>100</v>
      </c>
      <c r="M81" s="526">
        <f t="shared" si="15"/>
        <v>100</v>
      </c>
      <c r="N81" s="1263"/>
      <c r="O81" s="1263"/>
      <c r="P81" s="541"/>
      <c r="Q81" s="542"/>
    </row>
    <row r="82" spans="1:17" ht="15" thickTop="1">
      <c r="A82" s="582"/>
      <c r="B82" s="528" t="s">
        <v>2535</v>
      </c>
      <c r="C82" s="536"/>
      <c r="D82" s="536"/>
      <c r="E82" s="566"/>
      <c r="F82" s="566"/>
      <c r="G82" s="566"/>
      <c r="H82" s="566"/>
      <c r="I82" s="566"/>
      <c r="J82" s="566"/>
      <c r="K82" s="567"/>
      <c r="L82" s="568"/>
      <c r="M82" s="569"/>
      <c r="N82" s="1262"/>
      <c r="O82" s="1262"/>
      <c r="P82" s="22"/>
      <c r="Q82" s="484"/>
    </row>
    <row r="83" spans="1:17" ht="15.75" thickBot="1">
      <c r="A83" s="515"/>
      <c r="B83" s="525"/>
      <c r="C83" s="526">
        <v>100</v>
      </c>
      <c r="D83" s="526">
        <f t="shared" ref="D83:M83" si="16">C83-$K28</f>
        <v>100</v>
      </c>
      <c r="E83" s="526">
        <f t="shared" si="16"/>
        <v>100</v>
      </c>
      <c r="F83" s="526">
        <f t="shared" si="16"/>
        <v>100</v>
      </c>
      <c r="G83" s="526">
        <f t="shared" si="16"/>
        <v>100</v>
      </c>
      <c r="H83" s="526">
        <f t="shared" si="16"/>
        <v>100</v>
      </c>
      <c r="I83" s="526">
        <f t="shared" si="16"/>
        <v>100</v>
      </c>
      <c r="J83" s="526">
        <f t="shared" si="16"/>
        <v>100</v>
      </c>
      <c r="K83" s="526">
        <f t="shared" si="16"/>
        <v>100</v>
      </c>
      <c r="L83" s="526">
        <f t="shared" si="16"/>
        <v>100</v>
      </c>
      <c r="M83" s="527">
        <f t="shared" si="16"/>
        <v>100</v>
      </c>
      <c r="N83" s="1263"/>
      <c r="O83" s="1263"/>
      <c r="P83" s="22"/>
      <c r="Q83" s="484"/>
    </row>
    <row r="84" spans="1:17" ht="15" thickTop="1">
      <c r="A84" s="582"/>
      <c r="B84" s="520" t="s">
        <v>2542</v>
      </c>
      <c r="C84" s="536"/>
      <c r="D84" s="536"/>
      <c r="E84" s="536"/>
      <c r="F84" s="536"/>
      <c r="G84" s="536"/>
      <c r="H84" s="536"/>
      <c r="I84" s="566"/>
      <c r="J84" s="566"/>
      <c r="K84" s="567"/>
      <c r="L84" s="568"/>
      <c r="M84" s="569"/>
      <c r="N84" s="1262"/>
      <c r="O84" s="1262"/>
      <c r="P84" s="22"/>
      <c r="Q84" s="484"/>
    </row>
    <row r="85" spans="1:17" ht="15.75" thickBot="1">
      <c r="A85" s="515"/>
      <c r="B85" s="525"/>
      <c r="C85" s="565">
        <v>100</v>
      </c>
      <c r="D85" s="526">
        <f t="shared" ref="D85:M85" si="17">C85+$K29</f>
        <v>100</v>
      </c>
      <c r="E85" s="526">
        <f t="shared" si="17"/>
        <v>100</v>
      </c>
      <c r="F85" s="526">
        <f t="shared" si="17"/>
        <v>100</v>
      </c>
      <c r="G85" s="526">
        <f t="shared" si="17"/>
        <v>100</v>
      </c>
      <c r="H85" s="526">
        <f t="shared" si="17"/>
        <v>100</v>
      </c>
      <c r="I85" s="526">
        <f t="shared" si="17"/>
        <v>100</v>
      </c>
      <c r="J85" s="526">
        <f t="shared" si="17"/>
        <v>100</v>
      </c>
      <c r="K85" s="526">
        <f t="shared" si="17"/>
        <v>100</v>
      </c>
      <c r="L85" s="526">
        <f t="shared" si="17"/>
        <v>100</v>
      </c>
      <c r="M85" s="526">
        <f t="shared" si="17"/>
        <v>100</v>
      </c>
      <c r="N85" s="1263"/>
      <c r="O85" s="1263"/>
      <c r="P85" s="22"/>
      <c r="Q85" s="484"/>
    </row>
    <row r="86" spans="1:17" ht="15" thickTop="1">
      <c r="A86" s="582"/>
      <c r="B86" s="528" t="s">
        <v>2543</v>
      </c>
      <c r="C86" s="561" t="str">
        <f t="shared" ref="C86:L86" si="18">C87&amp;"(含)"&amp;"-"&amp;D87</f>
        <v>(含)-</v>
      </c>
      <c r="D86" s="561" t="str">
        <f t="shared" si="18"/>
        <v>(含)-</v>
      </c>
      <c r="E86" s="561" t="str">
        <f t="shared" si="18"/>
        <v>(含)-</v>
      </c>
      <c r="F86" s="561" t="str">
        <f t="shared" si="18"/>
        <v>(含)-</v>
      </c>
      <c r="G86" s="561" t="str">
        <f t="shared" si="18"/>
        <v>(含)-</v>
      </c>
      <c r="H86" s="561" t="str">
        <f t="shared" si="18"/>
        <v>(含)-</v>
      </c>
      <c r="I86" s="561" t="str">
        <f t="shared" si="18"/>
        <v>(含)-</v>
      </c>
      <c r="J86" s="561" t="str">
        <f t="shared" si="18"/>
        <v>(含)-</v>
      </c>
      <c r="K86" s="561" t="str">
        <f t="shared" si="18"/>
        <v>(含)-</v>
      </c>
      <c r="L86" s="561" t="str">
        <f t="shared" si="18"/>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5.75"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2544</v>
      </c>
      <c r="C89" s="536"/>
      <c r="D89" s="536"/>
      <c r="E89" s="536"/>
      <c r="F89" s="536"/>
      <c r="G89" s="536"/>
      <c r="H89" s="536"/>
      <c r="I89" s="536"/>
      <c r="J89" s="536"/>
      <c r="K89" s="536"/>
      <c r="L89" s="536"/>
      <c r="M89" s="564"/>
      <c r="N89" s="1264"/>
      <c r="O89" s="1264"/>
      <c r="P89" s="541"/>
      <c r="Q89" s="542"/>
    </row>
    <row r="90" spans="1:17" s="451" customFormat="1" ht="15.75" thickBot="1">
      <c r="A90" s="535"/>
      <c r="B90" s="525"/>
      <c r="C90" s="543"/>
      <c r="D90" s="517"/>
      <c r="E90" s="517"/>
      <c r="F90" s="517"/>
      <c r="G90" s="517"/>
      <c r="H90" s="517"/>
      <c r="I90" s="517"/>
      <c r="J90" s="517"/>
      <c r="K90" s="517"/>
      <c r="L90" s="517"/>
      <c r="M90" s="518"/>
      <c r="N90" s="1264"/>
      <c r="O90" s="1264"/>
      <c r="P90" s="541"/>
      <c r="Q90" s="542"/>
    </row>
    <row r="91" spans="1:17" ht="15" thickTop="1">
      <c r="A91" s="582"/>
      <c r="B91" s="520">
        <f>B32</f>
        <v>111</v>
      </c>
      <c r="C91" s="531"/>
      <c r="D91" s="531"/>
      <c r="E91" s="531"/>
      <c r="F91" s="531"/>
      <c r="G91" s="536"/>
      <c r="H91" s="537"/>
      <c r="I91" s="537"/>
      <c r="J91" s="537"/>
      <c r="K91" s="537"/>
      <c r="L91" s="538"/>
      <c r="M91" s="539"/>
      <c r="N91" s="1262"/>
      <c r="O91" s="1262"/>
      <c r="P91" s="22"/>
      <c r="Q91" s="484"/>
    </row>
    <row r="92" spans="1:17" ht="15.75" thickBot="1">
      <c r="A92" s="515"/>
      <c r="B92" s="525"/>
      <c r="C92" s="543"/>
      <c r="D92" s="517"/>
      <c r="E92" s="517"/>
      <c r="F92" s="517"/>
      <c r="G92" s="543"/>
      <c r="H92" s="545"/>
      <c r="I92" s="545"/>
      <c r="J92" s="545"/>
      <c r="K92" s="545"/>
      <c r="L92" s="545"/>
      <c r="M92" s="546"/>
      <c r="N92" s="1263"/>
      <c r="O92" s="1263"/>
      <c r="P92" s="22"/>
      <c r="Q92" s="484"/>
    </row>
    <row r="93" spans="1:17" ht="15" thickTop="1">
      <c r="A93" s="582"/>
      <c r="B93" s="520">
        <f>B33</f>
        <v>111</v>
      </c>
      <c r="C93" s="531"/>
      <c r="D93" s="531"/>
      <c r="E93" s="531"/>
      <c r="F93" s="531"/>
      <c r="G93" s="536"/>
      <c r="H93" s="537"/>
      <c r="I93" s="537"/>
      <c r="J93" s="537"/>
      <c r="K93" s="537"/>
      <c r="L93" s="538"/>
      <c r="M93" s="539"/>
      <c r="N93" s="1262"/>
      <c r="O93" s="1262"/>
      <c r="P93" s="22"/>
      <c r="Q93" s="484"/>
    </row>
    <row r="94" spans="1:17" ht="15.75" thickBot="1">
      <c r="A94" s="515"/>
      <c r="B94" s="525"/>
      <c r="C94" s="543"/>
      <c r="D94" s="517"/>
      <c r="E94" s="517"/>
      <c r="F94" s="517"/>
      <c r="G94" s="543"/>
      <c r="H94" s="545"/>
      <c r="I94" s="545"/>
      <c r="J94" s="545"/>
      <c r="K94" s="545"/>
      <c r="L94" s="545"/>
      <c r="M94" s="546"/>
      <c r="N94" s="1263"/>
      <c r="O94" s="1263"/>
      <c r="P94" s="22"/>
      <c r="Q94" s="484"/>
    </row>
    <row r="95" spans="1:17" ht="15" thickTop="1">
      <c r="A95" s="582"/>
      <c r="B95" s="619">
        <f>B34</f>
        <v>111</v>
      </c>
      <c r="C95" s="531"/>
      <c r="D95" s="531"/>
      <c r="E95" s="531"/>
      <c r="F95" s="531"/>
      <c r="G95" s="536"/>
      <c r="H95" s="537"/>
      <c r="I95" s="537"/>
      <c r="J95" s="537"/>
      <c r="K95" s="537"/>
      <c r="L95" s="538"/>
      <c r="M95" s="539"/>
      <c r="N95" s="1263"/>
      <c r="O95" s="1263"/>
      <c r="P95" s="620"/>
      <c r="Q95" s="621"/>
    </row>
    <row r="96" spans="1:17" ht="15.75" thickBot="1">
      <c r="A96" s="515"/>
      <c r="B96" s="525"/>
      <c r="C96" s="543"/>
      <c r="D96" s="543"/>
      <c r="E96" s="543"/>
      <c r="F96" s="543"/>
      <c r="G96" s="543"/>
      <c r="H96" s="545"/>
      <c r="I96" s="545"/>
      <c r="J96" s="545"/>
      <c r="K96" s="545"/>
      <c r="L96" s="545"/>
      <c r="M96" s="546"/>
      <c r="N96" s="1263"/>
      <c r="O96" s="1263"/>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2545</v>
      </c>
      <c r="B1" s="373"/>
      <c r="C1" s="374" t="s">
        <v>2546</v>
      </c>
      <c r="D1" s="732"/>
      <c r="E1" s="732"/>
      <c r="F1" s="731" t="s">
        <v>2341</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2009</v>
      </c>
      <c r="B2" s="653" t="e">
        <f>F66</f>
        <v>#DIV/0!</v>
      </c>
      <c r="C2" s="730" t="s">
        <v>2547</v>
      </c>
      <c r="D2" s="978"/>
      <c r="E2" s="979"/>
      <c r="F2" s="980"/>
      <c r="G2" s="979"/>
      <c r="H2" s="979"/>
      <c r="I2" s="979"/>
      <c r="J2" s="979"/>
      <c r="K2" s="981"/>
      <c r="L2" s="1236"/>
      <c r="M2" s="1237"/>
      <c r="N2" s="1237"/>
      <c r="O2" s="1237"/>
      <c r="P2" s="745"/>
      <c r="Q2" s="745"/>
      <c r="R2" s="745"/>
      <c r="S2" s="745"/>
      <c r="T2" s="745"/>
      <c r="U2" s="745"/>
      <c r="V2" s="745"/>
      <c r="W2" s="745"/>
      <c r="X2" s="745"/>
      <c r="Y2" s="745"/>
      <c r="Z2" s="745"/>
      <c r="AA2" s="745"/>
      <c r="AB2" s="745"/>
      <c r="AC2" s="746"/>
      <c r="AD2" s="375"/>
    </row>
    <row r="3" spans="1:30" s="376" customFormat="1" ht="28.5" customHeight="1" thickBot="1">
      <c r="A3" s="166" t="s">
        <v>2010</v>
      </c>
      <c r="B3" s="592" t="e">
        <f>ROUND(B2/'数据-取费表'!B5,0)</f>
        <v>#DIV/0!</v>
      </c>
      <c r="C3" s="730" t="s">
        <v>2548</v>
      </c>
      <c r="D3" s="979"/>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30" ht="15">
      <c r="A4" s="379" t="s">
        <v>2343</v>
      </c>
      <c r="B4" s="380"/>
      <c r="C4" s="2993" t="s">
        <v>2344</v>
      </c>
      <c r="D4" s="2994"/>
      <c r="E4" s="2995" t="s">
        <v>2345</v>
      </c>
      <c r="F4" s="2996"/>
      <c r="G4" s="2993" t="s">
        <v>2346</v>
      </c>
      <c r="H4" s="2994"/>
      <c r="I4" s="2993" t="s">
        <v>2347</v>
      </c>
      <c r="J4" s="2994"/>
      <c r="K4" s="593"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2991" t="s">
        <v>2346</v>
      </c>
      <c r="AC4" s="2990" t="s">
        <v>2347</v>
      </c>
    </row>
    <row r="5" spans="1:30" ht="15">
      <c r="A5" s="382"/>
      <c r="B5" s="383"/>
      <c r="C5" s="3012" t="s">
        <v>2350</v>
      </c>
      <c r="D5" s="3013"/>
      <c r="E5" s="3044" t="s">
        <v>2351</v>
      </c>
      <c r="F5" s="3011"/>
      <c r="G5" s="3012" t="s">
        <v>2352</v>
      </c>
      <c r="H5" s="3013"/>
      <c r="I5" s="3012" t="s">
        <v>2353</v>
      </c>
      <c r="J5" s="3013"/>
      <c r="K5" s="593"/>
      <c r="L5" s="1238"/>
      <c r="M5" s="1239"/>
      <c r="N5" s="1239"/>
      <c r="O5" s="1239"/>
      <c r="P5" s="2999"/>
      <c r="Q5" s="3000"/>
      <c r="R5" s="3005"/>
      <c r="S5" s="3006"/>
      <c r="T5" s="3005"/>
      <c r="U5" s="3006"/>
      <c r="V5" s="3009"/>
      <c r="W5" s="3009"/>
      <c r="X5" s="1895"/>
      <c r="Y5" s="3005"/>
      <c r="Z5" s="3006"/>
      <c r="AA5" s="2991"/>
      <c r="AB5" s="2991"/>
      <c r="AC5" s="2991"/>
    </row>
    <row r="6" spans="1:30" ht="15.75" thickBot="1">
      <c r="A6" s="384"/>
      <c r="B6" s="385"/>
      <c r="C6" s="3014" t="s">
        <v>2354</v>
      </c>
      <c r="D6" s="3015"/>
      <c r="E6" s="3016" t="s">
        <v>2354</v>
      </c>
      <c r="F6" s="3017"/>
      <c r="G6" s="3014" t="s">
        <v>2354</v>
      </c>
      <c r="H6" s="3015"/>
      <c r="I6" s="3014" t="s">
        <v>2354</v>
      </c>
      <c r="J6" s="3015"/>
      <c r="K6" s="593" t="s">
        <v>2355</v>
      </c>
      <c r="L6" s="1238"/>
      <c r="M6" s="1239"/>
      <c r="N6" s="1239"/>
      <c r="O6" s="1239"/>
      <c r="P6" s="3001"/>
      <c r="Q6" s="3002"/>
      <c r="R6" s="3005"/>
      <c r="S6" s="3006"/>
      <c r="T6" s="3007"/>
      <c r="U6" s="3008"/>
      <c r="V6" s="3009"/>
      <c r="W6" s="3009"/>
      <c r="X6" s="1895"/>
      <c r="Y6" s="3007"/>
      <c r="Z6" s="3008"/>
      <c r="AA6" s="2992"/>
      <c r="AB6" s="2992"/>
      <c r="AC6" s="2992"/>
    </row>
    <row r="7" spans="1:30" s="35" customFormat="1" ht="15.75" thickBot="1">
      <c r="A7" s="386" t="s">
        <v>2356</v>
      </c>
      <c r="B7" s="387"/>
      <c r="C7" s="388">
        <f>'数据-取费表'!B2</f>
        <v>43257</v>
      </c>
      <c r="D7" s="389">
        <v>100</v>
      </c>
      <c r="E7" s="390"/>
      <c r="F7" s="391">
        <f>SUMIF(70:70,YEAR(E7)&amp;"-"&amp;INT((MONTH(E7)+2)/3),71:71)</f>
        <v>0</v>
      </c>
      <c r="G7" s="2462"/>
      <c r="H7" s="389">
        <f>SUMIF(70:70,YEAR(G7)&amp;"-"&amp;INT((MONTH(G7)+2)/3),71:71)</f>
        <v>0</v>
      </c>
      <c r="I7" s="2462"/>
      <c r="J7" s="389">
        <f>SUMIF(70:70,YEAR(I7)&amp;"-"&amp;INT((MONTH(I7)+2)/3),71:71)</f>
        <v>0</v>
      </c>
      <c r="K7" s="594"/>
      <c r="L7" s="1240"/>
      <c r="M7" s="1241"/>
      <c r="N7" s="1241"/>
      <c r="O7" s="1241"/>
      <c r="P7" s="3025" t="s">
        <v>2357</v>
      </c>
      <c r="Q7" s="3027"/>
      <c r="R7" s="747" t="s">
        <v>25</v>
      </c>
      <c r="S7" s="748">
        <f t="shared" ref="S7:S15" si="0">F7</f>
        <v>0</v>
      </c>
      <c r="T7" s="747" t="s">
        <v>25</v>
      </c>
      <c r="U7" s="748">
        <f t="shared" ref="U7:U15" si="1">H7</f>
        <v>0</v>
      </c>
      <c r="V7" s="747" t="s">
        <v>25</v>
      </c>
      <c r="W7" s="748">
        <f t="shared" ref="W7:W15" si="2">J7</f>
        <v>0</v>
      </c>
      <c r="X7" s="749"/>
      <c r="Y7" s="3025" t="s">
        <v>2357</v>
      </c>
      <c r="Z7" s="3026"/>
      <c r="AA7" s="750" t="e">
        <f>D7/F7</f>
        <v>#DIV/0!</v>
      </c>
      <c r="AB7" s="750" t="e">
        <f>D7/H7</f>
        <v>#DIV/0!</v>
      </c>
      <c r="AC7" s="750" t="e">
        <f>D7/J7</f>
        <v>#DIV/0!</v>
      </c>
    </row>
    <row r="8" spans="1:30" s="35" customFormat="1" ht="15.75" thickBot="1">
      <c r="A8" s="386" t="s">
        <v>2358</v>
      </c>
      <c r="B8" s="387"/>
      <c r="C8" s="393" t="s">
        <v>2549</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25" t="s">
        <v>2360</v>
      </c>
      <c r="Q8" s="3026"/>
      <c r="R8" s="747" t="s">
        <v>25</v>
      </c>
      <c r="S8" s="748">
        <f t="shared" si="0"/>
        <v>0</v>
      </c>
      <c r="T8" s="747" t="s">
        <v>25</v>
      </c>
      <c r="U8" s="748">
        <f t="shared" si="1"/>
        <v>0</v>
      </c>
      <c r="V8" s="747" t="s">
        <v>25</v>
      </c>
      <c r="W8" s="748">
        <f t="shared" si="2"/>
        <v>0</v>
      </c>
      <c r="X8" s="749"/>
      <c r="Y8" s="3025" t="s">
        <v>2360</v>
      </c>
      <c r="Z8" s="3026"/>
      <c r="AA8" s="750" t="e">
        <f t="shared" ref="AA8:AA45" si="3">D8/F8</f>
        <v>#DIV/0!</v>
      </c>
      <c r="AB8" s="750" t="e">
        <f t="shared" ref="AB8:AB45" si="4">D8/H8</f>
        <v>#DIV/0!</v>
      </c>
      <c r="AC8" s="750" t="e">
        <f t="shared" ref="AC8:AC45" si="5">D8/J8</f>
        <v>#DIV/0!</v>
      </c>
    </row>
    <row r="9" spans="1:30" s="35" customFormat="1">
      <c r="A9" s="394" t="s">
        <v>2361</v>
      </c>
      <c r="B9" s="28" t="s">
        <v>2362</v>
      </c>
      <c r="C9" s="2480"/>
      <c r="D9" s="50">
        <v>100</v>
      </c>
      <c r="E9" s="2480"/>
      <c r="F9" s="50">
        <f>SUMIF(75:75,E9,76:76)-SUMIF(75:75,C9,76:76)+100</f>
        <v>100</v>
      </c>
      <c r="G9" s="2480"/>
      <c r="H9" s="50">
        <f>SUMIF(75:75,G9,76:76)-SUMIF(75:75,C9,76:76)+100</f>
        <v>100</v>
      </c>
      <c r="I9" s="2480"/>
      <c r="J9" s="50">
        <f>SUMIF(75:75,I9,76:76)-SUMIF(75:75,C9,76:76)+100</f>
        <v>100</v>
      </c>
      <c r="K9" s="594"/>
      <c r="L9" s="1240"/>
      <c r="M9" s="1241"/>
      <c r="N9" s="1241"/>
      <c r="O9" s="1242"/>
      <c r="P9" s="3029"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30" s="406" customFormat="1" ht="27">
      <c r="A10" s="400"/>
      <c r="B10" s="401" t="s">
        <v>2365</v>
      </c>
      <c r="C10" s="411"/>
      <c r="D10" s="51">
        <v>100</v>
      </c>
      <c r="E10" s="445"/>
      <c r="F10" s="51">
        <f>ROUND(100/'数据-取费表'!B14,0)</f>
        <v>108</v>
      </c>
      <c r="G10" s="443"/>
      <c r="H10" s="51">
        <f>ROUND(100/'数据-取费表'!B14,0)</f>
        <v>108</v>
      </c>
      <c r="I10" s="443"/>
      <c r="J10" s="51">
        <f>ROUND(100/'数据-取费表'!B14,0)</f>
        <v>108</v>
      </c>
      <c r="K10" s="654"/>
      <c r="L10" s="1243"/>
      <c r="M10" s="1244"/>
      <c r="N10" s="1244"/>
      <c r="O10" s="1245"/>
      <c r="P10" s="3029"/>
      <c r="Q10" s="1882" t="str">
        <f t="shared" si="6"/>
        <v>土地使用年限（年）</v>
      </c>
      <c r="R10" s="747" t="s">
        <v>25</v>
      </c>
      <c r="S10" s="748">
        <f t="shared" si="0"/>
        <v>108</v>
      </c>
      <c r="T10" s="747" t="s">
        <v>25</v>
      </c>
      <c r="U10" s="748">
        <f t="shared" si="1"/>
        <v>108</v>
      </c>
      <c r="V10" s="747" t="s">
        <v>25</v>
      </c>
      <c r="W10" s="748">
        <f t="shared" si="2"/>
        <v>108</v>
      </c>
      <c r="X10" s="749"/>
      <c r="Y10" s="2849"/>
      <c r="Z10" s="23" t="str">
        <f t="shared" si="7"/>
        <v>土地使用年限（年）</v>
      </c>
      <c r="AA10" s="750">
        <f t="shared" si="3"/>
        <v>0.92592592592592593</v>
      </c>
      <c r="AB10" s="750">
        <f t="shared" si="4"/>
        <v>0.92592592592592593</v>
      </c>
      <c r="AC10" s="750">
        <f t="shared" si="5"/>
        <v>0.92592592592592593</v>
      </c>
    </row>
    <row r="11" spans="1:30" ht="15">
      <c r="A11" s="407"/>
      <c r="B11" s="401" t="s">
        <v>2366</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29"/>
      <c r="Q11" s="1882"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30" s="35" customFormat="1" ht="15">
      <c r="A12" s="410"/>
      <c r="B12" s="2396" t="s">
        <v>2550</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29"/>
      <c r="Q12" s="1882" t="str">
        <f t="shared" si="6"/>
        <v>配建</v>
      </c>
      <c r="R12" s="747" t="s">
        <v>25</v>
      </c>
      <c r="S12" s="748">
        <f t="shared" si="0"/>
        <v>100</v>
      </c>
      <c r="T12" s="747" t="s">
        <v>25</v>
      </c>
      <c r="U12" s="748">
        <f t="shared" si="1"/>
        <v>100</v>
      </c>
      <c r="V12" s="747" t="s">
        <v>25</v>
      </c>
      <c r="W12" s="748">
        <f t="shared" si="2"/>
        <v>100</v>
      </c>
      <c r="X12" s="749"/>
      <c r="Y12" s="2849"/>
      <c r="Z12" s="23" t="str">
        <f t="shared" si="7"/>
        <v>配建</v>
      </c>
      <c r="AA12" s="750">
        <f>D12/F12</f>
        <v>1</v>
      </c>
      <c r="AB12" s="750">
        <f>D12/H12</f>
        <v>1</v>
      </c>
      <c r="AC12" s="750">
        <f>D12/J12</f>
        <v>1</v>
      </c>
    </row>
    <row r="13" spans="1:30" ht="15">
      <c r="A13" s="407"/>
      <c r="B13" s="2396">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29"/>
      <c r="Q13" s="1882">
        <f t="shared" si="6"/>
        <v>111</v>
      </c>
      <c r="R13" s="747" t="s">
        <v>25</v>
      </c>
      <c r="S13" s="748">
        <f t="shared" si="0"/>
        <v>100</v>
      </c>
      <c r="T13" s="747" t="s">
        <v>25</v>
      </c>
      <c r="U13" s="748">
        <f t="shared" si="1"/>
        <v>100</v>
      </c>
      <c r="V13" s="747" t="s">
        <v>25</v>
      </c>
      <c r="W13" s="748">
        <f t="shared" si="2"/>
        <v>100</v>
      </c>
      <c r="X13" s="749"/>
      <c r="Y13" s="2849"/>
      <c r="Z13" s="23">
        <f t="shared" si="7"/>
        <v>111</v>
      </c>
      <c r="AA13" s="750">
        <f>D13/F13</f>
        <v>1</v>
      </c>
      <c r="AB13" s="750">
        <f>D13/H13</f>
        <v>1</v>
      </c>
      <c r="AC13" s="750">
        <f>D13/J13</f>
        <v>1</v>
      </c>
    </row>
    <row r="14" spans="1:30" ht="15.75" thickBot="1">
      <c r="A14" s="415"/>
      <c r="B14" s="2398">
        <v>111</v>
      </c>
      <c r="C14" s="2399"/>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29"/>
      <c r="Q14" s="1882">
        <f t="shared" si="6"/>
        <v>111</v>
      </c>
      <c r="R14" s="747" t="s">
        <v>25</v>
      </c>
      <c r="S14" s="748">
        <f t="shared" si="0"/>
        <v>100</v>
      </c>
      <c r="T14" s="747" t="s">
        <v>25</v>
      </c>
      <c r="U14" s="748">
        <f t="shared" si="1"/>
        <v>100</v>
      </c>
      <c r="V14" s="747" t="s">
        <v>25</v>
      </c>
      <c r="W14" s="748">
        <f t="shared" si="2"/>
        <v>100</v>
      </c>
      <c r="X14" s="749"/>
      <c r="Y14" s="2849"/>
      <c r="Z14" s="23">
        <f t="shared" si="7"/>
        <v>111</v>
      </c>
      <c r="AA14" s="750">
        <f>D14/F14</f>
        <v>1</v>
      </c>
      <c r="AB14" s="750">
        <f>D14/H14</f>
        <v>1</v>
      </c>
      <c r="AC14" s="750">
        <f>D14/J14</f>
        <v>1</v>
      </c>
    </row>
    <row r="15" spans="1:30" ht="99.75">
      <c r="A15" s="379" t="s">
        <v>2367</v>
      </c>
      <c r="B15" s="1482" t="s">
        <v>1739</v>
      </c>
      <c r="C15" s="2463"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18" t="s">
        <v>2368</v>
      </c>
      <c r="Q15" s="1894" t="str">
        <f t="shared" si="6"/>
        <v>居住社区成熟度</v>
      </c>
      <c r="R15" s="751" t="s">
        <v>25</v>
      </c>
      <c r="S15" s="752">
        <f t="shared" si="0"/>
        <v>100</v>
      </c>
      <c r="T15" s="751" t="s">
        <v>25</v>
      </c>
      <c r="U15" s="752">
        <f t="shared" si="1"/>
        <v>100</v>
      </c>
      <c r="V15" s="751" t="s">
        <v>25</v>
      </c>
      <c r="W15" s="752">
        <f t="shared" si="2"/>
        <v>100</v>
      </c>
      <c r="X15" s="1895"/>
      <c r="Y15" s="3018" t="s">
        <v>2368</v>
      </c>
      <c r="Z15" s="1897" t="str">
        <f t="shared" si="7"/>
        <v>居住社区成熟度</v>
      </c>
      <c r="AA15" s="1898">
        <f t="shared" si="3"/>
        <v>1</v>
      </c>
      <c r="AB15" s="1898">
        <f t="shared" si="4"/>
        <v>1</v>
      </c>
      <c r="AC15" s="1898">
        <f t="shared" si="5"/>
        <v>1</v>
      </c>
    </row>
    <row r="16" spans="1:30" ht="15">
      <c r="A16" s="382"/>
      <c r="B16" s="1483"/>
      <c r="C16" s="1467"/>
      <c r="D16" s="426"/>
      <c r="E16" s="427"/>
      <c r="F16" s="426"/>
      <c r="G16" s="427"/>
      <c r="H16" s="429"/>
      <c r="I16" s="2401"/>
      <c r="J16" s="426"/>
      <c r="K16" s="654"/>
      <c r="L16" s="1248"/>
      <c r="M16" s="1239"/>
      <c r="N16" s="1239"/>
      <c r="O16" s="1247"/>
      <c r="P16" s="3019"/>
      <c r="Q16" s="1894"/>
      <c r="R16" s="751"/>
      <c r="S16" s="752"/>
      <c r="T16" s="751"/>
      <c r="U16" s="752"/>
      <c r="V16" s="751"/>
      <c r="W16" s="752"/>
      <c r="X16" s="1895"/>
      <c r="Y16" s="3019"/>
      <c r="Z16" s="1897"/>
      <c r="AA16" s="1898">
        <v>1</v>
      </c>
      <c r="AB16" s="1898">
        <v>1</v>
      </c>
      <c r="AC16" s="1898">
        <v>1</v>
      </c>
    </row>
    <row r="17" spans="1:29" ht="71.25">
      <c r="A17" s="382"/>
      <c r="B17" s="1484" t="s">
        <v>2453</v>
      </c>
      <c r="C17" s="2481"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19"/>
      <c r="Q17" s="1894" t="str">
        <f>B17</f>
        <v>商业繁华度</v>
      </c>
      <c r="R17" s="751" t="s">
        <v>25</v>
      </c>
      <c r="S17" s="752">
        <f>F17</f>
        <v>100</v>
      </c>
      <c r="T17" s="751" t="s">
        <v>25</v>
      </c>
      <c r="U17" s="752">
        <f>H17</f>
        <v>100</v>
      </c>
      <c r="V17" s="751" t="s">
        <v>25</v>
      </c>
      <c r="W17" s="752">
        <f>J17</f>
        <v>100</v>
      </c>
      <c r="X17" s="1895"/>
      <c r="Y17" s="3019"/>
      <c r="Z17" s="1897" t="str">
        <f>Q17</f>
        <v>商业繁华度</v>
      </c>
      <c r="AA17" s="1898">
        <f t="shared" si="3"/>
        <v>1</v>
      </c>
      <c r="AB17" s="1898">
        <f t="shared" si="4"/>
        <v>1</v>
      </c>
      <c r="AC17" s="1898">
        <f t="shared" si="5"/>
        <v>1</v>
      </c>
    </row>
    <row r="18" spans="1:29" ht="15">
      <c r="A18" s="382"/>
      <c r="B18" s="1485"/>
      <c r="C18" s="2465"/>
      <c r="D18" s="429"/>
      <c r="E18" s="1463"/>
      <c r="F18" s="429"/>
      <c r="G18" s="1463"/>
      <c r="H18" s="426"/>
      <c r="I18" s="2404"/>
      <c r="J18" s="426"/>
      <c r="K18" s="654"/>
      <c r="L18" s="1248"/>
      <c r="M18" s="1239"/>
      <c r="N18" s="1239"/>
      <c r="O18" s="1247"/>
      <c r="P18" s="3019"/>
      <c r="Q18" s="1894"/>
      <c r="R18" s="751"/>
      <c r="S18" s="752"/>
      <c r="T18" s="751"/>
      <c r="U18" s="752"/>
      <c r="V18" s="751"/>
      <c r="W18" s="752"/>
      <c r="X18" s="1895"/>
      <c r="Y18" s="3019"/>
      <c r="Z18" s="1897"/>
      <c r="AA18" s="1898">
        <v>1</v>
      </c>
      <c r="AB18" s="1898">
        <v>1</v>
      </c>
      <c r="AC18" s="1898">
        <v>1</v>
      </c>
    </row>
    <row r="19" spans="1:29" ht="71.25">
      <c r="A19" s="382"/>
      <c r="B19" s="1484" t="s">
        <v>2482</v>
      </c>
      <c r="C19" s="2481"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19"/>
      <c r="Q19" s="1894" t="str">
        <f>B19</f>
        <v>办公集聚程度</v>
      </c>
      <c r="R19" s="751" t="s">
        <v>25</v>
      </c>
      <c r="S19" s="752">
        <f>F19</f>
        <v>100</v>
      </c>
      <c r="T19" s="751" t="s">
        <v>25</v>
      </c>
      <c r="U19" s="752">
        <f>H19</f>
        <v>100</v>
      </c>
      <c r="V19" s="751" t="s">
        <v>25</v>
      </c>
      <c r="W19" s="752">
        <f>J19</f>
        <v>100</v>
      </c>
      <c r="X19" s="1895"/>
      <c r="Y19" s="3019"/>
      <c r="Z19" s="1897" t="str">
        <f>Q19</f>
        <v>办公集聚程度</v>
      </c>
      <c r="AA19" s="1898">
        <f t="shared" si="3"/>
        <v>1</v>
      </c>
      <c r="AB19" s="1898">
        <f t="shared" si="4"/>
        <v>1</v>
      </c>
      <c r="AC19" s="1898">
        <f t="shared" si="5"/>
        <v>1</v>
      </c>
    </row>
    <row r="20" spans="1:29" ht="15">
      <c r="A20" s="382"/>
      <c r="B20" s="1485"/>
      <c r="C20" s="1467"/>
      <c r="D20" s="426"/>
      <c r="E20" s="427"/>
      <c r="F20" s="426"/>
      <c r="G20" s="427"/>
      <c r="H20" s="426"/>
      <c r="I20" s="2401"/>
      <c r="J20" s="426"/>
      <c r="K20" s="654"/>
      <c r="L20" s="1248"/>
      <c r="M20" s="1239"/>
      <c r="N20" s="1239"/>
      <c r="O20" s="1247"/>
      <c r="P20" s="3019"/>
      <c r="Q20" s="1894"/>
      <c r="R20" s="751"/>
      <c r="S20" s="752"/>
      <c r="T20" s="751"/>
      <c r="U20" s="752"/>
      <c r="V20" s="751"/>
      <c r="W20" s="752"/>
      <c r="X20" s="1895"/>
      <c r="Y20" s="3019"/>
      <c r="Z20" s="1897"/>
      <c r="AA20" s="1898">
        <v>1</v>
      </c>
      <c r="AB20" s="1898">
        <v>1</v>
      </c>
      <c r="AC20" s="1898">
        <v>1</v>
      </c>
    </row>
    <row r="21" spans="1:29" ht="85.5">
      <c r="A21" s="382"/>
      <c r="B21" s="1484" t="s">
        <v>2511</v>
      </c>
      <c r="C21" s="2464"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19"/>
      <c r="Q21" s="1894" t="str">
        <f>B21</f>
        <v>交通便捷度</v>
      </c>
      <c r="R21" s="751" t="s">
        <v>25</v>
      </c>
      <c r="S21" s="752">
        <f>F21</f>
        <v>100</v>
      </c>
      <c r="T21" s="751" t="s">
        <v>25</v>
      </c>
      <c r="U21" s="752">
        <f>H21</f>
        <v>100</v>
      </c>
      <c r="V21" s="751" t="s">
        <v>25</v>
      </c>
      <c r="W21" s="752">
        <f>J21</f>
        <v>100</v>
      </c>
      <c r="X21" s="1895"/>
      <c r="Y21" s="3019"/>
      <c r="Z21" s="1897" t="str">
        <f>Q21</f>
        <v>交通便捷度</v>
      </c>
      <c r="AA21" s="1898">
        <f t="shared" si="3"/>
        <v>1</v>
      </c>
      <c r="AB21" s="1898">
        <f t="shared" si="4"/>
        <v>1</v>
      </c>
      <c r="AC21" s="1898">
        <f t="shared" si="5"/>
        <v>1</v>
      </c>
    </row>
    <row r="22" spans="1:29" ht="15">
      <c r="A22" s="382"/>
      <c r="B22" s="1486"/>
      <c r="C22" s="1467"/>
      <c r="D22" s="429"/>
      <c r="E22" s="427"/>
      <c r="F22" s="426"/>
      <c r="G22" s="427"/>
      <c r="H22" s="426"/>
      <c r="I22" s="2401"/>
      <c r="J22" s="426"/>
      <c r="K22" s="654"/>
      <c r="L22" s="1248"/>
      <c r="M22" s="1239"/>
      <c r="N22" s="1239"/>
      <c r="O22" s="1247"/>
      <c r="P22" s="3019"/>
      <c r="Q22" s="1894"/>
      <c r="R22" s="751"/>
      <c r="S22" s="752"/>
      <c r="T22" s="751"/>
      <c r="U22" s="752"/>
      <c r="V22" s="751"/>
      <c r="W22" s="752"/>
      <c r="X22" s="1895"/>
      <c r="Y22" s="3019"/>
      <c r="Z22" s="1897"/>
      <c r="AA22" s="1898">
        <v>1</v>
      </c>
      <c r="AB22" s="1898">
        <v>1</v>
      </c>
      <c r="AC22" s="1898">
        <v>1</v>
      </c>
    </row>
    <row r="23" spans="1:29" ht="15">
      <c r="A23" s="382"/>
      <c r="B23" s="1487" t="s">
        <v>2551</v>
      </c>
      <c r="C23" s="2482">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19"/>
      <c r="Q23" s="1894" t="str">
        <f t="shared" ref="Q23:Q37" si="8">B23</f>
        <v>区域土地利用方向</v>
      </c>
      <c r="R23" s="751" t="s">
        <v>25</v>
      </c>
      <c r="S23" s="752">
        <f>F23</f>
        <v>100</v>
      </c>
      <c r="T23" s="751" t="s">
        <v>25</v>
      </c>
      <c r="U23" s="752">
        <f>H23</f>
        <v>100</v>
      </c>
      <c r="V23" s="751" t="s">
        <v>25</v>
      </c>
      <c r="W23" s="752">
        <f>J23</f>
        <v>100</v>
      </c>
      <c r="X23" s="1895"/>
      <c r="Y23" s="3019"/>
      <c r="Z23" s="1897" t="str">
        <f>Q23</f>
        <v>区域土地利用方向</v>
      </c>
      <c r="AA23" s="1898">
        <f t="shared" si="3"/>
        <v>1</v>
      </c>
      <c r="AB23" s="1898">
        <f t="shared" si="4"/>
        <v>1</v>
      </c>
      <c r="AC23" s="1898">
        <f t="shared" si="5"/>
        <v>1</v>
      </c>
    </row>
    <row r="24" spans="1:29" ht="15">
      <c r="A24" s="382"/>
      <c r="B24" s="1488"/>
      <c r="C24" s="617"/>
      <c r="D24" s="426"/>
      <c r="E24" s="427"/>
      <c r="F24" s="426"/>
      <c r="G24" s="2401"/>
      <c r="H24" s="426"/>
      <c r="I24" s="2401"/>
      <c r="J24" s="426"/>
      <c r="K24" s="802"/>
      <c r="L24" s="1248"/>
      <c r="M24" s="1239"/>
      <c r="N24" s="1239"/>
      <c r="O24" s="1247"/>
      <c r="P24" s="3019"/>
      <c r="Q24" s="1894"/>
      <c r="R24" s="751"/>
      <c r="S24" s="752"/>
      <c r="T24" s="751"/>
      <c r="U24" s="752"/>
      <c r="V24" s="751"/>
      <c r="W24" s="752"/>
      <c r="X24" s="1895"/>
      <c r="Y24" s="3019"/>
      <c r="Z24" s="1897"/>
      <c r="AA24" s="1898"/>
      <c r="AB24" s="1898"/>
      <c r="AC24" s="1898"/>
    </row>
    <row r="25" spans="1:29" ht="57">
      <c r="A25" s="382"/>
      <c r="B25" s="1486" t="s">
        <v>2552</v>
      </c>
      <c r="C25" s="2481"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19"/>
      <c r="Q25" s="1894" t="str">
        <f t="shared" si="8"/>
        <v>自然及人文环境状况</v>
      </c>
      <c r="R25" s="751" t="s">
        <v>25</v>
      </c>
      <c r="S25" s="752">
        <f>F25</f>
        <v>100</v>
      </c>
      <c r="T25" s="751" t="s">
        <v>25</v>
      </c>
      <c r="U25" s="752">
        <f>H25</f>
        <v>100</v>
      </c>
      <c r="V25" s="751" t="s">
        <v>25</v>
      </c>
      <c r="W25" s="752">
        <f>J25</f>
        <v>100</v>
      </c>
      <c r="X25" s="1895"/>
      <c r="Y25" s="3019"/>
      <c r="Z25" s="1897" t="str">
        <f>Q25</f>
        <v>自然及人文环境状况</v>
      </c>
      <c r="AA25" s="1898">
        <f t="shared" si="3"/>
        <v>1</v>
      </c>
      <c r="AB25" s="1898">
        <f t="shared" si="4"/>
        <v>1</v>
      </c>
      <c r="AC25" s="1898">
        <f t="shared" si="5"/>
        <v>1</v>
      </c>
    </row>
    <row r="26" spans="1:29" ht="15">
      <c r="A26" s="382"/>
      <c r="B26" s="1485"/>
      <c r="C26" s="1467"/>
      <c r="D26" s="426"/>
      <c r="E26" s="1467"/>
      <c r="F26" s="426"/>
      <c r="G26" s="1467"/>
      <c r="H26" s="426"/>
      <c r="I26" s="425"/>
      <c r="J26" s="426"/>
      <c r="K26" s="654"/>
      <c r="L26" s="1248"/>
      <c r="M26" s="1239"/>
      <c r="N26" s="1239"/>
      <c r="O26" s="1247"/>
      <c r="P26" s="3019"/>
      <c r="Q26" s="1894"/>
      <c r="R26" s="751"/>
      <c r="S26" s="752"/>
      <c r="T26" s="751"/>
      <c r="U26" s="752"/>
      <c r="V26" s="751"/>
      <c r="W26" s="752"/>
      <c r="X26" s="1895"/>
      <c r="Y26" s="3019"/>
      <c r="Z26" s="1897"/>
      <c r="AA26" s="1898">
        <v>1</v>
      </c>
      <c r="AB26" s="1898">
        <v>1</v>
      </c>
      <c r="AC26" s="1898">
        <v>1</v>
      </c>
    </row>
    <row r="27" spans="1:29" ht="42.75">
      <c r="A27" s="382"/>
      <c r="B27" s="1486" t="s">
        <v>2454</v>
      </c>
      <c r="C27" s="2464"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19"/>
      <c r="Q27" s="1882" t="str">
        <f>B27</f>
        <v>公共配套设施</v>
      </c>
      <c r="R27" s="747" t="s">
        <v>25</v>
      </c>
      <c r="S27" s="748">
        <f>F27</f>
        <v>100</v>
      </c>
      <c r="T27" s="747" t="s">
        <v>25</v>
      </c>
      <c r="U27" s="748">
        <f>H27</f>
        <v>100</v>
      </c>
      <c r="V27" s="747" t="s">
        <v>25</v>
      </c>
      <c r="W27" s="748">
        <f>J27</f>
        <v>100</v>
      </c>
      <c r="X27" s="1895"/>
      <c r="Y27" s="3019"/>
      <c r="Z27" s="23" t="str">
        <f>Q27</f>
        <v>公共配套设施</v>
      </c>
      <c r="AA27" s="1898">
        <f>D27/F27</f>
        <v>1</v>
      </c>
      <c r="AB27" s="1898">
        <f>D27/H27</f>
        <v>1</v>
      </c>
      <c r="AC27" s="1898">
        <f>D27/J27</f>
        <v>1</v>
      </c>
    </row>
    <row r="28" spans="1:29" ht="15">
      <c r="A28" s="382"/>
      <c r="B28" s="1485"/>
      <c r="C28" s="2483"/>
      <c r="D28" s="426"/>
      <c r="E28" s="2483"/>
      <c r="F28" s="426"/>
      <c r="G28" s="2483"/>
      <c r="H28" s="426"/>
      <c r="I28" s="2483"/>
      <c r="J28" s="426"/>
      <c r="K28" s="654"/>
      <c r="L28" s="1248"/>
      <c r="M28" s="1239"/>
      <c r="N28" s="1239"/>
      <c r="O28" s="1247"/>
      <c r="P28" s="3019"/>
      <c r="Q28" s="1894"/>
      <c r="R28" s="751"/>
      <c r="S28" s="752"/>
      <c r="T28" s="751"/>
      <c r="U28" s="752"/>
      <c r="V28" s="751"/>
      <c r="W28" s="752"/>
      <c r="X28" s="1895"/>
      <c r="Y28" s="3019"/>
      <c r="Z28" s="23"/>
      <c r="AA28" s="1898">
        <v>1</v>
      </c>
      <c r="AB28" s="1898">
        <v>1</v>
      </c>
      <c r="AC28" s="1898">
        <v>1</v>
      </c>
    </row>
    <row r="29" spans="1:29" s="35" customFormat="1" ht="28.5">
      <c r="A29" s="632"/>
      <c r="B29" s="1486" t="s">
        <v>2455</v>
      </c>
      <c r="C29" s="2484"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19"/>
      <c r="Q29" s="1882" t="str">
        <f t="shared" si="8"/>
        <v>基础设施水平</v>
      </c>
      <c r="R29" s="747" t="s">
        <v>25</v>
      </c>
      <c r="S29" s="748">
        <f>F29</f>
        <v>100</v>
      </c>
      <c r="T29" s="747" t="s">
        <v>25</v>
      </c>
      <c r="U29" s="748">
        <f>H29</f>
        <v>100</v>
      </c>
      <c r="V29" s="747" t="s">
        <v>25</v>
      </c>
      <c r="W29" s="748">
        <f>J29</f>
        <v>100</v>
      </c>
      <c r="X29" s="749"/>
      <c r="Y29" s="3019"/>
      <c r="Z29" s="23" t="str">
        <f>Q29</f>
        <v>基础设施水平</v>
      </c>
      <c r="AA29" s="1898">
        <f>D29/F29</f>
        <v>1</v>
      </c>
      <c r="AB29" s="1898">
        <f>D29/H29</f>
        <v>1</v>
      </c>
      <c r="AC29" s="1898">
        <f>D29/J29</f>
        <v>1</v>
      </c>
    </row>
    <row r="30" spans="1:29" s="35" customFormat="1" ht="15">
      <c r="A30" s="632"/>
      <c r="B30" s="1485"/>
      <c r="C30" s="2483"/>
      <c r="D30" s="426"/>
      <c r="E30" s="2483"/>
      <c r="F30" s="426"/>
      <c r="G30" s="2483"/>
      <c r="H30" s="426"/>
      <c r="I30" s="2483"/>
      <c r="J30" s="426"/>
      <c r="K30" s="654"/>
      <c r="L30" s="1240"/>
      <c r="M30" s="1241"/>
      <c r="N30" s="1241"/>
      <c r="O30" s="1242"/>
      <c r="P30" s="3019"/>
      <c r="Q30" s="1882"/>
      <c r="R30" s="747"/>
      <c r="S30" s="748"/>
      <c r="T30" s="747"/>
      <c r="U30" s="748"/>
      <c r="V30" s="747"/>
      <c r="W30" s="748"/>
      <c r="X30" s="749"/>
      <c r="Y30" s="3019"/>
      <c r="Z30" s="23"/>
      <c r="AA30" s="1898">
        <v>1</v>
      </c>
      <c r="AB30" s="1898">
        <v>1</v>
      </c>
      <c r="AC30" s="1898">
        <v>1</v>
      </c>
    </row>
    <row r="31" spans="1:29" ht="15">
      <c r="A31" s="382"/>
      <c r="B31" s="1485" t="s">
        <v>2456</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19"/>
      <c r="Q31" s="1894" t="str">
        <f t="shared" si="8"/>
        <v>临街状况</v>
      </c>
      <c r="R31" s="751" t="s">
        <v>25</v>
      </c>
      <c r="S31" s="752">
        <f t="shared" ref="S31:S45" si="9">F31</f>
        <v>100</v>
      </c>
      <c r="T31" s="751" t="s">
        <v>25</v>
      </c>
      <c r="U31" s="752">
        <f t="shared" ref="U31:U45" si="10">H31</f>
        <v>100</v>
      </c>
      <c r="V31" s="751" t="s">
        <v>25</v>
      </c>
      <c r="W31" s="752">
        <f t="shared" ref="W31:W45" si="11">J31</f>
        <v>100</v>
      </c>
      <c r="X31" s="1895"/>
      <c r="Y31" s="3019"/>
      <c r="Z31" s="1897" t="str">
        <f t="shared" ref="Z31:Z45" si="12">Q31</f>
        <v>临街状况</v>
      </c>
      <c r="AA31" s="1898">
        <f t="shared" si="3"/>
        <v>1</v>
      </c>
      <c r="AB31" s="1898">
        <f t="shared" si="4"/>
        <v>1</v>
      </c>
      <c r="AC31" s="1898">
        <f t="shared" si="5"/>
        <v>1</v>
      </c>
    </row>
    <row r="32" spans="1:29" ht="27">
      <c r="A32" s="382"/>
      <c r="B32" s="1486" t="s">
        <v>2486</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19"/>
      <c r="Q32" s="1894" t="str">
        <f t="shared" si="8"/>
        <v>毗邻道路的类型与等级</v>
      </c>
      <c r="R32" s="751" t="s">
        <v>25</v>
      </c>
      <c r="S32" s="752">
        <f t="shared" si="9"/>
        <v>100</v>
      </c>
      <c r="T32" s="751" t="s">
        <v>25</v>
      </c>
      <c r="U32" s="752">
        <f t="shared" si="10"/>
        <v>100</v>
      </c>
      <c r="V32" s="751" t="s">
        <v>25</v>
      </c>
      <c r="W32" s="752">
        <f t="shared" si="11"/>
        <v>100</v>
      </c>
      <c r="X32" s="1895"/>
      <c r="Y32" s="3019"/>
      <c r="Z32" s="1897" t="str">
        <f t="shared" si="12"/>
        <v>毗邻道路的类型与等级</v>
      </c>
      <c r="AA32" s="1898">
        <f t="shared" si="3"/>
        <v>1</v>
      </c>
      <c r="AB32" s="1898">
        <f t="shared" si="4"/>
        <v>1</v>
      </c>
      <c r="AC32" s="1898">
        <f t="shared" si="5"/>
        <v>1</v>
      </c>
    </row>
    <row r="33" spans="1:29" ht="15">
      <c r="A33" s="382"/>
      <c r="B33" s="1485"/>
      <c r="C33" s="1467"/>
      <c r="D33" s="426"/>
      <c r="E33" s="1467"/>
      <c r="F33" s="426"/>
      <c r="G33" s="1467"/>
      <c r="H33" s="426"/>
      <c r="I33" s="425"/>
      <c r="J33" s="426"/>
      <c r="K33" s="596"/>
      <c r="L33" s="1248"/>
      <c r="M33" s="1239"/>
      <c r="N33" s="1239"/>
      <c r="O33" s="1247"/>
      <c r="P33" s="3019"/>
      <c r="Q33" s="1894"/>
      <c r="R33" s="751"/>
      <c r="S33" s="752"/>
      <c r="T33" s="751"/>
      <c r="U33" s="752"/>
      <c r="V33" s="751"/>
      <c r="W33" s="752"/>
      <c r="X33" s="1895"/>
      <c r="Y33" s="3019"/>
      <c r="Z33" s="1897"/>
      <c r="AA33" s="1898">
        <v>1</v>
      </c>
      <c r="AB33" s="1898">
        <v>1</v>
      </c>
      <c r="AC33" s="1898">
        <v>1</v>
      </c>
    </row>
    <row r="34" spans="1:29" ht="15">
      <c r="A34" s="382"/>
      <c r="B34" s="1489" t="s">
        <v>2553</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19"/>
      <c r="Q34" s="1894" t="str">
        <f t="shared" si="8"/>
        <v>土地级别</v>
      </c>
      <c r="R34" s="751" t="s">
        <v>25</v>
      </c>
      <c r="S34" s="752">
        <f t="shared" si="9"/>
        <v>100</v>
      </c>
      <c r="T34" s="751" t="s">
        <v>25</v>
      </c>
      <c r="U34" s="752">
        <f t="shared" si="10"/>
        <v>100</v>
      </c>
      <c r="V34" s="751" t="s">
        <v>25</v>
      </c>
      <c r="W34" s="752">
        <f t="shared" si="11"/>
        <v>100</v>
      </c>
      <c r="X34" s="1895"/>
      <c r="Y34" s="3019"/>
      <c r="Z34" s="1897" t="str">
        <f t="shared" si="12"/>
        <v>土地级别</v>
      </c>
      <c r="AA34" s="1898">
        <f t="shared" si="3"/>
        <v>1</v>
      </c>
      <c r="AB34" s="1898">
        <f t="shared" si="4"/>
        <v>1</v>
      </c>
      <c r="AC34" s="1898">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19"/>
      <c r="Q35" s="1894">
        <f t="shared" si="8"/>
        <v>111</v>
      </c>
      <c r="R35" s="751" t="s">
        <v>25</v>
      </c>
      <c r="S35" s="752">
        <f t="shared" si="9"/>
        <v>100</v>
      </c>
      <c r="T35" s="751" t="s">
        <v>25</v>
      </c>
      <c r="U35" s="752">
        <f t="shared" si="10"/>
        <v>100</v>
      </c>
      <c r="V35" s="751" t="s">
        <v>25</v>
      </c>
      <c r="W35" s="752">
        <f t="shared" si="11"/>
        <v>100</v>
      </c>
      <c r="X35" s="1895"/>
      <c r="Y35" s="3019"/>
      <c r="Z35" s="1897">
        <f t="shared" si="12"/>
        <v>111</v>
      </c>
      <c r="AA35" s="1898">
        <f t="shared" si="3"/>
        <v>1</v>
      </c>
      <c r="AB35" s="1898">
        <f t="shared" si="4"/>
        <v>1</v>
      </c>
      <c r="AC35" s="1898">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052" t="s">
        <v>2374</v>
      </c>
      <c r="Q36" s="1894">
        <f t="shared" si="8"/>
        <v>111</v>
      </c>
      <c r="R36" s="751" t="s">
        <v>25</v>
      </c>
      <c r="S36" s="752">
        <f t="shared" si="9"/>
        <v>100</v>
      </c>
      <c r="T36" s="751" t="s">
        <v>25</v>
      </c>
      <c r="U36" s="752">
        <f t="shared" si="10"/>
        <v>100</v>
      </c>
      <c r="V36" s="751" t="s">
        <v>25</v>
      </c>
      <c r="W36" s="752">
        <f t="shared" si="11"/>
        <v>100</v>
      </c>
      <c r="X36" s="1895"/>
      <c r="Y36" s="3023" t="s">
        <v>2374</v>
      </c>
      <c r="Z36" s="1897">
        <f t="shared" si="12"/>
        <v>111</v>
      </c>
      <c r="AA36" s="1898">
        <f t="shared" si="3"/>
        <v>1</v>
      </c>
      <c r="AB36" s="1898">
        <f t="shared" si="4"/>
        <v>1</v>
      </c>
      <c r="AC36" s="1898">
        <f t="shared" si="5"/>
        <v>1</v>
      </c>
    </row>
    <row r="37" spans="1:29" s="451" customFormat="1" ht="15.75"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23"/>
      <c r="Q37" s="1894">
        <f t="shared" si="8"/>
        <v>111</v>
      </c>
      <c r="R37" s="754" t="s">
        <v>25</v>
      </c>
      <c r="S37" s="755">
        <f t="shared" si="9"/>
        <v>100</v>
      </c>
      <c r="T37" s="754" t="s">
        <v>25</v>
      </c>
      <c r="U37" s="755">
        <f t="shared" si="10"/>
        <v>100</v>
      </c>
      <c r="V37" s="754" t="s">
        <v>25</v>
      </c>
      <c r="W37" s="755">
        <f t="shared" si="11"/>
        <v>100</v>
      </c>
      <c r="X37" s="756"/>
      <c r="Y37" s="3023"/>
      <c r="Z37" s="757">
        <f t="shared" si="12"/>
        <v>111</v>
      </c>
      <c r="AA37" s="1898">
        <f t="shared" si="3"/>
        <v>1</v>
      </c>
      <c r="AB37" s="1898">
        <f t="shared" si="4"/>
        <v>1</v>
      </c>
      <c r="AC37" s="1898">
        <f t="shared" si="5"/>
        <v>1</v>
      </c>
    </row>
    <row r="38" spans="1:29" ht="15">
      <c r="A38" s="379" t="s">
        <v>2372</v>
      </c>
      <c r="B38" s="435" t="s">
        <v>2554</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23"/>
      <c r="Q38" s="1894" t="str">
        <f>B38</f>
        <v>宗地面积</v>
      </c>
      <c r="R38" s="751" t="s">
        <v>25</v>
      </c>
      <c r="S38" s="752" t="e">
        <f t="shared" si="9"/>
        <v>#N/A</v>
      </c>
      <c r="T38" s="751" t="s">
        <v>25</v>
      </c>
      <c r="U38" s="752" t="e">
        <f t="shared" si="10"/>
        <v>#N/A</v>
      </c>
      <c r="V38" s="751" t="s">
        <v>25</v>
      </c>
      <c r="W38" s="752" t="e">
        <f t="shared" si="11"/>
        <v>#N/A</v>
      </c>
      <c r="X38" s="1895"/>
      <c r="Y38" s="3023"/>
      <c r="Z38" s="1897" t="str">
        <f t="shared" si="12"/>
        <v>宗地面积</v>
      </c>
      <c r="AA38" s="1898" t="e">
        <f t="shared" si="3"/>
        <v>#N/A</v>
      </c>
      <c r="AB38" s="1898" t="e">
        <f t="shared" si="4"/>
        <v>#N/A</v>
      </c>
      <c r="AC38" s="1898" t="e">
        <f t="shared" si="5"/>
        <v>#N/A</v>
      </c>
    </row>
    <row r="39" spans="1:29" ht="15">
      <c r="A39" s="452"/>
      <c r="B39" s="401" t="s">
        <v>2555</v>
      </c>
      <c r="C39" s="2408"/>
      <c r="D39" s="414">
        <v>100</v>
      </c>
      <c r="E39" s="2408"/>
      <c r="F39" s="414">
        <f>SUMIF(119:119,E39,120:120)-SUMIF(119:119,C39,120:120)+100</f>
        <v>100</v>
      </c>
      <c r="G39" s="2408"/>
      <c r="H39" s="414">
        <f>SUMIF(119:119,G39,120:120)-SUMIF(119:119,C39,120:120)+100</f>
        <v>100</v>
      </c>
      <c r="I39" s="2408"/>
      <c r="J39" s="414">
        <f>SUMIF(119:119,I39,120:120)-SUMIF(119:119,C39,120:120)+100</f>
        <v>100</v>
      </c>
      <c r="K39" s="595"/>
      <c r="L39" s="1248"/>
      <c r="M39" s="1239"/>
      <c r="N39" s="1239"/>
      <c r="O39" s="1247"/>
      <c r="P39" s="3023"/>
      <c r="Q39" s="1894" t="str">
        <f t="shared" ref="Q39:Q45" si="13">B39</f>
        <v>宗地形状</v>
      </c>
      <c r="R39" s="751" t="s">
        <v>25</v>
      </c>
      <c r="S39" s="752">
        <f t="shared" si="9"/>
        <v>100</v>
      </c>
      <c r="T39" s="751" t="s">
        <v>25</v>
      </c>
      <c r="U39" s="752">
        <f t="shared" si="10"/>
        <v>100</v>
      </c>
      <c r="V39" s="751" t="s">
        <v>25</v>
      </c>
      <c r="W39" s="752">
        <f t="shared" si="11"/>
        <v>100</v>
      </c>
      <c r="X39" s="1895"/>
      <c r="Y39" s="3023"/>
      <c r="Z39" s="1897" t="str">
        <f t="shared" si="12"/>
        <v>宗地形状</v>
      </c>
      <c r="AA39" s="1898">
        <f t="shared" si="3"/>
        <v>1</v>
      </c>
      <c r="AB39" s="1898">
        <f t="shared" si="4"/>
        <v>1</v>
      </c>
      <c r="AC39" s="1898">
        <f t="shared" si="5"/>
        <v>1</v>
      </c>
    </row>
    <row r="40" spans="1:29" ht="15">
      <c r="A40" s="452"/>
      <c r="B40" s="401" t="s">
        <v>2556</v>
      </c>
      <c r="C40" s="2408"/>
      <c r="D40" s="414">
        <v>100</v>
      </c>
      <c r="E40" s="2408"/>
      <c r="F40" s="414">
        <f>SUMIF(121:121,E40,122:122)-SUMIF(121:121,C40,122:122)+100</f>
        <v>100</v>
      </c>
      <c r="G40" s="2408"/>
      <c r="H40" s="414">
        <f>SUMIF(121:121,G40,122:122)-SUMIF(121:121,C40,122:122)+100</f>
        <v>100</v>
      </c>
      <c r="I40" s="2408"/>
      <c r="J40" s="414">
        <f>SUMIF(121:121,I40,122:122)-SUMIF(121:121,C40,122:122)+100</f>
        <v>100</v>
      </c>
      <c r="K40" s="595"/>
      <c r="L40" s="1248"/>
      <c r="M40" s="1239"/>
      <c r="N40" s="1239"/>
      <c r="O40" s="1247"/>
      <c r="P40" s="3023"/>
      <c r="Q40" s="1894" t="str">
        <f t="shared" si="13"/>
        <v>临街宽度及深度</v>
      </c>
      <c r="R40" s="751" t="s">
        <v>25</v>
      </c>
      <c r="S40" s="752">
        <f t="shared" si="9"/>
        <v>100</v>
      </c>
      <c r="T40" s="751" t="s">
        <v>25</v>
      </c>
      <c r="U40" s="752">
        <f t="shared" si="10"/>
        <v>100</v>
      </c>
      <c r="V40" s="751" t="s">
        <v>25</v>
      </c>
      <c r="W40" s="752">
        <f t="shared" si="11"/>
        <v>100</v>
      </c>
      <c r="X40" s="1895"/>
      <c r="Y40" s="3023"/>
      <c r="Z40" s="1897" t="str">
        <f t="shared" si="12"/>
        <v>临街宽度及深度</v>
      </c>
      <c r="AA40" s="1898">
        <f t="shared" si="3"/>
        <v>1</v>
      </c>
      <c r="AB40" s="1898">
        <f t="shared" si="4"/>
        <v>1</v>
      </c>
      <c r="AC40" s="1898">
        <f t="shared" si="5"/>
        <v>1</v>
      </c>
    </row>
    <row r="41" spans="1:29" s="35" customFormat="1" ht="15">
      <c r="A41" s="453"/>
      <c r="B41" s="401" t="s">
        <v>2557</v>
      </c>
      <c r="C41" s="2485"/>
      <c r="D41" s="51">
        <v>100</v>
      </c>
      <c r="E41" s="2485"/>
      <c r="F41" s="414">
        <f>SUMIF(123:123,E41,124:124)-SUMIF(123:123,C41,124:124)+100</f>
        <v>100</v>
      </c>
      <c r="G41" s="2485"/>
      <c r="H41" s="414">
        <f>SUMIF(123:123,G41,124:124)-SUMIF(123:123,C41,124:124)+100</f>
        <v>100</v>
      </c>
      <c r="I41" s="2485"/>
      <c r="J41" s="414">
        <f>SUMIF(123:123,I41,124:124)-SUMIF(123:123,C41,124:124)+100</f>
        <v>100</v>
      </c>
      <c r="K41" s="595"/>
      <c r="L41" s="1240"/>
      <c r="M41" s="1241"/>
      <c r="N41" s="1241"/>
      <c r="O41" s="1242"/>
      <c r="P41" s="3023"/>
      <c r="Q41" s="1894" t="str">
        <f t="shared" si="13"/>
        <v>宗地开发程度</v>
      </c>
      <c r="R41" s="747" t="s">
        <v>25</v>
      </c>
      <c r="S41" s="748">
        <f t="shared" si="9"/>
        <v>100</v>
      </c>
      <c r="T41" s="747" t="s">
        <v>25</v>
      </c>
      <c r="U41" s="748">
        <f t="shared" si="10"/>
        <v>100</v>
      </c>
      <c r="V41" s="747" t="s">
        <v>25</v>
      </c>
      <c r="W41" s="748">
        <f t="shared" si="11"/>
        <v>100</v>
      </c>
      <c r="X41" s="749"/>
      <c r="Y41" s="3023"/>
      <c r="Z41" s="23" t="str">
        <f t="shared" si="12"/>
        <v>宗地开发程度</v>
      </c>
      <c r="AA41" s="750">
        <f t="shared" si="3"/>
        <v>1</v>
      </c>
      <c r="AB41" s="750">
        <f t="shared" si="4"/>
        <v>1</v>
      </c>
      <c r="AC41" s="750">
        <f t="shared" si="5"/>
        <v>1</v>
      </c>
    </row>
    <row r="42" spans="1:29" ht="15">
      <c r="A42" s="452"/>
      <c r="B42" s="401" t="s">
        <v>2558</v>
      </c>
      <c r="C42" s="2408"/>
      <c r="D42" s="414">
        <v>100</v>
      </c>
      <c r="E42" s="2408"/>
      <c r="F42" s="414">
        <f>SUMIF(125:125,E42,126:126)-SUMIF(125:125,C42,126:126)+100</f>
        <v>100</v>
      </c>
      <c r="G42" s="2408"/>
      <c r="H42" s="414">
        <f>SUMIF(125:125,G42,126:126)-SUMIF(125:125,C42,126:126)+100</f>
        <v>100</v>
      </c>
      <c r="I42" s="2408"/>
      <c r="J42" s="414">
        <f>SUMIF(125:125,I42,126:126)-SUMIF(125:125,C42,126:126)+100</f>
        <v>100</v>
      </c>
      <c r="K42" s="595"/>
      <c r="L42" s="1248"/>
      <c r="M42" s="1239"/>
      <c r="N42" s="1239"/>
      <c r="O42" s="1247"/>
      <c r="P42" s="3023" t="s">
        <v>2374</v>
      </c>
      <c r="Q42" s="1894" t="str">
        <f t="shared" si="13"/>
        <v>工程地质条件</v>
      </c>
      <c r="R42" s="751" t="s">
        <v>25</v>
      </c>
      <c r="S42" s="752">
        <f t="shared" si="9"/>
        <v>100</v>
      </c>
      <c r="T42" s="751" t="s">
        <v>25</v>
      </c>
      <c r="U42" s="752">
        <f t="shared" si="10"/>
        <v>100</v>
      </c>
      <c r="V42" s="751" t="s">
        <v>25</v>
      </c>
      <c r="W42" s="752">
        <f t="shared" si="11"/>
        <v>100</v>
      </c>
      <c r="X42" s="1895"/>
      <c r="Y42" s="3023" t="s">
        <v>2374</v>
      </c>
      <c r="Z42" s="1897" t="str">
        <f t="shared" si="12"/>
        <v>工程地质条件</v>
      </c>
      <c r="AA42" s="1898">
        <f t="shared" si="3"/>
        <v>1</v>
      </c>
      <c r="AB42" s="1898">
        <f t="shared" si="4"/>
        <v>1</v>
      </c>
      <c r="AC42" s="1898">
        <f t="shared" si="5"/>
        <v>1</v>
      </c>
    </row>
    <row r="43" spans="1:29" ht="15">
      <c r="A43" s="452"/>
      <c r="B43" s="2486">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23"/>
      <c r="Q43" s="1894">
        <f t="shared" si="13"/>
        <v>111</v>
      </c>
      <c r="R43" s="751" t="s">
        <v>25</v>
      </c>
      <c r="S43" s="752">
        <f t="shared" si="9"/>
        <v>100</v>
      </c>
      <c r="T43" s="751" t="s">
        <v>25</v>
      </c>
      <c r="U43" s="752">
        <f t="shared" si="10"/>
        <v>100</v>
      </c>
      <c r="V43" s="751" t="s">
        <v>25</v>
      </c>
      <c r="W43" s="752">
        <f t="shared" si="11"/>
        <v>100</v>
      </c>
      <c r="X43" s="1895"/>
      <c r="Y43" s="3023"/>
      <c r="Z43" s="1897">
        <f t="shared" si="12"/>
        <v>111</v>
      </c>
      <c r="AA43" s="1898">
        <f t="shared" si="3"/>
        <v>1</v>
      </c>
      <c r="AB43" s="1898">
        <f t="shared" si="4"/>
        <v>1</v>
      </c>
      <c r="AC43" s="1898">
        <f t="shared" si="5"/>
        <v>1</v>
      </c>
    </row>
    <row r="44" spans="1:29" ht="15">
      <c r="A44" s="452"/>
      <c r="B44" s="2486">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23"/>
      <c r="Q44" s="1894">
        <f t="shared" si="13"/>
        <v>111</v>
      </c>
      <c r="R44" s="751" t="s">
        <v>25</v>
      </c>
      <c r="S44" s="752">
        <f t="shared" si="9"/>
        <v>100</v>
      </c>
      <c r="T44" s="751" t="s">
        <v>25</v>
      </c>
      <c r="U44" s="752">
        <f t="shared" si="10"/>
        <v>100</v>
      </c>
      <c r="V44" s="751" t="s">
        <v>25</v>
      </c>
      <c r="W44" s="752">
        <f t="shared" si="11"/>
        <v>100</v>
      </c>
      <c r="X44" s="1895"/>
      <c r="Y44" s="3023"/>
      <c r="Z44" s="1897">
        <f t="shared" si="12"/>
        <v>111</v>
      </c>
      <c r="AA44" s="1898">
        <f t="shared" si="3"/>
        <v>1</v>
      </c>
      <c r="AB44" s="1898">
        <f t="shared" si="4"/>
        <v>1</v>
      </c>
      <c r="AC44" s="1898">
        <f t="shared" si="5"/>
        <v>1</v>
      </c>
    </row>
    <row r="45" spans="1:29" s="451" customFormat="1" ht="15.75" thickBot="1">
      <c r="A45" s="448"/>
      <c r="B45" s="2486">
        <v>111</v>
      </c>
      <c r="C45" s="2487"/>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23"/>
      <c r="Q45" s="1894">
        <f t="shared" si="13"/>
        <v>111</v>
      </c>
      <c r="R45" s="754" t="s">
        <v>25</v>
      </c>
      <c r="S45" s="755">
        <f t="shared" si="9"/>
        <v>100</v>
      </c>
      <c r="T45" s="754" t="s">
        <v>25</v>
      </c>
      <c r="U45" s="755">
        <f t="shared" si="10"/>
        <v>100</v>
      </c>
      <c r="V45" s="754" t="s">
        <v>25</v>
      </c>
      <c r="W45" s="755">
        <f t="shared" si="11"/>
        <v>100</v>
      </c>
      <c r="X45" s="756"/>
      <c r="Y45" s="3023"/>
      <c r="Z45" s="757">
        <f t="shared" si="12"/>
        <v>111</v>
      </c>
      <c r="AA45" s="1898">
        <f t="shared" si="3"/>
        <v>1</v>
      </c>
      <c r="AB45" s="1898">
        <f t="shared" si="4"/>
        <v>1</v>
      </c>
      <c r="AC45" s="1898">
        <f t="shared" si="5"/>
        <v>1</v>
      </c>
    </row>
    <row r="46" spans="1:29" ht="15">
      <c r="A46" s="459" t="s">
        <v>2522</v>
      </c>
      <c r="B46" s="2488" t="s">
        <v>2559</v>
      </c>
      <c r="C46" s="664" t="s">
        <v>1</v>
      </c>
      <c r="D46" s="461"/>
      <c r="E46" s="462"/>
      <c r="F46" s="463"/>
      <c r="G46" s="464"/>
      <c r="H46" s="465"/>
      <c r="I46" s="462"/>
      <c r="J46" s="465"/>
      <c r="K46" s="760"/>
      <c r="L46" s="1251"/>
      <c r="M46" s="1252"/>
      <c r="N46" s="1239"/>
      <c r="O46" s="1252"/>
      <c r="P46" s="3029" t="str">
        <f>A46</f>
        <v>成交单价</v>
      </c>
      <c r="Q46" s="3029"/>
      <c r="R46" s="3009">
        <f>E46</f>
        <v>0</v>
      </c>
      <c r="S46" s="3009"/>
      <c r="T46" s="3009">
        <f>G46</f>
        <v>0</v>
      </c>
      <c r="U46" s="3009"/>
      <c r="V46" s="3009">
        <f>I46</f>
        <v>0</v>
      </c>
      <c r="W46" s="3009"/>
      <c r="X46" s="736"/>
      <c r="Y46" s="758"/>
      <c r="Z46" s="736"/>
      <c r="AA46" s="736"/>
      <c r="AB46" s="736"/>
      <c r="AC46" s="736"/>
    </row>
    <row r="47" spans="1:29" ht="15.75" thickBot="1">
      <c r="A47" s="466" t="s">
        <v>2469</v>
      </c>
      <c r="B47" s="665"/>
      <c r="C47" s="470" t="e">
        <f>R48</f>
        <v>#DIV/0!</v>
      </c>
      <c r="D47" s="469"/>
      <c r="E47" s="470" t="e">
        <f>R47</f>
        <v>#DIV/0!</v>
      </c>
      <c r="F47" s="471"/>
      <c r="G47" s="468" t="e">
        <f>T47</f>
        <v>#DIV/0!</v>
      </c>
      <c r="H47" s="469"/>
      <c r="I47" s="470" t="e">
        <f>V47</f>
        <v>#DIV/0!</v>
      </c>
      <c r="J47" s="469"/>
      <c r="K47" s="761"/>
      <c r="L47" s="1251"/>
      <c r="M47" s="1252"/>
      <c r="N47" s="1252"/>
      <c r="O47" s="1252"/>
      <c r="P47" s="3029" t="str">
        <f>A47</f>
        <v>比较价值（元/平方米）</v>
      </c>
      <c r="Q47" s="3029"/>
      <c r="R47" s="3053" t="e">
        <f>ROUND(PRODUCT(R46,AA7:AA45),0)</f>
        <v>#DIV/0!</v>
      </c>
      <c r="S47" s="3053"/>
      <c r="T47" s="3053" t="e">
        <f>ROUND(PRODUCT(T46,AB7:AB45),0)</f>
        <v>#DIV/0!</v>
      </c>
      <c r="U47" s="3053"/>
      <c r="V47" s="3053" t="e">
        <f>ROUND(PRODUCT(V46,AC7:AC45),0)</f>
        <v>#DIV/0!</v>
      </c>
      <c r="W47" s="3053"/>
      <c r="X47" s="736"/>
      <c r="Y47" s="736"/>
      <c r="Z47" s="736"/>
      <c r="AA47" s="736"/>
      <c r="AB47" s="736"/>
      <c r="AC47" s="736"/>
    </row>
    <row r="48" spans="1:29" ht="15.75" thickBot="1">
      <c r="A48" s="472" t="s">
        <v>2492</v>
      </c>
      <c r="B48" s="473"/>
      <c r="C48" s="474" t="e">
        <f>R48</f>
        <v>#DIV/0!</v>
      </c>
      <c r="D48" s="474"/>
      <c r="E48" s="474"/>
      <c r="F48" s="474"/>
      <c r="G48" s="474"/>
      <c r="H48" s="474"/>
      <c r="I48" s="474"/>
      <c r="J48" s="474"/>
      <c r="K48" s="762"/>
      <c r="L48" s="1251"/>
      <c r="M48" s="1252"/>
      <c r="N48" s="1252"/>
      <c r="O48" s="1252"/>
      <c r="P48" s="3035" t="str">
        <f>A48</f>
        <v>估价对象XX用房的比较价值（楼面单价，元/平方米）</v>
      </c>
      <c r="Q48" s="3036"/>
      <c r="R48" s="3054" t="e">
        <f>ROUND(AVERAGE(R47:V47),0)</f>
        <v>#DIV/0!</v>
      </c>
      <c r="S48" s="3054"/>
      <c r="T48" s="3054"/>
      <c r="U48" s="3054"/>
      <c r="V48" s="3054"/>
      <c r="W48" s="3054"/>
      <c r="X48" s="736"/>
      <c r="Y48" s="736"/>
      <c r="Z48" s="736"/>
      <c r="AA48" s="736"/>
      <c r="AB48" s="736"/>
      <c r="AC48" s="736"/>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2471</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2472</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2473</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5" thickBot="1">
      <c r="A54" s="1254"/>
      <c r="B54" s="1255"/>
      <c r="C54" s="739"/>
      <c r="D54" s="738"/>
      <c r="E54" s="738"/>
      <c r="F54" s="738"/>
      <c r="G54" s="738"/>
      <c r="H54" s="738"/>
      <c r="I54" s="738"/>
      <c r="J54" s="738"/>
      <c r="K54" s="1258"/>
      <c r="L54" s="1259"/>
      <c r="M54" s="1254"/>
      <c r="N54" s="1254"/>
      <c r="O54" s="1254"/>
    </row>
    <row r="55" spans="1:15" ht="27">
      <c r="A55" s="666" t="s">
        <v>2560</v>
      </c>
      <c r="B55" s="667" t="s">
        <v>2561</v>
      </c>
      <c r="C55" s="2489" t="s">
        <v>2562</v>
      </c>
      <c r="D55" s="2490" t="s">
        <v>2563</v>
      </c>
      <c r="E55" s="668" t="s">
        <v>2564</v>
      </c>
      <c r="F55" s="669" t="s">
        <v>2565</v>
      </c>
      <c r="G55" s="61" t="s">
        <v>2566</v>
      </c>
      <c r="H55" s="61">
        <f>项目基本情况!G8</f>
        <v>0</v>
      </c>
      <c r="I55" s="2491" t="s">
        <v>2567</v>
      </c>
      <c r="J55" s="737"/>
      <c r="K55" s="1253"/>
      <c r="L55" s="1253"/>
      <c r="M55" s="1252"/>
      <c r="N55" s="1252"/>
      <c r="O55" s="1252"/>
    </row>
    <row r="56" spans="1:15" s="674" customFormat="1">
      <c r="A56" s="670" t="s">
        <v>2568</v>
      </c>
      <c r="B56" s="671" t="e">
        <f>C48</f>
        <v>#DIV/0!</v>
      </c>
      <c r="C56" s="672">
        <v>1</v>
      </c>
      <c r="D56" s="1288">
        <v>1</v>
      </c>
      <c r="E56" s="676">
        <v>120</v>
      </c>
      <c r="F56" s="673" t="e">
        <f t="shared" ref="F56:F65" si="14">ROUND(B56*E56,0)</f>
        <v>#DIV/0!</v>
      </c>
      <c r="G56" s="970">
        <v>1</v>
      </c>
      <c r="H56" s="970">
        <v>1</v>
      </c>
      <c r="I56" s="1254"/>
      <c r="J56" s="1254"/>
      <c r="K56" s="1258"/>
      <c r="L56" s="1259"/>
      <c r="M56" s="1254"/>
      <c r="N56" s="1254"/>
      <c r="O56" s="969"/>
    </row>
    <row r="57" spans="1:15" s="674" customFormat="1">
      <c r="A57" s="675" t="s">
        <v>2569</v>
      </c>
      <c r="B57" s="177" t="e">
        <f>ROUND($C$48*C57*D57,0)</f>
        <v>#DIV/0!</v>
      </c>
      <c r="C57" s="116">
        <f>IF($C$55="北京市系数",G57,H57)</f>
        <v>0</v>
      </c>
      <c r="D57" s="1287">
        <v>0.25</v>
      </c>
      <c r="E57" s="676">
        <v>0</v>
      </c>
      <c r="F57" s="673" t="e">
        <f t="shared" si="14"/>
        <v>#DIV/0!</v>
      </c>
      <c r="G57" s="970">
        <f>SUMIF(修正!$A$45:$A$56,项目基本情况!$F$9,修正!B45:B56)</f>
        <v>0</v>
      </c>
      <c r="H57" s="971"/>
      <c r="I57" s="1252"/>
      <c r="J57" s="1257"/>
      <c r="K57" s="1253"/>
      <c r="L57" s="1253"/>
      <c r="M57" s="1252"/>
      <c r="N57" s="1252"/>
      <c r="O57" s="969"/>
    </row>
    <row r="58" spans="1:15" s="674" customFormat="1">
      <c r="A58" s="675" t="s">
        <v>2570</v>
      </c>
      <c r="B58" s="177" t="e">
        <f t="shared" ref="B58:B65" si="15">ROUND($C$48*C58*D58,0)</f>
        <v>#DIV/0!</v>
      </c>
      <c r="C58" s="116">
        <f t="shared" ref="C58:C65" si="16">IF($C$55="北京市系数",G58,H58)</f>
        <v>0</v>
      </c>
      <c r="D58" s="1287">
        <v>0.25</v>
      </c>
      <c r="E58" s="676">
        <v>0</v>
      </c>
      <c r="F58" s="673" t="e">
        <f t="shared" si="14"/>
        <v>#DIV/0!</v>
      </c>
      <c r="G58" s="970">
        <f>SUMIF(修正!$A$45:$A$56,项目基本情况!$F$9,修正!C45:C56)</f>
        <v>0</v>
      </c>
      <c r="H58" s="971"/>
      <c r="I58" s="1254"/>
      <c r="J58" s="1254"/>
      <c r="K58" s="1258"/>
      <c r="L58" s="1259"/>
      <c r="M58" s="1254"/>
      <c r="N58" s="1254"/>
      <c r="O58" s="969"/>
    </row>
    <row r="59" spans="1:15" s="674" customFormat="1">
      <c r="A59" s="675" t="s">
        <v>2571</v>
      </c>
      <c r="B59" s="177" t="e">
        <f t="shared" si="15"/>
        <v>#DIV/0!</v>
      </c>
      <c r="C59" s="116">
        <f t="shared" si="16"/>
        <v>0</v>
      </c>
      <c r="D59" s="1287">
        <v>0.25</v>
      </c>
      <c r="E59" s="676">
        <v>0</v>
      </c>
      <c r="F59" s="673" t="e">
        <f t="shared" si="14"/>
        <v>#DIV/0!</v>
      </c>
      <c r="G59" s="970">
        <f>SUMIF(修正!$A$45:$A$56,项目基本情况!$F$9,修正!D45:D56)</f>
        <v>0</v>
      </c>
      <c r="H59" s="971"/>
      <c r="I59" s="1252"/>
      <c r="J59" s="1257"/>
      <c r="K59" s="1253"/>
      <c r="L59" s="1253"/>
      <c r="M59" s="1252"/>
      <c r="N59" s="1252"/>
      <c r="O59" s="969"/>
    </row>
    <row r="60" spans="1:15" s="674" customFormat="1">
      <c r="A60" s="675" t="s">
        <v>2572</v>
      </c>
      <c r="B60" s="177" t="e">
        <f t="shared" si="15"/>
        <v>#DIV/0!</v>
      </c>
      <c r="C60" s="116">
        <f t="shared" si="16"/>
        <v>0</v>
      </c>
      <c r="D60" s="1287">
        <v>0.25</v>
      </c>
      <c r="E60" s="676">
        <v>0</v>
      </c>
      <c r="F60" s="673" t="e">
        <f t="shared" si="14"/>
        <v>#DIV/0!</v>
      </c>
      <c r="G60" s="970">
        <f>SUMIF(修正!$A$45:$A$56,项目基本情况!$F$9,修正!E45:E56)</f>
        <v>0</v>
      </c>
      <c r="H60" s="971"/>
      <c r="I60" s="1254"/>
      <c r="J60" s="1254"/>
      <c r="K60" s="1258"/>
      <c r="L60" s="1259"/>
      <c r="M60" s="1254"/>
      <c r="N60" s="1254"/>
      <c r="O60" s="969"/>
    </row>
    <row r="61" spans="1:15" s="674" customFormat="1">
      <c r="A61" s="675" t="s">
        <v>2573</v>
      </c>
      <c r="B61" s="177" t="e">
        <f t="shared" si="15"/>
        <v>#DIV/0!</v>
      </c>
      <c r="C61" s="116">
        <f t="shared" si="16"/>
        <v>0</v>
      </c>
      <c r="D61" s="1287">
        <v>0.25</v>
      </c>
      <c r="E61" s="676">
        <v>0</v>
      </c>
      <c r="F61" s="673" t="e">
        <f t="shared" si="14"/>
        <v>#DIV/0!</v>
      </c>
      <c r="G61" s="970">
        <f>SUMIF(修正!A45:A56,项目基本情况!F9,修正!F45:F56)</f>
        <v>0</v>
      </c>
      <c r="H61" s="971"/>
      <c r="I61" s="1252"/>
      <c r="J61" s="1257"/>
      <c r="K61" s="1253"/>
      <c r="L61" s="1253"/>
      <c r="M61" s="1252"/>
      <c r="N61" s="1252"/>
      <c r="O61" s="969"/>
    </row>
    <row r="62" spans="1:15" s="674" customFormat="1">
      <c r="A62" s="675" t="s">
        <v>2574</v>
      </c>
      <c r="B62" s="177" t="e">
        <f t="shared" si="15"/>
        <v>#DIV/0!</v>
      </c>
      <c r="C62" s="116">
        <f t="shared" si="16"/>
        <v>0</v>
      </c>
      <c r="D62" s="1287">
        <v>0.25</v>
      </c>
      <c r="E62" s="676">
        <v>0</v>
      </c>
      <c r="F62" s="673" t="e">
        <f t="shared" si="14"/>
        <v>#DIV/0!</v>
      </c>
      <c r="G62" s="970">
        <f>SUMIF(修正!A45:A56,项目基本情况!F9,修正!G45:G56)</f>
        <v>0</v>
      </c>
      <c r="H62" s="971"/>
      <c r="I62" s="1254"/>
      <c r="J62" s="1254"/>
      <c r="K62" s="1258"/>
      <c r="L62" s="1259"/>
      <c r="M62" s="1254"/>
      <c r="N62" s="1254"/>
      <c r="O62" s="969"/>
    </row>
    <row r="63" spans="1:15" s="674" customFormat="1">
      <c r="A63" s="675" t="s">
        <v>2575</v>
      </c>
      <c r="B63" s="177" t="e">
        <f t="shared" si="15"/>
        <v>#DIV/0!</v>
      </c>
      <c r="C63" s="116">
        <f>IF($C$55="北京市系数",G63,H63)</f>
        <v>0</v>
      </c>
      <c r="D63" s="1287">
        <v>0.25</v>
      </c>
      <c r="E63" s="676">
        <v>0</v>
      </c>
      <c r="F63" s="673" t="e">
        <f t="shared" si="14"/>
        <v>#DIV/0!</v>
      </c>
      <c r="G63" s="970">
        <f>SUMIF(修正!A45:A56,项目基本情况!F9,修正!H45:H56)</f>
        <v>0</v>
      </c>
      <c r="H63" s="971"/>
      <c r="I63" s="1252"/>
      <c r="J63" s="1257"/>
      <c r="K63" s="1253"/>
      <c r="L63" s="1253"/>
      <c r="M63" s="1252"/>
      <c r="N63" s="1252"/>
      <c r="O63" s="969"/>
    </row>
    <row r="64" spans="1:15" s="674" customFormat="1">
      <c r="A64" s="675" t="s">
        <v>2576</v>
      </c>
      <c r="B64" s="177" t="e">
        <f t="shared" si="15"/>
        <v>#DIV/0!</v>
      </c>
      <c r="C64" s="116">
        <f t="shared" si="16"/>
        <v>0</v>
      </c>
      <c r="D64" s="1287">
        <v>0.25</v>
      </c>
      <c r="E64" s="676">
        <v>0</v>
      </c>
      <c r="F64" s="673" t="e">
        <f t="shared" si="14"/>
        <v>#DIV/0!</v>
      </c>
      <c r="G64" s="970">
        <f>G63</f>
        <v>0</v>
      </c>
      <c r="H64" s="971"/>
      <c r="I64" s="1254"/>
      <c r="J64" s="1254"/>
      <c r="K64" s="1258"/>
      <c r="L64" s="1259"/>
      <c r="M64" s="1254"/>
      <c r="N64" s="1254"/>
      <c r="O64" s="969"/>
    </row>
    <row r="65" spans="1:17" s="674" customFormat="1">
      <c r="A65" s="675" t="s">
        <v>2577</v>
      </c>
      <c r="B65" s="177" t="e">
        <f t="shared" si="15"/>
        <v>#DIV/0!</v>
      </c>
      <c r="C65" s="116">
        <f t="shared" si="16"/>
        <v>0</v>
      </c>
      <c r="D65" s="1287">
        <v>0.25</v>
      </c>
      <c r="E65" s="676">
        <v>0</v>
      </c>
      <c r="F65" s="673" t="e">
        <f t="shared" si="14"/>
        <v>#DIV/0!</v>
      </c>
      <c r="G65" s="970">
        <f>G63</f>
        <v>0</v>
      </c>
      <c r="H65" s="971"/>
      <c r="I65" s="1252"/>
      <c r="J65" s="1257"/>
      <c r="K65" s="1253"/>
      <c r="L65" s="1253"/>
      <c r="M65" s="1252"/>
      <c r="N65" s="1252"/>
      <c r="O65" s="969"/>
    </row>
    <row r="66" spans="1:17" s="674" customFormat="1" ht="13.5" thickBot="1">
      <c r="A66" s="678" t="s">
        <v>2578</v>
      </c>
      <c r="B66" s="679" t="s">
        <v>39</v>
      </c>
      <c r="C66" s="679" t="s">
        <v>40</v>
      </c>
      <c r="D66" s="679" t="s">
        <v>36</v>
      </c>
      <c r="E66" s="679">
        <f>SUM(E56:E65)</f>
        <v>120</v>
      </c>
      <c r="F66" s="680" t="e">
        <f>SUM(F56:F65)</f>
        <v>#DIV/0!</v>
      </c>
      <c r="G66" s="766"/>
      <c r="H66" s="766"/>
      <c r="I66" s="1265"/>
      <c r="J66" s="1265"/>
      <c r="K66" s="1265"/>
      <c r="L66" s="969"/>
      <c r="M66" s="969"/>
      <c r="N66" s="969"/>
      <c r="O66" s="969"/>
    </row>
    <row r="67" spans="1:17">
      <c r="A67" s="1252"/>
      <c r="B67" s="1255"/>
      <c r="C67" s="1260"/>
      <c r="D67" s="1252"/>
      <c r="E67" s="1252"/>
      <c r="F67" s="1252"/>
      <c r="G67" s="1252"/>
      <c r="H67" s="1252"/>
      <c r="I67" s="1252"/>
      <c r="J67" s="1252"/>
      <c r="K67" s="1257"/>
      <c r="L67" s="1253"/>
      <c r="M67" s="1252"/>
      <c r="N67" s="1252"/>
      <c r="O67" s="1252"/>
    </row>
    <row r="68" spans="1:17" s="1667" customFormat="1">
      <c r="A68" s="736"/>
      <c r="B68" s="1665"/>
      <c r="C68" s="1665" t="str">
        <f>YEAR(C7)&amp;"-"&amp;MONTH(C7)&amp;"-1"</f>
        <v>2018-6-1</v>
      </c>
      <c r="D68" s="1665">
        <f>EDATE(C68,-3)</f>
        <v>43160</v>
      </c>
      <c r="E68" s="1665">
        <f t="shared" ref="E68:O68" si="17">EDATE(D68,-3)</f>
        <v>43070</v>
      </c>
      <c r="F68" s="1665">
        <f t="shared" si="17"/>
        <v>42979</v>
      </c>
      <c r="G68" s="1665">
        <f t="shared" si="17"/>
        <v>42887</v>
      </c>
      <c r="H68" s="1665">
        <f t="shared" si="17"/>
        <v>42795</v>
      </c>
      <c r="I68" s="1665">
        <f t="shared" si="17"/>
        <v>42705</v>
      </c>
      <c r="J68" s="1665">
        <f t="shared" si="17"/>
        <v>42614</v>
      </c>
      <c r="K68" s="1665">
        <f t="shared" si="17"/>
        <v>42522</v>
      </c>
      <c r="L68" s="1665">
        <f t="shared" si="17"/>
        <v>42430</v>
      </c>
      <c r="M68" s="1665">
        <f t="shared" si="17"/>
        <v>42339</v>
      </c>
      <c r="N68" s="1665">
        <f t="shared" si="17"/>
        <v>42248</v>
      </c>
      <c r="O68" s="1665">
        <f t="shared" si="17"/>
        <v>42156</v>
      </c>
    </row>
    <row r="69" spans="1:17" ht="21.75" thickBot="1">
      <c r="A69" s="740" t="s">
        <v>2474</v>
      </c>
      <c r="B69" s="736"/>
      <c r="C69" s="741"/>
      <c r="D69" s="741"/>
      <c r="E69" s="741"/>
      <c r="F69" s="742"/>
      <c r="G69" s="742"/>
      <c r="H69" s="741"/>
      <c r="I69" s="1268"/>
      <c r="J69" s="1268"/>
      <c r="K69" s="1266"/>
      <c r="L69" s="1267"/>
      <c r="M69" s="1268"/>
      <c r="N69" s="1268"/>
      <c r="O69" s="1268"/>
      <c r="P69" s="483"/>
      <c r="Q69" s="484"/>
    </row>
    <row r="70" spans="1:17" s="1669" customFormat="1" ht="15">
      <c r="A70" s="2492" t="s">
        <v>2579</v>
      </c>
      <c r="B70" s="1451"/>
      <c r="C70" s="1666" t="str">
        <f>YEAR(C68)&amp;"-"&amp;ROUNDUP(MONTH(C68)/3,0)</f>
        <v>2018-2</v>
      </c>
      <c r="D70" s="1666" t="str">
        <f>YEAR(D68)&amp;"-"&amp;ROUNDUP(MONTH(D68)/3,0)</f>
        <v>2018-1</v>
      </c>
      <c r="E70" s="1666" t="str">
        <f t="shared" ref="E70:O70" si="18">YEAR(E68)&amp;"-"&amp;ROUNDUP(MONTH(E68)/3,0)</f>
        <v>2017-4</v>
      </c>
      <c r="F70" s="1666" t="str">
        <f t="shared" si="18"/>
        <v>2017-3</v>
      </c>
      <c r="G70" s="1666" t="str">
        <f t="shared" si="18"/>
        <v>2017-2</v>
      </c>
      <c r="H70" s="1666" t="str">
        <f t="shared" si="18"/>
        <v>2017-1</v>
      </c>
      <c r="I70" s="1666" t="str">
        <f t="shared" si="18"/>
        <v>2016-4</v>
      </c>
      <c r="J70" s="1666" t="str">
        <f t="shared" si="18"/>
        <v>2016-3</v>
      </c>
      <c r="K70" s="1666" t="str">
        <f t="shared" si="18"/>
        <v>2016-2</v>
      </c>
      <c r="L70" s="1666" t="str">
        <f t="shared" si="18"/>
        <v>2016-1</v>
      </c>
      <c r="M70" s="1666" t="str">
        <f t="shared" si="18"/>
        <v>2015-4</v>
      </c>
      <c r="N70" s="1666" t="str">
        <f t="shared" si="18"/>
        <v>2015-3</v>
      </c>
      <c r="O70" s="1666" t="str">
        <f t="shared" si="18"/>
        <v>2015-2</v>
      </c>
      <c r="P70" s="1668"/>
    </row>
    <row r="71" spans="1:17" s="35" customFormat="1" ht="29.25" customHeight="1">
      <c r="A71" s="2493" t="s">
        <v>2580</v>
      </c>
      <c r="B71" s="283" t="str">
        <f>"北京市平均增长率"&amp;TEXT(SUMIF(基准地价修正!N21:N25,A71,基准地价修正!P21:P25),"0.00%")</f>
        <v>北京市平均增长率1.57%</v>
      </c>
      <c r="C71" s="586">
        <v>100</v>
      </c>
      <c r="D71" s="578"/>
      <c r="E71" s="578"/>
      <c r="F71" s="578"/>
      <c r="G71" s="578"/>
      <c r="H71" s="578"/>
      <c r="I71" s="578"/>
      <c r="J71" s="578"/>
      <c r="K71" s="578"/>
      <c r="L71" s="578"/>
      <c r="M71" s="1664"/>
      <c r="N71" s="578"/>
      <c r="O71" s="1670"/>
      <c r="P71" s="484"/>
    </row>
    <row r="72" spans="1:17" s="35" customFormat="1" ht="15.75" thickBot="1">
      <c r="A72" s="495" t="s">
        <v>2394</v>
      </c>
      <c r="B72" s="496"/>
      <c r="C72" s="497"/>
      <c r="D72" s="498"/>
      <c r="E72" s="498"/>
      <c r="F72" s="498"/>
      <c r="G72" s="498"/>
      <c r="H72" s="498"/>
      <c r="I72" s="498"/>
      <c r="J72" s="498"/>
      <c r="K72" s="498"/>
      <c r="L72" s="498"/>
      <c r="M72" s="499"/>
      <c r="N72" s="498"/>
      <c r="O72" s="1671"/>
      <c r="P72" s="484"/>
      <c r="Q72" s="484"/>
    </row>
    <row r="73" spans="1:17" s="35" customFormat="1" ht="15">
      <c r="A73" s="501" t="s">
        <v>2358</v>
      </c>
      <c r="B73" s="490"/>
      <c r="C73" s="502" t="s">
        <v>2359</v>
      </c>
      <c r="D73" s="503"/>
      <c r="E73" s="503"/>
      <c r="F73" s="503"/>
      <c r="G73" s="503"/>
      <c r="H73" s="503"/>
      <c r="I73" s="503"/>
      <c r="J73" s="503"/>
      <c r="K73" s="503"/>
      <c r="L73" s="504"/>
      <c r="M73" s="505"/>
      <c r="N73" s="1261"/>
      <c r="O73" s="1261"/>
      <c r="P73" s="506"/>
      <c r="Q73" s="484"/>
    </row>
    <row r="74" spans="1:17" s="35" customFormat="1" ht="15.75" thickBot="1">
      <c r="A74" s="501"/>
      <c r="B74" s="490"/>
      <c r="C74" s="622">
        <v>100</v>
      </c>
      <c r="D74" s="492"/>
      <c r="E74" s="492"/>
      <c r="F74" s="492"/>
      <c r="G74" s="492"/>
      <c r="H74" s="492"/>
      <c r="I74" s="492"/>
      <c r="J74" s="492"/>
      <c r="K74" s="492"/>
      <c r="L74" s="492"/>
      <c r="M74" s="494"/>
      <c r="N74" s="1261"/>
      <c r="O74" s="1261"/>
      <c r="P74" s="484"/>
      <c r="Q74" s="484"/>
    </row>
    <row r="75" spans="1:17">
      <c r="A75" s="507" t="s">
        <v>2397</v>
      </c>
      <c r="B75" s="508" t="s">
        <v>2362</v>
      </c>
      <c r="C75" s="510"/>
      <c r="D75" s="510"/>
      <c r="E75" s="510"/>
      <c r="F75" s="510"/>
      <c r="G75" s="510"/>
      <c r="H75" s="510"/>
      <c r="I75" s="510"/>
      <c r="J75" s="510"/>
      <c r="K75" s="511"/>
      <c r="L75" s="512"/>
      <c r="M75" s="513"/>
      <c r="N75" s="1262"/>
      <c r="O75" s="1262"/>
      <c r="P75" s="22"/>
      <c r="Q75" s="484"/>
    </row>
    <row r="76" spans="1:17" ht="15.75" thickBot="1">
      <c r="A76" s="515"/>
      <c r="B76" s="516"/>
      <c r="C76" s="517"/>
      <c r="D76" s="517"/>
      <c r="E76" s="517"/>
      <c r="F76" s="517"/>
      <c r="G76" s="517"/>
      <c r="H76" s="517"/>
      <c r="I76" s="517"/>
      <c r="J76" s="517"/>
      <c r="K76" s="517"/>
      <c r="L76" s="517"/>
      <c r="M76" s="518"/>
      <c r="N76" s="1263"/>
      <c r="O76" s="1263"/>
      <c r="P76" s="22"/>
      <c r="Q76" s="484"/>
    </row>
    <row r="77" spans="1:17" ht="27.75" thickTop="1">
      <c r="A77" s="515"/>
      <c r="B77" s="520" t="s">
        <v>2365</v>
      </c>
      <c r="C77" s="521"/>
      <c r="D77" s="521"/>
      <c r="E77" s="521"/>
      <c r="F77" s="521"/>
      <c r="G77" s="521"/>
      <c r="H77" s="521"/>
      <c r="I77" s="521"/>
      <c r="J77" s="521"/>
      <c r="K77" s="522"/>
      <c r="L77" s="523"/>
      <c r="M77" s="524"/>
      <c r="N77" s="1262"/>
      <c r="O77" s="1262"/>
      <c r="P77" s="22"/>
      <c r="Q77" s="484"/>
    </row>
    <row r="78" spans="1:17" ht="15.75" thickBot="1">
      <c r="A78" s="515"/>
      <c r="B78" s="525"/>
      <c r="C78" s="526"/>
      <c r="D78" s="526"/>
      <c r="E78" s="526"/>
      <c r="F78" s="526"/>
      <c r="G78" s="526"/>
      <c r="H78" s="526"/>
      <c r="I78" s="526"/>
      <c r="J78" s="526"/>
      <c r="K78" s="526"/>
      <c r="L78" s="526"/>
      <c r="M78" s="527"/>
      <c r="N78" s="1263"/>
      <c r="O78" s="1263"/>
      <c r="P78" s="22"/>
      <c r="Q78" s="484"/>
    </row>
    <row r="79" spans="1:17" ht="15.75" thickTop="1">
      <c r="A79" s="515"/>
      <c r="B79" s="528" t="s">
        <v>2366</v>
      </c>
      <c r="C79" s="529" t="str">
        <f>C80&amp;"（含）"&amp;"-"&amp;D80</f>
        <v>（含）-</v>
      </c>
      <c r="D79" s="529" t="str">
        <f t="shared" ref="D79:L79" si="19">D80&amp;"（含）"&amp;"-"&amp;E80</f>
        <v>（含）-</v>
      </c>
      <c r="E79" s="529" t="str">
        <f t="shared" si="19"/>
        <v>（含）-</v>
      </c>
      <c r="F79" s="529" t="str">
        <f t="shared" si="19"/>
        <v>（含）-</v>
      </c>
      <c r="G79" s="529" t="str">
        <f t="shared" si="19"/>
        <v>（含）-</v>
      </c>
      <c r="H79" s="529" t="str">
        <f t="shared" si="19"/>
        <v>（含）-</v>
      </c>
      <c r="I79" s="529" t="str">
        <f t="shared" si="19"/>
        <v>（含）-</v>
      </c>
      <c r="J79" s="529" t="str">
        <f t="shared" si="19"/>
        <v>（含）-</v>
      </c>
      <c r="K79" s="529" t="str">
        <f t="shared" si="19"/>
        <v>（含）-</v>
      </c>
      <c r="L79" s="529" t="str">
        <f t="shared" si="19"/>
        <v>（含）-</v>
      </c>
      <c r="M79" s="426" t="str">
        <f>M80&amp;"（含）"&amp;"-"&amp;P80</f>
        <v>（含）-</v>
      </c>
      <c r="N79" s="1263"/>
      <c r="O79" s="1263"/>
      <c r="P79" s="22"/>
      <c r="Q79" s="484"/>
    </row>
    <row r="80" spans="1:17" ht="15">
      <c r="A80" s="515"/>
      <c r="B80" s="530"/>
      <c r="C80" s="531"/>
      <c r="D80" s="531"/>
      <c r="E80" s="531"/>
      <c r="F80" s="531"/>
      <c r="G80" s="531"/>
      <c r="H80" s="531"/>
      <c r="I80" s="531"/>
      <c r="J80" s="531"/>
      <c r="K80" s="532"/>
      <c r="L80" s="533"/>
      <c r="M80" s="534"/>
      <c r="N80" s="1262"/>
      <c r="O80" s="1262"/>
      <c r="P80" s="22"/>
      <c r="Q80" s="484"/>
    </row>
    <row r="81" spans="1:17" ht="15.75" thickBot="1">
      <c r="A81" s="515"/>
      <c r="B81" s="516"/>
      <c r="C81" s="526">
        <v>100</v>
      </c>
      <c r="D81" s="526">
        <f t="shared" ref="D81:M81" si="20">IF($B$46="单位面积地价",C81+$K11,C81-$K11)</f>
        <v>100</v>
      </c>
      <c r="E81" s="526">
        <f t="shared" si="20"/>
        <v>100</v>
      </c>
      <c r="F81" s="526">
        <f t="shared" si="20"/>
        <v>100</v>
      </c>
      <c r="G81" s="526">
        <f t="shared" si="20"/>
        <v>100</v>
      </c>
      <c r="H81" s="526">
        <f t="shared" si="20"/>
        <v>100</v>
      </c>
      <c r="I81" s="526">
        <f t="shared" si="20"/>
        <v>100</v>
      </c>
      <c r="J81" s="526">
        <f t="shared" si="20"/>
        <v>100</v>
      </c>
      <c r="K81" s="526">
        <f t="shared" si="20"/>
        <v>100</v>
      </c>
      <c r="L81" s="526">
        <f t="shared" si="20"/>
        <v>100</v>
      </c>
      <c r="M81" s="526">
        <f t="shared" si="20"/>
        <v>100</v>
      </c>
      <c r="N81" s="1263"/>
      <c r="O81" s="1263"/>
      <c r="P81" s="22"/>
      <c r="Q81" s="484"/>
    </row>
    <row r="82" spans="1:17" s="451" customFormat="1" ht="15.75"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5.75" thickBot="1">
      <c r="A83" s="535"/>
      <c r="B83" s="525"/>
      <c r="C83" s="543"/>
      <c r="D83" s="517"/>
      <c r="E83" s="517"/>
      <c r="F83" s="517"/>
      <c r="G83" s="517"/>
      <c r="H83" s="517"/>
      <c r="I83" s="517"/>
      <c r="J83" s="517"/>
      <c r="K83" s="517"/>
      <c r="L83" s="517"/>
      <c r="M83" s="518"/>
      <c r="N83" s="1263"/>
      <c r="O83" s="1263"/>
      <c r="P83" s="541"/>
      <c r="Q83" s="542"/>
    </row>
    <row r="84" spans="1:17" s="451" customFormat="1" ht="15.75" thickTop="1">
      <c r="A84" s="535"/>
      <c r="B84" s="520">
        <f>B13</f>
        <v>111</v>
      </c>
      <c r="C84" s="536"/>
      <c r="D84" s="536"/>
      <c r="E84" s="536"/>
      <c r="F84" s="536"/>
      <c r="G84" s="536"/>
      <c r="H84" s="537"/>
      <c r="I84" s="537"/>
      <c r="J84" s="537"/>
      <c r="K84" s="537"/>
      <c r="L84" s="538"/>
      <c r="M84" s="539"/>
      <c r="N84" s="1264"/>
      <c r="O84" s="1264"/>
      <c r="P84" s="450"/>
      <c r="Q84" s="544"/>
    </row>
    <row r="85" spans="1:17" s="451" customFormat="1" ht="15.75" thickBot="1">
      <c r="A85" s="535"/>
      <c r="B85" s="525"/>
      <c r="C85" s="543"/>
      <c r="D85" s="543"/>
      <c r="E85" s="543"/>
      <c r="F85" s="543"/>
      <c r="G85" s="543"/>
      <c r="H85" s="545"/>
      <c r="I85" s="545"/>
      <c r="J85" s="545"/>
      <c r="K85" s="545"/>
      <c r="L85" s="545"/>
      <c r="M85" s="546"/>
      <c r="N85" s="1264"/>
      <c r="O85" s="1264"/>
      <c r="P85" s="541"/>
      <c r="Q85" s="542"/>
    </row>
    <row r="86" spans="1:17" s="451" customFormat="1" ht="15.75" thickTop="1">
      <c r="A86" s="535"/>
      <c r="B86" s="528">
        <f>B14</f>
        <v>111</v>
      </c>
      <c r="C86" s="503"/>
      <c r="D86" s="503"/>
      <c r="E86" s="503"/>
      <c r="F86" s="503"/>
      <c r="G86" s="503"/>
      <c r="H86" s="547"/>
      <c r="I86" s="547"/>
      <c r="J86" s="547"/>
      <c r="K86" s="547"/>
      <c r="L86" s="548"/>
      <c r="M86" s="549"/>
      <c r="N86" s="1264"/>
      <c r="O86" s="1264"/>
      <c r="P86" s="550"/>
      <c r="Q86" s="542"/>
    </row>
    <row r="87" spans="1:17" s="451" customFormat="1" ht="15.75" thickBot="1">
      <c r="A87" s="551"/>
      <c r="B87" s="552"/>
      <c r="C87" s="553"/>
      <c r="D87" s="553"/>
      <c r="E87" s="553"/>
      <c r="F87" s="553"/>
      <c r="G87" s="553"/>
      <c r="H87" s="554"/>
      <c r="I87" s="554"/>
      <c r="J87" s="554"/>
      <c r="K87" s="554"/>
      <c r="L87" s="554"/>
      <c r="M87" s="555"/>
      <c r="N87" s="1264"/>
      <c r="O87" s="1264"/>
      <c r="P87" s="541"/>
      <c r="Q87" s="542"/>
    </row>
    <row r="88" spans="1:17">
      <c r="A88" s="507" t="s">
        <v>2367</v>
      </c>
      <c r="B88" s="508" t="s">
        <v>2405</v>
      </c>
      <c r="C88" s="556" t="s">
        <v>2406</v>
      </c>
      <c r="D88" s="556" t="s">
        <v>2407</v>
      </c>
      <c r="E88" s="556" t="s">
        <v>2408</v>
      </c>
      <c r="F88" s="556" t="s">
        <v>2409</v>
      </c>
      <c r="G88" s="556" t="s">
        <v>2410</v>
      </c>
      <c r="H88" s="509"/>
      <c r="I88" s="509"/>
      <c r="J88" s="509"/>
      <c r="K88" s="557"/>
      <c r="L88" s="558"/>
      <c r="M88" s="559"/>
      <c r="N88" s="1262"/>
      <c r="O88" s="1262"/>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75" thickTop="1">
      <c r="A90" s="515"/>
      <c r="B90" s="520" t="s">
        <v>2581</v>
      </c>
      <c r="C90" s="561" t="s">
        <v>2406</v>
      </c>
      <c r="D90" s="561" t="s">
        <v>2407</v>
      </c>
      <c r="E90" s="561" t="s">
        <v>2408</v>
      </c>
      <c r="F90" s="561" t="s">
        <v>2409</v>
      </c>
      <c r="G90" s="561" t="s">
        <v>2410</v>
      </c>
      <c r="H90" s="521"/>
      <c r="I90" s="521"/>
      <c r="J90" s="521"/>
      <c r="K90" s="522"/>
      <c r="L90" s="523"/>
      <c r="M90" s="524"/>
      <c r="N90" s="1262"/>
      <c r="O90" s="1262"/>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75" thickTop="1">
      <c r="A92" s="515"/>
      <c r="B92" s="520" t="s">
        <v>2493</v>
      </c>
      <c r="C92" s="561" t="s">
        <v>2406</v>
      </c>
      <c r="D92" s="561" t="s">
        <v>2407</v>
      </c>
      <c r="E92" s="561" t="s">
        <v>2408</v>
      </c>
      <c r="F92" s="561" t="s">
        <v>2409</v>
      </c>
      <c r="G92" s="561" t="s">
        <v>2410</v>
      </c>
      <c r="H92" s="521"/>
      <c r="I92" s="521"/>
      <c r="J92" s="521"/>
      <c r="K92" s="522"/>
      <c r="L92" s="523"/>
      <c r="M92" s="524"/>
      <c r="N92" s="1262"/>
      <c r="O92" s="1262"/>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75" thickTop="1">
      <c r="A94" s="515"/>
      <c r="B94" s="520" t="s">
        <v>2411</v>
      </c>
      <c r="C94" s="561" t="s">
        <v>2406</v>
      </c>
      <c r="D94" s="561" t="s">
        <v>2407</v>
      </c>
      <c r="E94" s="561" t="s">
        <v>2408</v>
      </c>
      <c r="F94" s="561" t="s">
        <v>2409</v>
      </c>
      <c r="G94" s="561" t="s">
        <v>2410</v>
      </c>
      <c r="H94" s="521"/>
      <c r="I94" s="521"/>
      <c r="J94" s="521"/>
      <c r="K94" s="522"/>
      <c r="L94" s="523"/>
      <c r="M94" s="524"/>
      <c r="N94" s="1262"/>
      <c r="O94" s="1262"/>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5" customFormat="1" ht="15.75" thickTop="1">
      <c r="A96" s="562"/>
      <c r="B96" s="520" t="s">
        <v>2582</v>
      </c>
      <c r="C96" s="561" t="s">
        <v>2406</v>
      </c>
      <c r="D96" s="561" t="s">
        <v>2407</v>
      </c>
      <c r="E96" s="561" t="s">
        <v>2408</v>
      </c>
      <c r="F96" s="561" t="s">
        <v>2409</v>
      </c>
      <c r="G96" s="561" t="s">
        <v>2410</v>
      </c>
      <c r="H96" s="561"/>
      <c r="I96" s="561"/>
      <c r="J96" s="561"/>
      <c r="K96" s="561"/>
      <c r="L96" s="681"/>
      <c r="M96" s="605"/>
      <c r="N96" s="1261"/>
      <c r="O96" s="1261"/>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5" customFormat="1" ht="27.75" thickTop="1">
      <c r="A98" s="562"/>
      <c r="B98" s="520" t="s">
        <v>2583</v>
      </c>
      <c r="C98" s="556" t="s">
        <v>2406</v>
      </c>
      <c r="D98" s="556" t="s">
        <v>2407</v>
      </c>
      <c r="E98" s="556" t="s">
        <v>2408</v>
      </c>
      <c r="F98" s="556" t="s">
        <v>2409</v>
      </c>
      <c r="G98" s="556" t="s">
        <v>2410</v>
      </c>
      <c r="H98" s="561"/>
      <c r="I98" s="561"/>
      <c r="J98" s="561"/>
      <c r="K98" s="561"/>
      <c r="L98" s="561"/>
      <c r="M98" s="605"/>
      <c r="N98" s="1261"/>
      <c r="O98" s="1261"/>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5" customFormat="1" ht="15.75" thickTop="1">
      <c r="A100" s="562"/>
      <c r="B100" s="528" t="s">
        <v>2454</v>
      </c>
      <c r="C100" s="556" t="s">
        <v>2406</v>
      </c>
      <c r="D100" s="556" t="s">
        <v>2407</v>
      </c>
      <c r="E100" s="556" t="s">
        <v>2408</v>
      </c>
      <c r="F100" s="556" t="s">
        <v>2409</v>
      </c>
      <c r="G100" s="556" t="s">
        <v>2410</v>
      </c>
      <c r="H100" s="521"/>
      <c r="I100" s="521"/>
      <c r="J100" s="521"/>
      <c r="K100" s="521"/>
      <c r="L100" s="521"/>
      <c r="M100" s="1462"/>
      <c r="N100" s="1263"/>
      <c r="O100" s="1263"/>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75" thickTop="1">
      <c r="A102" s="535"/>
      <c r="B102" s="520" t="s">
        <v>2455</v>
      </c>
      <c r="C102" s="521" t="s">
        <v>2413</v>
      </c>
      <c r="D102" s="521" t="s">
        <v>2414</v>
      </c>
      <c r="E102" s="521" t="s">
        <v>2415</v>
      </c>
      <c r="F102" s="521" t="s">
        <v>2416</v>
      </c>
      <c r="G102" s="521" t="s">
        <v>2417</v>
      </c>
      <c r="H102" s="583"/>
      <c r="I102" s="583"/>
      <c r="J102" s="583"/>
      <c r="K102" s="583"/>
      <c r="L102" s="584"/>
      <c r="M102" s="585"/>
      <c r="N102" s="1264"/>
      <c r="O102" s="1264"/>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75" thickTop="1">
      <c r="A104" s="515"/>
      <c r="B104" s="520" t="str">
        <f>B31</f>
        <v>临街状况</v>
      </c>
      <c r="C104" s="521" t="s">
        <v>2584</v>
      </c>
      <c r="D104" s="521" t="s">
        <v>2585</v>
      </c>
      <c r="E104" s="521" t="s">
        <v>2586</v>
      </c>
      <c r="F104" s="521" t="s">
        <v>2587</v>
      </c>
      <c r="G104" s="521"/>
      <c r="H104" s="521"/>
      <c r="I104" s="521"/>
      <c r="J104" s="521"/>
      <c r="K104" s="522"/>
      <c r="L104" s="523"/>
      <c r="M104" s="524"/>
      <c r="N104" s="1262"/>
      <c r="O104" s="1262"/>
      <c r="P104" s="22"/>
      <c r="Q104" s="484"/>
    </row>
    <row r="105" spans="1:17" ht="15.75" thickBot="1">
      <c r="A105" s="515"/>
      <c r="B105" s="525"/>
      <c r="C105" s="526">
        <v>100</v>
      </c>
      <c r="D105" s="526">
        <f>C105-$K31</f>
        <v>100</v>
      </c>
      <c r="E105" s="526">
        <f t="shared" ref="E105:M105" si="21">D105-$K31</f>
        <v>100</v>
      </c>
      <c r="F105" s="526">
        <f t="shared" si="21"/>
        <v>100</v>
      </c>
      <c r="G105" s="526">
        <f t="shared" si="21"/>
        <v>100</v>
      </c>
      <c r="H105" s="526">
        <f t="shared" si="21"/>
        <v>100</v>
      </c>
      <c r="I105" s="526">
        <f t="shared" si="21"/>
        <v>100</v>
      </c>
      <c r="J105" s="526">
        <f t="shared" si="21"/>
        <v>100</v>
      </c>
      <c r="K105" s="526">
        <f t="shared" si="21"/>
        <v>100</v>
      </c>
      <c r="L105" s="526">
        <f t="shared" si="21"/>
        <v>100</v>
      </c>
      <c r="M105" s="526">
        <f t="shared" si="21"/>
        <v>100</v>
      </c>
      <c r="N105" s="1263"/>
      <c r="O105" s="1263"/>
      <c r="P105" s="22"/>
      <c r="Q105" s="484"/>
    </row>
    <row r="106" spans="1:17" ht="27.75" thickTop="1">
      <c r="A106" s="515"/>
      <c r="B106" s="520" t="s">
        <v>2486</v>
      </c>
      <c r="C106" s="536"/>
      <c r="D106" s="536"/>
      <c r="E106" s="536"/>
      <c r="F106" s="536"/>
      <c r="G106" s="536"/>
      <c r="H106" s="566"/>
      <c r="I106" s="566"/>
      <c r="J106" s="566"/>
      <c r="K106" s="567"/>
      <c r="L106" s="568"/>
      <c r="M106" s="569"/>
      <c r="N106" s="1262"/>
      <c r="O106" s="1262"/>
      <c r="P106" s="22"/>
      <c r="Q106" s="484"/>
    </row>
    <row r="107" spans="1:17" ht="15.75" thickBot="1">
      <c r="A107" s="515"/>
      <c r="B107" s="525"/>
      <c r="C107" s="526">
        <v>100</v>
      </c>
      <c r="D107" s="526">
        <f>C107-$K32</f>
        <v>100</v>
      </c>
      <c r="E107" s="526">
        <f t="shared" ref="E107:M107" si="22">D107-$K32</f>
        <v>100</v>
      </c>
      <c r="F107" s="526">
        <f t="shared" si="22"/>
        <v>100</v>
      </c>
      <c r="G107" s="526">
        <f t="shared" si="22"/>
        <v>100</v>
      </c>
      <c r="H107" s="526">
        <f t="shared" si="22"/>
        <v>100</v>
      </c>
      <c r="I107" s="526">
        <f t="shared" si="22"/>
        <v>100</v>
      </c>
      <c r="J107" s="526">
        <f t="shared" si="22"/>
        <v>100</v>
      </c>
      <c r="K107" s="526">
        <f t="shared" si="22"/>
        <v>100</v>
      </c>
      <c r="L107" s="526">
        <f t="shared" si="22"/>
        <v>100</v>
      </c>
      <c r="M107" s="526">
        <f t="shared" si="22"/>
        <v>100</v>
      </c>
      <c r="N107" s="1263"/>
      <c r="O107" s="1263"/>
      <c r="P107" s="22"/>
      <c r="Q107" s="484"/>
    </row>
    <row r="108" spans="1:17" ht="15.75" thickTop="1">
      <c r="A108" s="515"/>
      <c r="B108" s="520" t="s">
        <v>2553</v>
      </c>
      <c r="C108" s="566"/>
      <c r="D108" s="566"/>
      <c r="E108" s="566"/>
      <c r="F108" s="566"/>
      <c r="G108" s="566"/>
      <c r="H108" s="566"/>
      <c r="I108" s="566"/>
      <c r="J108" s="566"/>
      <c r="K108" s="567"/>
      <c r="L108" s="568"/>
      <c r="M108" s="569"/>
      <c r="N108" s="1262"/>
      <c r="O108" s="1262"/>
      <c r="P108" s="22"/>
      <c r="Q108" s="484"/>
    </row>
    <row r="109" spans="1:17" ht="15.75" thickBot="1">
      <c r="A109" s="515"/>
      <c r="B109" s="525"/>
      <c r="C109" s="526">
        <v>100</v>
      </c>
      <c r="D109" s="526">
        <f>C109-$K34</f>
        <v>100</v>
      </c>
      <c r="E109" s="526">
        <f t="shared" ref="E109:M109" si="23">D109-$K34</f>
        <v>100</v>
      </c>
      <c r="F109" s="526">
        <f t="shared" si="23"/>
        <v>100</v>
      </c>
      <c r="G109" s="526">
        <f t="shared" si="23"/>
        <v>100</v>
      </c>
      <c r="H109" s="526">
        <f t="shared" si="23"/>
        <v>100</v>
      </c>
      <c r="I109" s="526">
        <f t="shared" si="23"/>
        <v>100</v>
      </c>
      <c r="J109" s="526">
        <f t="shared" si="23"/>
        <v>100</v>
      </c>
      <c r="K109" s="526">
        <f t="shared" si="23"/>
        <v>100</v>
      </c>
      <c r="L109" s="526">
        <f t="shared" si="23"/>
        <v>100</v>
      </c>
      <c r="M109" s="526">
        <f t="shared" si="23"/>
        <v>100</v>
      </c>
      <c r="N109" s="1263"/>
      <c r="O109" s="1263"/>
      <c r="P109" s="22"/>
      <c r="Q109" s="484"/>
    </row>
    <row r="110" spans="1:17" ht="15.75" thickTop="1">
      <c r="A110" s="515"/>
      <c r="B110" s="528">
        <f>B35</f>
        <v>111</v>
      </c>
      <c r="C110" s="536"/>
      <c r="D110" s="536"/>
      <c r="E110" s="536"/>
      <c r="F110" s="536"/>
      <c r="G110" s="570"/>
      <c r="H110" s="570"/>
      <c r="I110" s="570"/>
      <c r="J110" s="570"/>
      <c r="K110" s="571"/>
      <c r="L110" s="572"/>
      <c r="M110" s="573"/>
      <c r="N110" s="1262"/>
      <c r="O110" s="1262"/>
      <c r="P110" s="22"/>
      <c r="Q110" s="484"/>
    </row>
    <row r="111" spans="1:17" ht="15.75" thickBot="1">
      <c r="A111" s="515"/>
      <c r="B111" s="552"/>
      <c r="C111" s="543"/>
      <c r="D111" s="543"/>
      <c r="E111" s="543"/>
      <c r="F111" s="543"/>
      <c r="G111" s="574"/>
      <c r="H111" s="574"/>
      <c r="I111" s="574"/>
      <c r="J111" s="574"/>
      <c r="K111" s="574"/>
      <c r="L111" s="574"/>
      <c r="M111" s="575"/>
      <c r="N111" s="1263"/>
      <c r="O111" s="1263"/>
      <c r="P111" s="22"/>
      <c r="Q111" s="484"/>
    </row>
    <row r="112" spans="1:17" ht="15" thickTop="1">
      <c r="A112" s="657"/>
      <c r="B112" s="520">
        <f>B36</f>
        <v>111</v>
      </c>
      <c r="C112" s="503"/>
      <c r="D112" s="503"/>
      <c r="E112" s="503"/>
      <c r="F112" s="503"/>
      <c r="G112" s="566"/>
      <c r="H112" s="566"/>
      <c r="I112" s="566"/>
      <c r="J112" s="566"/>
      <c r="K112" s="567"/>
      <c r="L112" s="568"/>
      <c r="M112" s="569"/>
      <c r="N112" s="1262"/>
      <c r="O112" s="1262"/>
      <c r="P112" s="22"/>
      <c r="Q112" s="484"/>
    </row>
    <row r="113" spans="1:17" ht="15.75" thickBot="1">
      <c r="A113" s="515"/>
      <c r="B113" s="525"/>
      <c r="C113" s="553"/>
      <c r="D113" s="553"/>
      <c r="E113" s="553"/>
      <c r="F113" s="553"/>
      <c r="G113" s="517"/>
      <c r="H113" s="517"/>
      <c r="I113" s="517"/>
      <c r="J113" s="517"/>
      <c r="K113" s="517"/>
      <c r="L113" s="517"/>
      <c r="M113" s="518"/>
      <c r="N113" s="1263"/>
      <c r="O113" s="1263"/>
      <c r="P113" s="22"/>
      <c r="Q113" s="484"/>
    </row>
    <row r="114" spans="1:17" s="451" customFormat="1" ht="15"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5.75" thickBot="1">
      <c r="A115" s="535"/>
      <c r="B115" s="528"/>
      <c r="C115" s="492"/>
      <c r="D115" s="659"/>
      <c r="E115" s="659"/>
      <c r="F115" s="659"/>
      <c r="G115" s="659"/>
      <c r="H115" s="659"/>
      <c r="I115" s="659"/>
      <c r="J115" s="659"/>
      <c r="K115" s="659"/>
      <c r="L115" s="659"/>
      <c r="M115" s="682"/>
      <c r="N115" s="1263"/>
      <c r="O115" s="1263"/>
      <c r="P115" s="541"/>
      <c r="Q115" s="542"/>
    </row>
    <row r="116" spans="1:17">
      <c r="A116" s="507" t="s">
        <v>2372</v>
      </c>
      <c r="B116" s="508" t="s">
        <v>2588</v>
      </c>
      <c r="C116" s="1852" t="str">
        <f t="shared" ref="C116:L116" si="24">C117&amp;"(含)"&amp;"-"&amp;D117</f>
        <v>(含)-</v>
      </c>
      <c r="D116" s="1852" t="str">
        <f t="shared" si="24"/>
        <v>(含)-</v>
      </c>
      <c r="E116" s="1852" t="str">
        <f t="shared" si="24"/>
        <v>(含)-</v>
      </c>
      <c r="F116" s="1852" t="str">
        <f t="shared" si="24"/>
        <v>(含)-</v>
      </c>
      <c r="G116" s="1852" t="str">
        <f t="shared" si="24"/>
        <v>(含)-</v>
      </c>
      <c r="H116" s="1852" t="str">
        <f t="shared" si="24"/>
        <v>(含)-</v>
      </c>
      <c r="I116" s="1852" t="str">
        <f t="shared" si="24"/>
        <v>(含)-</v>
      </c>
      <c r="J116" s="1852" t="str">
        <f t="shared" si="24"/>
        <v>(含)-</v>
      </c>
      <c r="K116" s="1852" t="str">
        <f t="shared" si="24"/>
        <v>(含)-</v>
      </c>
      <c r="L116" s="1853" t="str">
        <f t="shared" si="24"/>
        <v>(含)-</v>
      </c>
      <c r="M116" s="1854" t="str">
        <f>M117&amp;"(含)"&amp;"-"&amp;P117</f>
        <v>(含)-</v>
      </c>
      <c r="N116" s="1262"/>
      <c r="O116" s="1262"/>
      <c r="P116" s="22"/>
      <c r="Q116" s="484"/>
    </row>
    <row r="117" spans="1:17" ht="15">
      <c r="A117" s="515"/>
      <c r="B117" s="528"/>
      <c r="C117" s="578"/>
      <c r="D117" s="578"/>
      <c r="E117" s="578"/>
      <c r="F117" s="578"/>
      <c r="G117" s="578"/>
      <c r="H117" s="578"/>
      <c r="I117" s="578"/>
      <c r="J117" s="579"/>
      <c r="K117" s="579"/>
      <c r="L117" s="580"/>
      <c r="M117" s="581"/>
      <c r="N117" s="1262"/>
      <c r="O117" s="1262"/>
      <c r="P117" s="22"/>
      <c r="Q117" s="484"/>
    </row>
    <row r="118" spans="1:17" ht="15.75"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2589</v>
      </c>
      <c r="C119" s="566"/>
      <c r="D119" s="566"/>
      <c r="E119" s="566"/>
      <c r="F119" s="566"/>
      <c r="G119" s="566"/>
      <c r="H119" s="566"/>
      <c r="I119" s="566"/>
      <c r="J119" s="566"/>
      <c r="K119" s="567"/>
      <c r="L119" s="568"/>
      <c r="M119" s="569"/>
      <c r="N119" s="1262"/>
      <c r="O119" s="1262"/>
      <c r="P119" s="22"/>
      <c r="Q119" s="484"/>
    </row>
    <row r="120" spans="1:17" ht="15.75" thickBot="1">
      <c r="A120" s="515"/>
      <c r="B120" s="525"/>
      <c r="C120" s="526">
        <v>100</v>
      </c>
      <c r="D120" s="526">
        <f t="shared" ref="D120:M120" si="25">C120-$K39</f>
        <v>100</v>
      </c>
      <c r="E120" s="526">
        <f t="shared" si="25"/>
        <v>100</v>
      </c>
      <c r="F120" s="526">
        <f t="shared" si="25"/>
        <v>100</v>
      </c>
      <c r="G120" s="526">
        <f t="shared" si="25"/>
        <v>100</v>
      </c>
      <c r="H120" s="526">
        <f t="shared" si="25"/>
        <v>100</v>
      </c>
      <c r="I120" s="526">
        <f t="shared" si="25"/>
        <v>100</v>
      </c>
      <c r="J120" s="526">
        <f t="shared" si="25"/>
        <v>100</v>
      </c>
      <c r="K120" s="526">
        <f t="shared" si="25"/>
        <v>100</v>
      </c>
      <c r="L120" s="526">
        <f t="shared" si="25"/>
        <v>100</v>
      </c>
      <c r="M120" s="527">
        <f t="shared" si="25"/>
        <v>100</v>
      </c>
      <c r="N120" s="1263"/>
      <c r="O120" s="1263"/>
      <c r="P120" s="22"/>
      <c r="Q120" s="484"/>
    </row>
    <row r="121" spans="1:17" ht="15" thickTop="1">
      <c r="A121" s="582"/>
      <c r="B121" s="520" t="s">
        <v>2590</v>
      </c>
      <c r="C121" s="536"/>
      <c r="D121" s="536"/>
      <c r="E121" s="536"/>
      <c r="F121" s="566"/>
      <c r="G121" s="566"/>
      <c r="H121" s="566"/>
      <c r="I121" s="566"/>
      <c r="J121" s="566"/>
      <c r="K121" s="567"/>
      <c r="L121" s="568"/>
      <c r="M121" s="569"/>
      <c r="N121" s="1262"/>
      <c r="O121" s="1262"/>
      <c r="P121" s="22"/>
      <c r="Q121" s="484"/>
    </row>
    <row r="122" spans="1:17" ht="15.75" thickBot="1">
      <c r="A122" s="515"/>
      <c r="B122" s="525"/>
      <c r="C122" s="526">
        <v>100</v>
      </c>
      <c r="D122" s="526">
        <f t="shared" ref="D122:M122" si="26">C122-$K40</f>
        <v>100</v>
      </c>
      <c r="E122" s="526">
        <f t="shared" si="26"/>
        <v>100</v>
      </c>
      <c r="F122" s="526">
        <f t="shared" si="26"/>
        <v>100</v>
      </c>
      <c r="G122" s="526">
        <f t="shared" si="26"/>
        <v>100</v>
      </c>
      <c r="H122" s="526">
        <f t="shared" si="26"/>
        <v>100</v>
      </c>
      <c r="I122" s="526">
        <f t="shared" si="26"/>
        <v>100</v>
      </c>
      <c r="J122" s="526">
        <f t="shared" si="26"/>
        <v>100</v>
      </c>
      <c r="K122" s="526">
        <f t="shared" si="26"/>
        <v>100</v>
      </c>
      <c r="L122" s="526">
        <f t="shared" si="26"/>
        <v>100</v>
      </c>
      <c r="M122" s="527">
        <f t="shared" si="26"/>
        <v>100</v>
      </c>
      <c r="N122" s="1263"/>
      <c r="O122" s="1263"/>
      <c r="P122" s="22"/>
      <c r="Q122" s="484"/>
    </row>
    <row r="123" spans="1:17" s="451" customFormat="1" ht="15" thickTop="1">
      <c r="A123" s="576"/>
      <c r="B123" s="520" t="s">
        <v>2591</v>
      </c>
      <c r="C123" s="536"/>
      <c r="D123" s="536"/>
      <c r="E123" s="536"/>
      <c r="F123" s="536"/>
      <c r="G123" s="536"/>
      <c r="H123" s="566"/>
      <c r="I123" s="566"/>
      <c r="J123" s="566"/>
      <c r="K123" s="567"/>
      <c r="L123" s="568"/>
      <c r="M123" s="569"/>
      <c r="N123" s="1264"/>
      <c r="O123" s="1264"/>
      <c r="P123" s="541"/>
      <c r="Q123" s="542"/>
    </row>
    <row r="124" spans="1:17" s="451" customFormat="1" ht="15.75" thickBot="1">
      <c r="A124" s="535"/>
      <c r="B124" s="525"/>
      <c r="C124" s="526">
        <v>100</v>
      </c>
      <c r="D124" s="526">
        <f>C124-$K41</f>
        <v>100</v>
      </c>
      <c r="E124" s="526">
        <f t="shared" ref="E124:M124" si="27">D124-$K41</f>
        <v>100</v>
      </c>
      <c r="F124" s="526">
        <f t="shared" si="27"/>
        <v>100</v>
      </c>
      <c r="G124" s="526">
        <f t="shared" si="27"/>
        <v>100</v>
      </c>
      <c r="H124" s="526">
        <f t="shared" si="27"/>
        <v>100</v>
      </c>
      <c r="I124" s="526">
        <f t="shared" si="27"/>
        <v>100</v>
      </c>
      <c r="J124" s="526">
        <f t="shared" si="27"/>
        <v>100</v>
      </c>
      <c r="K124" s="526">
        <f t="shared" si="27"/>
        <v>100</v>
      </c>
      <c r="L124" s="526">
        <f t="shared" si="27"/>
        <v>100</v>
      </c>
      <c r="M124" s="527">
        <f t="shared" si="27"/>
        <v>100</v>
      </c>
      <c r="N124" s="1264"/>
      <c r="O124" s="1264"/>
      <c r="P124" s="541"/>
      <c r="Q124" s="542"/>
    </row>
    <row r="125" spans="1:17" ht="15" thickTop="1">
      <c r="A125" s="582"/>
      <c r="B125" s="520" t="s">
        <v>2592</v>
      </c>
      <c r="C125" s="536"/>
      <c r="D125" s="536"/>
      <c r="E125" s="566"/>
      <c r="F125" s="566"/>
      <c r="G125" s="566"/>
      <c r="H125" s="566"/>
      <c r="I125" s="566"/>
      <c r="J125" s="566"/>
      <c r="K125" s="567"/>
      <c r="L125" s="568"/>
      <c r="M125" s="569"/>
      <c r="N125" s="1262"/>
      <c r="O125" s="1262"/>
      <c r="P125" s="22"/>
      <c r="Q125" s="484"/>
    </row>
    <row r="126" spans="1:17" ht="15.75" thickBot="1">
      <c r="A126" s="515"/>
      <c r="B126" s="525"/>
      <c r="C126" s="526">
        <v>100</v>
      </c>
      <c r="D126" s="526">
        <f t="shared" ref="D126:M126" si="28">C126-$K42</f>
        <v>100</v>
      </c>
      <c r="E126" s="526">
        <f t="shared" si="28"/>
        <v>100</v>
      </c>
      <c r="F126" s="526">
        <f t="shared" si="28"/>
        <v>100</v>
      </c>
      <c r="G126" s="526">
        <f t="shared" si="28"/>
        <v>100</v>
      </c>
      <c r="H126" s="526">
        <f t="shared" si="28"/>
        <v>100</v>
      </c>
      <c r="I126" s="526">
        <f t="shared" si="28"/>
        <v>100</v>
      </c>
      <c r="J126" s="526">
        <f t="shared" si="28"/>
        <v>100</v>
      </c>
      <c r="K126" s="526">
        <f t="shared" si="28"/>
        <v>100</v>
      </c>
      <c r="L126" s="526">
        <f t="shared" si="28"/>
        <v>100</v>
      </c>
      <c r="M126" s="527">
        <f t="shared" si="28"/>
        <v>100</v>
      </c>
      <c r="N126" s="1263"/>
      <c r="O126" s="1263"/>
      <c r="P126" s="22"/>
      <c r="Q126" s="484"/>
    </row>
    <row r="127" spans="1:17" ht="15" thickTop="1">
      <c r="A127" s="582"/>
      <c r="B127" s="520">
        <f>B43</f>
        <v>111</v>
      </c>
      <c r="C127" s="536"/>
      <c r="D127" s="536"/>
      <c r="E127" s="536"/>
      <c r="F127" s="536"/>
      <c r="G127" s="536"/>
      <c r="H127" s="566"/>
      <c r="I127" s="566"/>
      <c r="J127" s="566"/>
      <c r="K127" s="567"/>
      <c r="L127" s="568"/>
      <c r="M127" s="569"/>
      <c r="N127" s="1262"/>
      <c r="O127" s="1262"/>
      <c r="P127" s="22"/>
      <c r="Q127" s="484"/>
    </row>
    <row r="128" spans="1:17" ht="15.75" thickBot="1">
      <c r="A128" s="515"/>
      <c r="B128" s="525"/>
      <c r="C128" s="543"/>
      <c r="D128" s="543"/>
      <c r="E128" s="543"/>
      <c r="F128" s="543"/>
      <c r="G128" s="517"/>
      <c r="H128" s="517"/>
      <c r="I128" s="517"/>
      <c r="J128" s="517"/>
      <c r="K128" s="517"/>
      <c r="L128" s="517"/>
      <c r="M128" s="518"/>
      <c r="N128" s="1263"/>
      <c r="O128" s="1263"/>
      <c r="P128" s="22"/>
      <c r="Q128" s="484"/>
    </row>
    <row r="129" spans="1:17" ht="15" thickTop="1">
      <c r="A129" s="582"/>
      <c r="B129" s="520">
        <f>B44</f>
        <v>111</v>
      </c>
      <c r="C129" s="503"/>
      <c r="D129" s="503"/>
      <c r="E129" s="503"/>
      <c r="F129" s="503"/>
      <c r="G129" s="566"/>
      <c r="H129" s="566"/>
      <c r="I129" s="566"/>
      <c r="J129" s="566"/>
      <c r="K129" s="567"/>
      <c r="L129" s="568"/>
      <c r="M129" s="569"/>
      <c r="N129" s="1262"/>
      <c r="O129" s="1262"/>
      <c r="P129" s="22"/>
      <c r="Q129" s="484"/>
    </row>
    <row r="130" spans="1:17" ht="15.75" thickBot="1">
      <c r="A130" s="515"/>
      <c r="B130" s="525"/>
      <c r="C130" s="553"/>
      <c r="D130" s="553"/>
      <c r="E130" s="553"/>
      <c r="F130" s="553"/>
      <c r="G130" s="517"/>
      <c r="H130" s="517"/>
      <c r="I130" s="517"/>
      <c r="J130" s="517"/>
      <c r="K130" s="517"/>
      <c r="L130" s="517"/>
      <c r="M130" s="518"/>
      <c r="N130" s="1263"/>
      <c r="O130" s="1263"/>
      <c r="P130" s="22"/>
      <c r="Q130" s="484"/>
    </row>
    <row r="131" spans="1:17" s="451" customFormat="1" ht="15"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5.75"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2545</v>
      </c>
      <c r="B1" s="373"/>
      <c r="C1" s="374" t="s">
        <v>2593</v>
      </c>
      <c r="D1" s="732"/>
      <c r="E1" s="732"/>
      <c r="F1" s="731" t="s">
        <v>2341</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2009</v>
      </c>
      <c r="B2" s="653" t="e">
        <f>F61</f>
        <v>#DIV/0!</v>
      </c>
      <c r="C2" s="730" t="s">
        <v>2547</v>
      </c>
      <c r="D2" s="979"/>
      <c r="E2" s="979"/>
      <c r="F2" s="980"/>
      <c r="G2" s="979"/>
      <c r="H2" s="979"/>
      <c r="I2" s="979"/>
      <c r="J2" s="979"/>
      <c r="K2" s="981"/>
      <c r="L2" s="1236"/>
      <c r="M2" s="1237"/>
      <c r="N2" s="1237"/>
      <c r="O2" s="1237"/>
      <c r="P2" s="745"/>
      <c r="Q2" s="745"/>
      <c r="R2" s="745"/>
      <c r="S2" s="745"/>
      <c r="T2" s="745"/>
      <c r="U2" s="745"/>
      <c r="V2" s="745"/>
      <c r="W2" s="745"/>
      <c r="X2" s="745"/>
      <c r="Y2" s="745"/>
      <c r="Z2" s="745"/>
      <c r="AA2" s="745"/>
      <c r="AB2" s="745"/>
      <c r="AC2" s="746"/>
    </row>
    <row r="3" spans="1:29" s="376" customFormat="1" ht="28.5" customHeight="1" thickBot="1">
      <c r="A3" s="166" t="s">
        <v>2010</v>
      </c>
      <c r="B3" s="592" t="e">
        <f>ROUND(B2/'数据-取费表'!B5,0)</f>
        <v>#DIV/0!</v>
      </c>
      <c r="C3" s="730" t="s">
        <v>2548</v>
      </c>
      <c r="D3" s="979"/>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79" t="s">
        <v>2343</v>
      </c>
      <c r="B4" s="380"/>
      <c r="C4" s="2993" t="s">
        <v>2344</v>
      </c>
      <c r="D4" s="2994"/>
      <c r="E4" s="2995" t="s">
        <v>2345</v>
      </c>
      <c r="F4" s="2996"/>
      <c r="G4" s="2993" t="s">
        <v>2346</v>
      </c>
      <c r="H4" s="2994"/>
      <c r="I4" s="2993" t="s">
        <v>2347</v>
      </c>
      <c r="J4" s="2994"/>
      <c r="K4" s="593" t="s">
        <v>2348</v>
      </c>
      <c r="L4" s="1238"/>
      <c r="M4" s="1239"/>
      <c r="N4" s="1239"/>
      <c r="O4" s="1239"/>
      <c r="P4" s="2997" t="s">
        <v>2349</v>
      </c>
      <c r="Q4" s="2998"/>
      <c r="R4" s="3003" t="s">
        <v>2345</v>
      </c>
      <c r="S4" s="3004"/>
      <c r="T4" s="3003" t="s">
        <v>2346</v>
      </c>
      <c r="U4" s="3004"/>
      <c r="V4" s="3009" t="s">
        <v>2347</v>
      </c>
      <c r="W4" s="3009"/>
      <c r="X4" s="1895"/>
      <c r="Y4" s="3003" t="s">
        <v>2349</v>
      </c>
      <c r="Z4" s="3004"/>
      <c r="AA4" s="2990" t="s">
        <v>2345</v>
      </c>
      <c r="AB4" s="2991" t="s">
        <v>2346</v>
      </c>
      <c r="AC4" s="2990" t="s">
        <v>2347</v>
      </c>
    </row>
    <row r="5" spans="1:29" ht="15">
      <c r="A5" s="382"/>
      <c r="B5" s="383"/>
      <c r="C5" s="3012" t="s">
        <v>2350</v>
      </c>
      <c r="D5" s="3013"/>
      <c r="E5" s="3044" t="s">
        <v>2351</v>
      </c>
      <c r="F5" s="3011"/>
      <c r="G5" s="3012" t="s">
        <v>2352</v>
      </c>
      <c r="H5" s="3013"/>
      <c r="I5" s="3012" t="s">
        <v>2353</v>
      </c>
      <c r="J5" s="3013"/>
      <c r="K5" s="593"/>
      <c r="L5" s="1238"/>
      <c r="M5" s="1239"/>
      <c r="N5" s="1239"/>
      <c r="O5" s="1239"/>
      <c r="P5" s="2999"/>
      <c r="Q5" s="3000"/>
      <c r="R5" s="3005"/>
      <c r="S5" s="3006"/>
      <c r="T5" s="3005"/>
      <c r="U5" s="3006"/>
      <c r="V5" s="3009"/>
      <c r="W5" s="3009"/>
      <c r="X5" s="1895"/>
      <c r="Y5" s="3005"/>
      <c r="Z5" s="3006"/>
      <c r="AA5" s="2991"/>
      <c r="AB5" s="2991"/>
      <c r="AC5" s="2991"/>
    </row>
    <row r="6" spans="1:29" ht="15.75" thickBot="1">
      <c r="A6" s="384"/>
      <c r="B6" s="385"/>
      <c r="C6" s="3014" t="s">
        <v>2354</v>
      </c>
      <c r="D6" s="3015"/>
      <c r="E6" s="3016" t="s">
        <v>2354</v>
      </c>
      <c r="F6" s="3017"/>
      <c r="G6" s="3014" t="s">
        <v>2354</v>
      </c>
      <c r="H6" s="3015"/>
      <c r="I6" s="3014" t="s">
        <v>2354</v>
      </c>
      <c r="J6" s="3015"/>
      <c r="K6" s="593" t="s">
        <v>2355</v>
      </c>
      <c r="L6" s="1238"/>
      <c r="M6" s="1239"/>
      <c r="N6" s="1239"/>
      <c r="O6" s="1239"/>
      <c r="P6" s="3001"/>
      <c r="Q6" s="3002"/>
      <c r="R6" s="3005"/>
      <c r="S6" s="3006"/>
      <c r="T6" s="3007"/>
      <c r="U6" s="3008"/>
      <c r="V6" s="3009"/>
      <c r="W6" s="3009"/>
      <c r="X6" s="1895"/>
      <c r="Y6" s="3007"/>
      <c r="Z6" s="3008"/>
      <c r="AA6" s="2992"/>
      <c r="AB6" s="2992"/>
      <c r="AC6" s="2992"/>
    </row>
    <row r="7" spans="1:29" s="35" customFormat="1" ht="15.75" thickBot="1">
      <c r="A7" s="386" t="s">
        <v>2356</v>
      </c>
      <c r="B7" s="387"/>
      <c r="C7" s="388">
        <f>'数据-取费表'!B2</f>
        <v>43257</v>
      </c>
      <c r="D7" s="389">
        <v>100</v>
      </c>
      <c r="E7" s="390"/>
      <c r="F7" s="391">
        <f>SUMIF(65:65,YEAR(E7)&amp;"-"&amp;INT((MONTH(E7)+2)/3),66:66)</f>
        <v>0</v>
      </c>
      <c r="G7" s="2462"/>
      <c r="H7" s="389">
        <f>SUMIF(65:65,YEAR(G7)&amp;"-"&amp;INT((MONTH(G7)+2)/3),66:66)</f>
        <v>0</v>
      </c>
      <c r="I7" s="2462"/>
      <c r="J7" s="389">
        <f>SUMIF(65:65,YEAR(I7)&amp;"-"&amp;INT((MONTH(I7)+2)/3),66:66)</f>
        <v>0</v>
      </c>
      <c r="K7" s="594"/>
      <c r="L7" s="1240"/>
      <c r="M7" s="1241"/>
      <c r="N7" s="1241"/>
      <c r="O7" s="1241"/>
      <c r="P7" s="3025" t="s">
        <v>2357</v>
      </c>
      <c r="Q7" s="3027"/>
      <c r="R7" s="747" t="s">
        <v>25</v>
      </c>
      <c r="S7" s="748">
        <f t="shared" ref="S7:S15" si="0">F7</f>
        <v>0</v>
      </c>
      <c r="T7" s="747" t="s">
        <v>25</v>
      </c>
      <c r="U7" s="748">
        <f t="shared" ref="U7:U15" si="1">H7</f>
        <v>0</v>
      </c>
      <c r="V7" s="747" t="s">
        <v>25</v>
      </c>
      <c r="W7" s="748">
        <f t="shared" ref="W7:W15" si="2">J7</f>
        <v>0</v>
      </c>
      <c r="X7" s="749"/>
      <c r="Y7" s="3025" t="s">
        <v>2357</v>
      </c>
      <c r="Z7" s="3026"/>
      <c r="AA7" s="750" t="e">
        <f>D7/F7</f>
        <v>#DIV/0!</v>
      </c>
      <c r="AB7" s="750" t="e">
        <f>D7/H7</f>
        <v>#DIV/0!</v>
      </c>
      <c r="AC7" s="750" t="e">
        <f>D7/J7</f>
        <v>#DIV/0!</v>
      </c>
    </row>
    <row r="8" spans="1:29" s="35" customFormat="1" ht="15.75" thickBot="1">
      <c r="A8" s="386" t="s">
        <v>2358</v>
      </c>
      <c r="B8" s="387"/>
      <c r="C8" s="393" t="s">
        <v>2549</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25" t="s">
        <v>2360</v>
      </c>
      <c r="Q8" s="3026"/>
      <c r="R8" s="747" t="s">
        <v>25</v>
      </c>
      <c r="S8" s="748">
        <f t="shared" si="0"/>
        <v>0</v>
      </c>
      <c r="T8" s="747" t="s">
        <v>25</v>
      </c>
      <c r="U8" s="748">
        <f t="shared" si="1"/>
        <v>0</v>
      </c>
      <c r="V8" s="747" t="s">
        <v>25</v>
      </c>
      <c r="W8" s="748">
        <f t="shared" si="2"/>
        <v>0</v>
      </c>
      <c r="X8" s="749"/>
      <c r="Y8" s="3025" t="s">
        <v>2360</v>
      </c>
      <c r="Z8" s="3026"/>
      <c r="AA8" s="750" t="e">
        <f t="shared" ref="AA8:AA40" si="3">D8/F8</f>
        <v>#DIV/0!</v>
      </c>
      <c r="AB8" s="750" t="e">
        <f t="shared" ref="AB8:AB40" si="4">D8/H8</f>
        <v>#DIV/0!</v>
      </c>
      <c r="AC8" s="750" t="e">
        <f t="shared" ref="AC8:AC40" si="5">D8/J8</f>
        <v>#DIV/0!</v>
      </c>
    </row>
    <row r="9" spans="1:29" s="35" customFormat="1">
      <c r="A9" s="394" t="s">
        <v>2361</v>
      </c>
      <c r="B9" s="28" t="s">
        <v>2362</v>
      </c>
      <c r="C9" s="2480" t="s">
        <v>2594</v>
      </c>
      <c r="D9" s="50">
        <v>100</v>
      </c>
      <c r="E9" s="2480"/>
      <c r="F9" s="50">
        <f>SUMIF(70:70,E9,71:71)-SUMIF(70:70,C9,71:71)+100</f>
        <v>100</v>
      </c>
      <c r="G9" s="2480"/>
      <c r="H9" s="50">
        <f>SUMIF(70:70,G9,71:71)-SUMIF(70:70,C9,71:71)+100</f>
        <v>100</v>
      </c>
      <c r="I9" s="2480"/>
      <c r="J9" s="50">
        <f>SUMIF(70:70,I9,71:71)-SUMIF(70:70,C9,71:71)+100</f>
        <v>100</v>
      </c>
      <c r="K9" s="594"/>
      <c r="L9" s="1240"/>
      <c r="M9" s="1241"/>
      <c r="N9" s="1241"/>
      <c r="O9" s="1242"/>
      <c r="P9" s="3029" t="s">
        <v>2363</v>
      </c>
      <c r="Q9" s="1882" t="str">
        <f t="shared" ref="Q9:Q15" si="6">B9</f>
        <v>用途</v>
      </c>
      <c r="R9" s="747" t="s">
        <v>25</v>
      </c>
      <c r="S9" s="748">
        <f t="shared" si="0"/>
        <v>100</v>
      </c>
      <c r="T9" s="747" t="s">
        <v>25</v>
      </c>
      <c r="U9" s="748">
        <f t="shared" si="1"/>
        <v>100</v>
      </c>
      <c r="V9" s="747" t="s">
        <v>25</v>
      </c>
      <c r="W9" s="748">
        <f t="shared" si="2"/>
        <v>100</v>
      </c>
      <c r="X9" s="749"/>
      <c r="Y9" s="2849" t="s">
        <v>2364</v>
      </c>
      <c r="Z9" s="23" t="str">
        <f t="shared" ref="Z9:Z15" si="7">Q9</f>
        <v>用途</v>
      </c>
      <c r="AA9" s="750">
        <f t="shared" si="3"/>
        <v>1</v>
      </c>
      <c r="AB9" s="750">
        <f t="shared" si="4"/>
        <v>1</v>
      </c>
      <c r="AC9" s="750">
        <f t="shared" si="5"/>
        <v>1</v>
      </c>
    </row>
    <row r="10" spans="1:29" s="406" customFormat="1" ht="27">
      <c r="A10" s="400"/>
      <c r="B10" s="401" t="s">
        <v>2365</v>
      </c>
      <c r="C10" s="411"/>
      <c r="D10" s="51">
        <v>100</v>
      </c>
      <c r="E10" s="411"/>
      <c r="F10" s="51">
        <f>ROUND(100/'数据-取费表'!B14,0)</f>
        <v>108</v>
      </c>
      <c r="G10" s="411"/>
      <c r="H10" s="51">
        <f>ROUND(100/'数据-取费表'!B14,0)</f>
        <v>108</v>
      </c>
      <c r="I10" s="411"/>
      <c r="J10" s="51">
        <f>ROUND(100/'数据-取费表'!B14,0)</f>
        <v>108</v>
      </c>
      <c r="K10" s="654"/>
      <c r="L10" s="1243"/>
      <c r="M10" s="1244"/>
      <c r="N10" s="1244"/>
      <c r="O10" s="1245"/>
      <c r="P10" s="3029"/>
      <c r="Q10" s="1882" t="str">
        <f t="shared" si="6"/>
        <v>土地使用年限（年）</v>
      </c>
      <c r="R10" s="747" t="s">
        <v>25</v>
      </c>
      <c r="S10" s="748">
        <f t="shared" si="0"/>
        <v>108</v>
      </c>
      <c r="T10" s="747" t="s">
        <v>25</v>
      </c>
      <c r="U10" s="748">
        <f t="shared" si="1"/>
        <v>108</v>
      </c>
      <c r="V10" s="747" t="s">
        <v>25</v>
      </c>
      <c r="W10" s="748">
        <f t="shared" si="2"/>
        <v>108</v>
      </c>
      <c r="X10" s="749"/>
      <c r="Y10" s="2849"/>
      <c r="Z10" s="23" t="str">
        <f t="shared" si="7"/>
        <v>土地使用年限（年）</v>
      </c>
      <c r="AA10" s="750">
        <f t="shared" si="3"/>
        <v>0.92592592592592593</v>
      </c>
      <c r="AB10" s="750">
        <f t="shared" si="4"/>
        <v>0.92592592592592593</v>
      </c>
      <c r="AC10" s="750">
        <f t="shared" si="5"/>
        <v>0.92592592592592593</v>
      </c>
    </row>
    <row r="11" spans="1:29" ht="15">
      <c r="A11" s="407"/>
      <c r="B11" s="401" t="s">
        <v>2366</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29"/>
      <c r="Q11" s="1882"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6">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29"/>
      <c r="Q12" s="1882">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6">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29"/>
      <c r="Q13" s="1882">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8">
        <v>111</v>
      </c>
      <c r="C14" s="2399">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29"/>
      <c r="Q14" s="1882">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8" t="s">
        <v>2367</v>
      </c>
      <c r="B15" s="612" t="s">
        <v>2595</v>
      </c>
      <c r="C15" s="247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18" t="s">
        <v>2368</v>
      </c>
      <c r="Q15" s="1894" t="str">
        <f t="shared" si="6"/>
        <v>产业集聚程度</v>
      </c>
      <c r="R15" s="751" t="s">
        <v>25</v>
      </c>
      <c r="S15" s="752">
        <f t="shared" si="0"/>
        <v>100</v>
      </c>
      <c r="T15" s="751" t="s">
        <v>25</v>
      </c>
      <c r="U15" s="752">
        <f t="shared" si="1"/>
        <v>100</v>
      </c>
      <c r="V15" s="751" t="s">
        <v>25</v>
      </c>
      <c r="W15" s="752">
        <f t="shared" si="2"/>
        <v>100</v>
      </c>
      <c r="X15" s="1895"/>
      <c r="Y15" s="3018" t="s">
        <v>2368</v>
      </c>
      <c r="Z15" s="1897" t="str">
        <f t="shared" si="7"/>
        <v>产业集聚程度</v>
      </c>
      <c r="AA15" s="1898">
        <f t="shared" si="3"/>
        <v>1</v>
      </c>
      <c r="AB15" s="1898">
        <f t="shared" si="4"/>
        <v>1</v>
      </c>
      <c r="AC15" s="1898">
        <f t="shared" si="5"/>
        <v>1</v>
      </c>
    </row>
    <row r="16" spans="1:29" ht="15">
      <c r="A16" s="407"/>
      <c r="B16" s="613"/>
      <c r="C16" s="425"/>
      <c r="D16" s="426"/>
      <c r="E16" s="1467"/>
      <c r="F16" s="426"/>
      <c r="G16" s="1467"/>
      <c r="H16" s="429"/>
      <c r="I16" s="1467"/>
      <c r="J16" s="426"/>
      <c r="K16" s="654"/>
      <c r="L16" s="1248"/>
      <c r="M16" s="1239"/>
      <c r="N16" s="1239"/>
      <c r="O16" s="1247"/>
      <c r="P16" s="3019"/>
      <c r="Q16" s="1894"/>
      <c r="R16" s="751"/>
      <c r="S16" s="752"/>
      <c r="T16" s="751"/>
      <c r="U16" s="752"/>
      <c r="V16" s="751"/>
      <c r="W16" s="752"/>
      <c r="X16" s="1895"/>
      <c r="Y16" s="3019"/>
      <c r="Z16" s="1897"/>
      <c r="AA16" s="1898">
        <v>1</v>
      </c>
      <c r="AB16" s="1898">
        <v>1</v>
      </c>
      <c r="AC16" s="1898">
        <v>1</v>
      </c>
    </row>
    <row r="17" spans="1:29" ht="85.5">
      <c r="A17" s="407"/>
      <c r="B17" s="614" t="s">
        <v>2511</v>
      </c>
      <c r="C17" s="2403"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19"/>
      <c r="Q17" s="1894" t="str">
        <f>B17</f>
        <v>交通便捷度</v>
      </c>
      <c r="R17" s="751" t="s">
        <v>25</v>
      </c>
      <c r="S17" s="752">
        <f>F17</f>
        <v>100</v>
      </c>
      <c r="T17" s="751" t="s">
        <v>25</v>
      </c>
      <c r="U17" s="752">
        <f>H17</f>
        <v>100</v>
      </c>
      <c r="V17" s="751" t="s">
        <v>25</v>
      </c>
      <c r="W17" s="752">
        <f>J17</f>
        <v>100</v>
      </c>
      <c r="X17" s="1895"/>
      <c r="Y17" s="3019"/>
      <c r="Z17" s="1897" t="str">
        <f>Q17</f>
        <v>交通便捷度</v>
      </c>
      <c r="AA17" s="1898">
        <f t="shared" si="3"/>
        <v>1</v>
      </c>
      <c r="AB17" s="1898">
        <f t="shared" si="4"/>
        <v>1</v>
      </c>
      <c r="AC17" s="1898">
        <f t="shared" si="5"/>
        <v>1</v>
      </c>
    </row>
    <row r="18" spans="1:29" ht="15">
      <c r="A18" s="407"/>
      <c r="B18" s="615"/>
      <c r="C18" s="425"/>
      <c r="D18" s="426"/>
      <c r="E18" s="427"/>
      <c r="F18" s="426"/>
      <c r="G18" s="427"/>
      <c r="H18" s="426"/>
      <c r="I18" s="2401"/>
      <c r="J18" s="426"/>
      <c r="K18" s="654"/>
      <c r="L18" s="1248"/>
      <c r="M18" s="1239"/>
      <c r="N18" s="1239"/>
      <c r="O18" s="1247"/>
      <c r="P18" s="3019"/>
      <c r="Q18" s="1894"/>
      <c r="R18" s="751"/>
      <c r="S18" s="752"/>
      <c r="T18" s="751"/>
      <c r="U18" s="752"/>
      <c r="V18" s="751"/>
      <c r="W18" s="752"/>
      <c r="X18" s="1895"/>
      <c r="Y18" s="3019"/>
      <c r="Z18" s="1897"/>
      <c r="AA18" s="1898">
        <v>1</v>
      </c>
      <c r="AB18" s="1898">
        <v>1</v>
      </c>
      <c r="AC18" s="1898">
        <v>1</v>
      </c>
    </row>
    <row r="19" spans="1:29" ht="15">
      <c r="A19" s="407"/>
      <c r="B19" s="614" t="s">
        <v>2551</v>
      </c>
      <c r="C19" s="2403">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19"/>
      <c r="Q19" s="1894" t="str">
        <f t="shared" ref="Q19:Q33" si="8">B19</f>
        <v>区域土地利用方向</v>
      </c>
      <c r="R19" s="751" t="s">
        <v>25</v>
      </c>
      <c r="S19" s="752">
        <f>F19</f>
        <v>100</v>
      </c>
      <c r="T19" s="751" t="s">
        <v>25</v>
      </c>
      <c r="U19" s="752">
        <f>H19</f>
        <v>100</v>
      </c>
      <c r="V19" s="751" t="s">
        <v>25</v>
      </c>
      <c r="W19" s="752">
        <f>J19</f>
        <v>100</v>
      </c>
      <c r="X19" s="1895"/>
      <c r="Y19" s="3019"/>
      <c r="Z19" s="1897" t="str">
        <f>Q19</f>
        <v>区域土地利用方向</v>
      </c>
      <c r="AA19" s="1898">
        <f t="shared" si="3"/>
        <v>1</v>
      </c>
      <c r="AB19" s="1898">
        <f t="shared" si="4"/>
        <v>1</v>
      </c>
      <c r="AC19" s="1898">
        <f t="shared" si="5"/>
        <v>1</v>
      </c>
    </row>
    <row r="20" spans="1:29" ht="15">
      <c r="A20" s="382"/>
      <c r="B20" s="615"/>
      <c r="C20" s="425"/>
      <c r="D20" s="426"/>
      <c r="E20" s="427"/>
      <c r="F20" s="426"/>
      <c r="G20" s="427"/>
      <c r="H20" s="426"/>
      <c r="I20" s="427"/>
      <c r="J20" s="426"/>
      <c r="K20" s="802"/>
      <c r="L20" s="1248"/>
      <c r="M20" s="1239"/>
      <c r="N20" s="1239"/>
      <c r="O20" s="1247"/>
      <c r="P20" s="3019"/>
      <c r="Q20" s="1894"/>
      <c r="R20" s="751"/>
      <c r="S20" s="752"/>
      <c r="T20" s="751"/>
      <c r="U20" s="752"/>
      <c r="V20" s="751"/>
      <c r="W20" s="752"/>
      <c r="X20" s="1895"/>
      <c r="Y20" s="3019"/>
      <c r="Z20" s="1897"/>
      <c r="AA20" s="1898"/>
      <c r="AB20" s="1898"/>
      <c r="AC20" s="1898"/>
    </row>
    <row r="21" spans="1:29" ht="71.25">
      <c r="A21" s="382"/>
      <c r="B21" s="614" t="s">
        <v>2596</v>
      </c>
      <c r="C21" s="2403"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19"/>
      <c r="Q21" s="1894" t="str">
        <f t="shared" si="8"/>
        <v>环境状况</v>
      </c>
      <c r="R21" s="751" t="s">
        <v>25</v>
      </c>
      <c r="S21" s="752">
        <f>F21</f>
        <v>100</v>
      </c>
      <c r="T21" s="751" t="s">
        <v>25</v>
      </c>
      <c r="U21" s="752">
        <f>H21</f>
        <v>100</v>
      </c>
      <c r="V21" s="751" t="s">
        <v>25</v>
      </c>
      <c r="W21" s="752">
        <f>J21</f>
        <v>100</v>
      </c>
      <c r="X21" s="1895"/>
      <c r="Y21" s="3019"/>
      <c r="Z21" s="1897" t="str">
        <f>Q21</f>
        <v>环境状况</v>
      </c>
      <c r="AA21" s="1898">
        <f t="shared" si="3"/>
        <v>1</v>
      </c>
      <c r="AB21" s="1898">
        <f t="shared" si="4"/>
        <v>1</v>
      </c>
      <c r="AC21" s="1898">
        <f t="shared" si="5"/>
        <v>1</v>
      </c>
    </row>
    <row r="22" spans="1:29" ht="15">
      <c r="A22" s="382"/>
      <c r="B22" s="615"/>
      <c r="C22" s="425"/>
      <c r="D22" s="426"/>
      <c r="E22" s="1467"/>
      <c r="F22" s="426"/>
      <c r="G22" s="1467"/>
      <c r="H22" s="426"/>
      <c r="I22" s="425"/>
      <c r="J22" s="426"/>
      <c r="K22" s="654"/>
      <c r="L22" s="1248"/>
      <c r="M22" s="1239"/>
      <c r="N22" s="1239"/>
      <c r="O22" s="1247"/>
      <c r="P22" s="3019"/>
      <c r="Q22" s="1894"/>
      <c r="R22" s="751"/>
      <c r="S22" s="752"/>
      <c r="T22" s="751"/>
      <c r="U22" s="752"/>
      <c r="V22" s="751"/>
      <c r="W22" s="752"/>
      <c r="X22" s="1895"/>
      <c r="Y22" s="3019"/>
      <c r="Z22" s="1897"/>
      <c r="AA22" s="1898">
        <v>1</v>
      </c>
      <c r="AB22" s="1898">
        <v>1</v>
      </c>
      <c r="AC22" s="1898">
        <v>1</v>
      </c>
    </row>
    <row r="23" spans="1:29" s="35" customFormat="1" ht="42.75">
      <c r="A23" s="632"/>
      <c r="B23" s="614" t="s">
        <v>2454</v>
      </c>
      <c r="C23" s="2403"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19"/>
      <c r="Q23" s="1882" t="str">
        <f t="shared" si="8"/>
        <v>公共配套设施</v>
      </c>
      <c r="R23" s="747" t="s">
        <v>25</v>
      </c>
      <c r="S23" s="748">
        <f>F23</f>
        <v>100</v>
      </c>
      <c r="T23" s="747" t="s">
        <v>25</v>
      </c>
      <c r="U23" s="748">
        <f>H23</f>
        <v>100</v>
      </c>
      <c r="V23" s="747" t="s">
        <v>25</v>
      </c>
      <c r="W23" s="748">
        <f>J23</f>
        <v>100</v>
      </c>
      <c r="X23" s="749"/>
      <c r="Y23" s="3019"/>
      <c r="Z23" s="23" t="str">
        <f>Q23</f>
        <v>公共配套设施</v>
      </c>
      <c r="AA23" s="1898">
        <f>D23/F23</f>
        <v>1</v>
      </c>
      <c r="AB23" s="1898">
        <f>D23/H23</f>
        <v>1</v>
      </c>
      <c r="AC23" s="1898">
        <f>D23/J23</f>
        <v>1</v>
      </c>
    </row>
    <row r="24" spans="1:29" s="35" customFormat="1" ht="15">
      <c r="A24" s="632"/>
      <c r="B24" s="615"/>
      <c r="C24" s="2494"/>
      <c r="D24" s="426"/>
      <c r="E24" s="1467"/>
      <c r="F24" s="426"/>
      <c r="G24" s="1467"/>
      <c r="H24" s="426"/>
      <c r="I24" s="425"/>
      <c r="J24" s="426"/>
      <c r="K24" s="654"/>
      <c r="L24" s="1240"/>
      <c r="M24" s="1241"/>
      <c r="N24" s="1241"/>
      <c r="O24" s="1242"/>
      <c r="P24" s="3019"/>
      <c r="Q24" s="1882"/>
      <c r="R24" s="747"/>
      <c r="S24" s="748"/>
      <c r="T24" s="747"/>
      <c r="U24" s="748"/>
      <c r="V24" s="747"/>
      <c r="W24" s="748"/>
      <c r="X24" s="749"/>
      <c r="Y24" s="3019"/>
      <c r="Z24" s="23"/>
      <c r="AA24" s="750">
        <v>1</v>
      </c>
      <c r="AB24" s="750">
        <v>1</v>
      </c>
      <c r="AC24" s="750">
        <v>1</v>
      </c>
    </row>
    <row r="25" spans="1:29" s="35" customFormat="1" ht="28.5">
      <c r="A25" s="632"/>
      <c r="B25" s="616" t="s">
        <v>2455</v>
      </c>
      <c r="C25" s="2403"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19"/>
      <c r="Q25" s="1882" t="str">
        <f>B25</f>
        <v>基础设施水平</v>
      </c>
      <c r="R25" s="747" t="s">
        <v>25</v>
      </c>
      <c r="S25" s="748">
        <f>F25</f>
        <v>100</v>
      </c>
      <c r="T25" s="747" t="s">
        <v>25</v>
      </c>
      <c r="U25" s="748">
        <f>H25</f>
        <v>100</v>
      </c>
      <c r="V25" s="747" t="s">
        <v>25</v>
      </c>
      <c r="W25" s="748">
        <f>J25</f>
        <v>100</v>
      </c>
      <c r="X25" s="749"/>
      <c r="Y25" s="3019"/>
      <c r="Z25" s="23" t="str">
        <f>Q25</f>
        <v>基础设施水平</v>
      </c>
      <c r="AA25" s="1898">
        <f>D25/F25</f>
        <v>1</v>
      </c>
      <c r="AB25" s="1898">
        <f>D25/H25</f>
        <v>1</v>
      </c>
      <c r="AC25" s="1898">
        <f>D25/J25</f>
        <v>1</v>
      </c>
    </row>
    <row r="26" spans="1:29" s="35" customFormat="1" ht="15">
      <c r="A26" s="632"/>
      <c r="B26" s="615"/>
      <c r="C26" s="2494"/>
      <c r="D26" s="426"/>
      <c r="E26" s="2483"/>
      <c r="F26" s="426"/>
      <c r="G26" s="2483"/>
      <c r="H26" s="426"/>
      <c r="I26" s="2483"/>
      <c r="J26" s="426"/>
      <c r="K26" s="654"/>
      <c r="L26" s="1240"/>
      <c r="M26" s="1241"/>
      <c r="N26" s="1241"/>
      <c r="O26" s="1242"/>
      <c r="P26" s="3019"/>
      <c r="Q26" s="1882"/>
      <c r="R26" s="747"/>
      <c r="S26" s="748"/>
      <c r="T26" s="747"/>
      <c r="U26" s="748"/>
      <c r="V26" s="747"/>
      <c r="W26" s="748"/>
      <c r="X26" s="749"/>
      <c r="Y26" s="3019"/>
      <c r="Z26" s="23"/>
      <c r="AA26" s="750">
        <v>1</v>
      </c>
      <c r="AB26" s="750">
        <v>1</v>
      </c>
      <c r="AC26" s="750">
        <v>1</v>
      </c>
    </row>
    <row r="27" spans="1:29" ht="15">
      <c r="A27" s="407"/>
      <c r="B27" s="615" t="s">
        <v>2456</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19"/>
      <c r="Q27" s="1894" t="str">
        <f t="shared" si="8"/>
        <v>临街状况</v>
      </c>
      <c r="R27" s="751" t="s">
        <v>25</v>
      </c>
      <c r="S27" s="752">
        <f t="shared" ref="S27:S40" si="9">F27</f>
        <v>100</v>
      </c>
      <c r="T27" s="751" t="s">
        <v>25</v>
      </c>
      <c r="U27" s="752">
        <f t="shared" ref="U27:U40" si="10">H27</f>
        <v>100</v>
      </c>
      <c r="V27" s="751" t="s">
        <v>25</v>
      </c>
      <c r="W27" s="752">
        <f t="shared" ref="W27:W40" si="11">J27</f>
        <v>100</v>
      </c>
      <c r="X27" s="1895"/>
      <c r="Y27" s="3019"/>
      <c r="Z27" s="1897" t="str">
        <f t="shared" ref="Z27:Z40" si="12">Q27</f>
        <v>临街状况</v>
      </c>
      <c r="AA27" s="1898">
        <f t="shared" si="3"/>
        <v>1</v>
      </c>
      <c r="AB27" s="1898">
        <f t="shared" si="4"/>
        <v>1</v>
      </c>
      <c r="AC27" s="1898">
        <f t="shared" si="5"/>
        <v>1</v>
      </c>
    </row>
    <row r="28" spans="1:29" ht="27">
      <c r="A28" s="407"/>
      <c r="B28" s="616" t="s">
        <v>2486</v>
      </c>
      <c r="C28" s="2495">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19"/>
      <c r="Q28" s="1894" t="str">
        <f t="shared" si="8"/>
        <v>毗邻道路的类型与等级</v>
      </c>
      <c r="R28" s="751" t="s">
        <v>25</v>
      </c>
      <c r="S28" s="752">
        <f t="shared" si="9"/>
        <v>100</v>
      </c>
      <c r="T28" s="751" t="s">
        <v>25</v>
      </c>
      <c r="U28" s="752">
        <f t="shared" si="10"/>
        <v>100</v>
      </c>
      <c r="V28" s="751" t="s">
        <v>25</v>
      </c>
      <c r="W28" s="752">
        <f t="shared" si="11"/>
        <v>100</v>
      </c>
      <c r="X28" s="1895"/>
      <c r="Y28" s="3019"/>
      <c r="Z28" s="1897" t="str">
        <f t="shared" si="12"/>
        <v>毗邻道路的类型与等级</v>
      </c>
      <c r="AA28" s="1898">
        <f t="shared" si="3"/>
        <v>1</v>
      </c>
      <c r="AB28" s="1898">
        <f t="shared" si="4"/>
        <v>1</v>
      </c>
      <c r="AC28" s="1898">
        <f t="shared" si="5"/>
        <v>1</v>
      </c>
    </row>
    <row r="29" spans="1:29" ht="15">
      <c r="A29" s="407"/>
      <c r="B29" s="615"/>
      <c r="C29" s="425"/>
      <c r="D29" s="426"/>
      <c r="E29" s="1467"/>
      <c r="F29" s="426"/>
      <c r="G29" s="1467"/>
      <c r="H29" s="426"/>
      <c r="I29" s="1467"/>
      <c r="J29" s="426"/>
      <c r="K29" s="596"/>
      <c r="L29" s="1248"/>
      <c r="M29" s="1239"/>
      <c r="N29" s="1239"/>
      <c r="O29" s="1247"/>
      <c r="P29" s="3019"/>
      <c r="Q29" s="1894"/>
      <c r="R29" s="751"/>
      <c r="S29" s="752"/>
      <c r="T29" s="751"/>
      <c r="U29" s="752"/>
      <c r="V29" s="751"/>
      <c r="W29" s="752"/>
      <c r="X29" s="1895"/>
      <c r="Y29" s="3019"/>
      <c r="Z29" s="1897"/>
      <c r="AA29" s="1898">
        <v>1</v>
      </c>
      <c r="AB29" s="1898">
        <v>1</v>
      </c>
      <c r="AC29" s="1898">
        <v>1</v>
      </c>
    </row>
    <row r="30" spans="1:29" ht="15">
      <c r="A30" s="407"/>
      <c r="B30" s="636" t="s">
        <v>2553</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19"/>
      <c r="Q30" s="1894" t="str">
        <f t="shared" si="8"/>
        <v>土地级别</v>
      </c>
      <c r="R30" s="751" t="s">
        <v>25</v>
      </c>
      <c r="S30" s="752">
        <f t="shared" si="9"/>
        <v>100</v>
      </c>
      <c r="T30" s="751" t="s">
        <v>25</v>
      </c>
      <c r="U30" s="752">
        <f t="shared" si="10"/>
        <v>100</v>
      </c>
      <c r="V30" s="751" t="s">
        <v>25</v>
      </c>
      <c r="W30" s="752">
        <f t="shared" si="11"/>
        <v>100</v>
      </c>
      <c r="X30" s="1895"/>
      <c r="Y30" s="3019"/>
      <c r="Z30" s="1897" t="str">
        <f t="shared" si="12"/>
        <v>土地级别</v>
      </c>
      <c r="AA30" s="1898">
        <f t="shared" si="3"/>
        <v>1</v>
      </c>
      <c r="AB30" s="1898">
        <f t="shared" si="4"/>
        <v>1</v>
      </c>
      <c r="AC30" s="1898">
        <f t="shared" si="5"/>
        <v>1</v>
      </c>
    </row>
    <row r="31" spans="1:29" ht="15">
      <c r="A31" s="382"/>
      <c r="B31" s="2468">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19"/>
      <c r="Q31" s="1894">
        <f t="shared" si="8"/>
        <v>111</v>
      </c>
      <c r="R31" s="751" t="s">
        <v>25</v>
      </c>
      <c r="S31" s="752">
        <f t="shared" si="9"/>
        <v>100</v>
      </c>
      <c r="T31" s="751" t="s">
        <v>25</v>
      </c>
      <c r="U31" s="752">
        <f t="shared" si="10"/>
        <v>100</v>
      </c>
      <c r="V31" s="751" t="s">
        <v>25</v>
      </c>
      <c r="W31" s="752">
        <f t="shared" si="11"/>
        <v>100</v>
      </c>
      <c r="X31" s="1895"/>
      <c r="Y31" s="3019"/>
      <c r="Z31" s="1897">
        <f t="shared" si="12"/>
        <v>111</v>
      </c>
      <c r="AA31" s="1898">
        <f t="shared" si="3"/>
        <v>1</v>
      </c>
      <c r="AB31" s="1898">
        <f t="shared" si="4"/>
        <v>1</v>
      </c>
      <c r="AC31" s="1898">
        <f t="shared" si="5"/>
        <v>1</v>
      </c>
    </row>
    <row r="32" spans="1:29" ht="15">
      <c r="A32" s="657"/>
      <c r="B32" s="2496">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052" t="s">
        <v>2374</v>
      </c>
      <c r="Q32" s="1894">
        <f t="shared" si="8"/>
        <v>111</v>
      </c>
      <c r="R32" s="751" t="s">
        <v>25</v>
      </c>
      <c r="S32" s="752">
        <f t="shared" si="9"/>
        <v>100</v>
      </c>
      <c r="T32" s="751" t="s">
        <v>25</v>
      </c>
      <c r="U32" s="752">
        <f t="shared" si="10"/>
        <v>100</v>
      </c>
      <c r="V32" s="751" t="s">
        <v>25</v>
      </c>
      <c r="W32" s="752">
        <f t="shared" si="11"/>
        <v>100</v>
      </c>
      <c r="X32" s="1895"/>
      <c r="Y32" s="3023" t="s">
        <v>2374</v>
      </c>
      <c r="Z32" s="1897">
        <f t="shared" si="12"/>
        <v>111</v>
      </c>
      <c r="AA32" s="1898">
        <f t="shared" si="3"/>
        <v>1</v>
      </c>
      <c r="AB32" s="1898">
        <f t="shared" si="4"/>
        <v>1</v>
      </c>
      <c r="AC32" s="1898">
        <f t="shared" si="5"/>
        <v>1</v>
      </c>
    </row>
    <row r="33" spans="1:29" s="451" customFormat="1" ht="15.75" thickBot="1">
      <c r="A33" s="658"/>
      <c r="B33" s="2497">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23"/>
      <c r="Q33" s="1894">
        <f t="shared" si="8"/>
        <v>111</v>
      </c>
      <c r="R33" s="754" t="s">
        <v>25</v>
      </c>
      <c r="S33" s="755">
        <f t="shared" si="9"/>
        <v>100</v>
      </c>
      <c r="T33" s="754" t="s">
        <v>25</v>
      </c>
      <c r="U33" s="755">
        <f t="shared" si="10"/>
        <v>100</v>
      </c>
      <c r="V33" s="754" t="s">
        <v>25</v>
      </c>
      <c r="W33" s="755">
        <f t="shared" si="11"/>
        <v>100</v>
      </c>
      <c r="X33" s="756"/>
      <c r="Y33" s="3023"/>
      <c r="Z33" s="757">
        <f t="shared" si="12"/>
        <v>111</v>
      </c>
      <c r="AA33" s="1898">
        <f t="shared" si="3"/>
        <v>1</v>
      </c>
      <c r="AB33" s="1898">
        <f t="shared" si="4"/>
        <v>1</v>
      </c>
      <c r="AC33" s="1898">
        <f t="shared" si="5"/>
        <v>1</v>
      </c>
    </row>
    <row r="34" spans="1:29" ht="15">
      <c r="A34" s="452" t="s">
        <v>2372</v>
      </c>
      <c r="B34" s="435" t="s">
        <v>2554</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23"/>
      <c r="Q34" s="1894" t="str">
        <f>B34</f>
        <v>宗地面积</v>
      </c>
      <c r="R34" s="751" t="s">
        <v>25</v>
      </c>
      <c r="S34" s="752" t="e">
        <f t="shared" si="9"/>
        <v>#N/A</v>
      </c>
      <c r="T34" s="751" t="s">
        <v>25</v>
      </c>
      <c r="U34" s="752" t="e">
        <f t="shared" si="10"/>
        <v>#N/A</v>
      </c>
      <c r="V34" s="751" t="s">
        <v>25</v>
      </c>
      <c r="W34" s="752" t="e">
        <f t="shared" si="11"/>
        <v>#N/A</v>
      </c>
      <c r="X34" s="1895"/>
      <c r="Y34" s="3023"/>
      <c r="Z34" s="1897" t="str">
        <f t="shared" si="12"/>
        <v>宗地面积</v>
      </c>
      <c r="AA34" s="1898" t="e">
        <f t="shared" si="3"/>
        <v>#N/A</v>
      </c>
      <c r="AB34" s="1898" t="e">
        <f t="shared" si="4"/>
        <v>#N/A</v>
      </c>
      <c r="AC34" s="1898" t="e">
        <f t="shared" si="5"/>
        <v>#N/A</v>
      </c>
    </row>
    <row r="35" spans="1:29" ht="15">
      <c r="A35" s="452"/>
      <c r="B35" s="401" t="s">
        <v>2555</v>
      </c>
      <c r="C35" s="2408"/>
      <c r="D35" s="414">
        <v>100</v>
      </c>
      <c r="E35" s="2408"/>
      <c r="F35" s="414">
        <f>SUMIF(110:110,E35,111:111)-SUMIF(110:110,C35,111:111)+100</f>
        <v>100</v>
      </c>
      <c r="G35" s="2408"/>
      <c r="H35" s="414">
        <f>SUMIF(110:110,G35,111:111)-SUMIF(110:110,C35,111:111)+100</f>
        <v>100</v>
      </c>
      <c r="I35" s="2408"/>
      <c r="J35" s="414">
        <f>SUMIF(110:110,I35,111:111)-SUMIF(110:110,C35,111:111)+100</f>
        <v>100</v>
      </c>
      <c r="K35" s="595"/>
      <c r="L35" s="1248"/>
      <c r="M35" s="1239"/>
      <c r="N35" s="1239"/>
      <c r="O35" s="1247"/>
      <c r="P35" s="3023"/>
      <c r="Q35" s="1894" t="str">
        <f t="shared" ref="Q35:Q40" si="13">B35</f>
        <v>宗地形状</v>
      </c>
      <c r="R35" s="751" t="s">
        <v>25</v>
      </c>
      <c r="S35" s="752">
        <f t="shared" si="9"/>
        <v>100</v>
      </c>
      <c r="T35" s="751" t="s">
        <v>25</v>
      </c>
      <c r="U35" s="752">
        <f t="shared" si="10"/>
        <v>100</v>
      </c>
      <c r="V35" s="751" t="s">
        <v>25</v>
      </c>
      <c r="W35" s="752">
        <f t="shared" si="11"/>
        <v>100</v>
      </c>
      <c r="X35" s="1895"/>
      <c r="Y35" s="3023"/>
      <c r="Z35" s="1897" t="str">
        <f t="shared" si="12"/>
        <v>宗地形状</v>
      </c>
      <c r="AA35" s="1898">
        <f t="shared" si="3"/>
        <v>1</v>
      </c>
      <c r="AB35" s="1898">
        <f t="shared" si="4"/>
        <v>1</v>
      </c>
      <c r="AC35" s="1898">
        <f t="shared" si="5"/>
        <v>1</v>
      </c>
    </row>
    <row r="36" spans="1:29" s="35" customFormat="1" ht="15">
      <c r="A36" s="453"/>
      <c r="B36" s="401" t="s">
        <v>2557</v>
      </c>
      <c r="C36" s="2485"/>
      <c r="D36" s="51">
        <v>100</v>
      </c>
      <c r="E36" s="2485"/>
      <c r="F36" s="414">
        <f>SUMIF(112:112,E36,113:113)-SUMIF(112:112,C36,113:113)+100</f>
        <v>100</v>
      </c>
      <c r="G36" s="2485"/>
      <c r="H36" s="414">
        <f>SUMIF(112:112,G36,113:113)-SUMIF(112:112,C36,113:113)+100</f>
        <v>100</v>
      </c>
      <c r="I36" s="2485"/>
      <c r="J36" s="414">
        <f>SUMIF(112:112,I36,113:113)-SUMIF(112:112,C36,113:113)+100</f>
        <v>100</v>
      </c>
      <c r="K36" s="595"/>
      <c r="L36" s="1240"/>
      <c r="M36" s="1241"/>
      <c r="N36" s="1241"/>
      <c r="O36" s="1242"/>
      <c r="P36" s="3023"/>
      <c r="Q36" s="1894" t="str">
        <f t="shared" si="13"/>
        <v>宗地开发程度</v>
      </c>
      <c r="R36" s="747" t="s">
        <v>25</v>
      </c>
      <c r="S36" s="748">
        <f t="shared" si="9"/>
        <v>100</v>
      </c>
      <c r="T36" s="747" t="s">
        <v>25</v>
      </c>
      <c r="U36" s="748">
        <f t="shared" si="10"/>
        <v>100</v>
      </c>
      <c r="V36" s="747" t="s">
        <v>25</v>
      </c>
      <c r="W36" s="748">
        <f t="shared" si="11"/>
        <v>100</v>
      </c>
      <c r="X36" s="749"/>
      <c r="Y36" s="3023"/>
      <c r="Z36" s="23" t="str">
        <f t="shared" si="12"/>
        <v>宗地开发程度</v>
      </c>
      <c r="AA36" s="750">
        <f t="shared" si="3"/>
        <v>1</v>
      </c>
      <c r="AB36" s="750">
        <f t="shared" si="4"/>
        <v>1</v>
      </c>
      <c r="AC36" s="750">
        <f t="shared" si="5"/>
        <v>1</v>
      </c>
    </row>
    <row r="37" spans="1:29" ht="15">
      <c r="A37" s="452"/>
      <c r="B37" s="401" t="s">
        <v>2558</v>
      </c>
      <c r="C37" s="2408"/>
      <c r="D37" s="414">
        <v>100</v>
      </c>
      <c r="E37" s="2408"/>
      <c r="F37" s="414">
        <f>SUMIF(114:114,E37,115:115)-SUMIF(114:114,C37,115:115)+100</f>
        <v>100</v>
      </c>
      <c r="G37" s="2408"/>
      <c r="H37" s="414">
        <f>SUMIF(114:114,G37,115:115)-SUMIF(114:114,C37,115:115)+100</f>
        <v>100</v>
      </c>
      <c r="I37" s="2408"/>
      <c r="J37" s="414">
        <f>SUMIF(114:114,I37,115:115)-SUMIF(114:114,C37,115:115)+100</f>
        <v>100</v>
      </c>
      <c r="K37" s="595"/>
      <c r="L37" s="1248"/>
      <c r="M37" s="1239"/>
      <c r="N37" s="1239"/>
      <c r="O37" s="1247"/>
      <c r="P37" s="3023" t="s">
        <v>2374</v>
      </c>
      <c r="Q37" s="1894" t="str">
        <f t="shared" si="13"/>
        <v>工程地质条件</v>
      </c>
      <c r="R37" s="751" t="s">
        <v>25</v>
      </c>
      <c r="S37" s="752">
        <f t="shared" si="9"/>
        <v>100</v>
      </c>
      <c r="T37" s="751" t="s">
        <v>25</v>
      </c>
      <c r="U37" s="752">
        <f t="shared" si="10"/>
        <v>100</v>
      </c>
      <c r="V37" s="751" t="s">
        <v>25</v>
      </c>
      <c r="W37" s="752">
        <f t="shared" si="11"/>
        <v>100</v>
      </c>
      <c r="X37" s="1895"/>
      <c r="Y37" s="3023" t="s">
        <v>2374</v>
      </c>
      <c r="Z37" s="1897" t="str">
        <f t="shared" si="12"/>
        <v>工程地质条件</v>
      </c>
      <c r="AA37" s="1898">
        <f t="shared" si="3"/>
        <v>1</v>
      </c>
      <c r="AB37" s="1898">
        <f t="shared" si="4"/>
        <v>1</v>
      </c>
      <c r="AC37" s="1898">
        <f t="shared" si="5"/>
        <v>1</v>
      </c>
    </row>
    <row r="38" spans="1:29" ht="15">
      <c r="A38" s="452"/>
      <c r="B38" s="2486">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23"/>
      <c r="Q38" s="1894">
        <f t="shared" si="13"/>
        <v>111</v>
      </c>
      <c r="R38" s="751" t="s">
        <v>25</v>
      </c>
      <c r="S38" s="752">
        <f t="shared" si="9"/>
        <v>100</v>
      </c>
      <c r="T38" s="751" t="s">
        <v>25</v>
      </c>
      <c r="U38" s="752">
        <f t="shared" si="10"/>
        <v>100</v>
      </c>
      <c r="V38" s="751" t="s">
        <v>25</v>
      </c>
      <c r="W38" s="752">
        <f t="shared" si="11"/>
        <v>100</v>
      </c>
      <c r="X38" s="1895"/>
      <c r="Y38" s="3023"/>
      <c r="Z38" s="1897">
        <f t="shared" si="12"/>
        <v>111</v>
      </c>
      <c r="AA38" s="1898">
        <f t="shared" si="3"/>
        <v>1</v>
      </c>
      <c r="AB38" s="1898">
        <f t="shared" si="4"/>
        <v>1</v>
      </c>
      <c r="AC38" s="1898">
        <f t="shared" si="5"/>
        <v>1</v>
      </c>
    </row>
    <row r="39" spans="1:29" ht="15">
      <c r="A39" s="452"/>
      <c r="B39" s="2486">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23"/>
      <c r="Q39" s="1894">
        <f t="shared" si="13"/>
        <v>111</v>
      </c>
      <c r="R39" s="751" t="s">
        <v>25</v>
      </c>
      <c r="S39" s="752">
        <f t="shared" si="9"/>
        <v>100</v>
      </c>
      <c r="T39" s="751" t="s">
        <v>25</v>
      </c>
      <c r="U39" s="752">
        <f t="shared" si="10"/>
        <v>100</v>
      </c>
      <c r="V39" s="751" t="s">
        <v>25</v>
      </c>
      <c r="W39" s="752">
        <f t="shared" si="11"/>
        <v>100</v>
      </c>
      <c r="X39" s="1895"/>
      <c r="Y39" s="3023"/>
      <c r="Z39" s="1897">
        <f t="shared" si="12"/>
        <v>111</v>
      </c>
      <c r="AA39" s="1898">
        <f t="shared" si="3"/>
        <v>1</v>
      </c>
      <c r="AB39" s="1898">
        <f t="shared" si="4"/>
        <v>1</v>
      </c>
      <c r="AC39" s="1898">
        <f t="shared" si="5"/>
        <v>1</v>
      </c>
    </row>
    <row r="40" spans="1:29" s="451" customFormat="1" ht="15.75" thickBot="1">
      <c r="A40" s="448"/>
      <c r="B40" s="2486">
        <v>111</v>
      </c>
      <c r="C40" s="2487"/>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23"/>
      <c r="Q40" s="1894">
        <f t="shared" si="13"/>
        <v>111</v>
      </c>
      <c r="R40" s="754" t="s">
        <v>25</v>
      </c>
      <c r="S40" s="755">
        <f t="shared" si="9"/>
        <v>100</v>
      </c>
      <c r="T40" s="754" t="s">
        <v>25</v>
      </c>
      <c r="U40" s="755">
        <f t="shared" si="10"/>
        <v>100</v>
      </c>
      <c r="V40" s="754" t="s">
        <v>25</v>
      </c>
      <c r="W40" s="755">
        <f t="shared" si="11"/>
        <v>100</v>
      </c>
      <c r="X40" s="756"/>
      <c r="Y40" s="3023"/>
      <c r="Z40" s="757">
        <f t="shared" si="12"/>
        <v>111</v>
      </c>
      <c r="AA40" s="1898">
        <f t="shared" si="3"/>
        <v>1</v>
      </c>
      <c r="AB40" s="1898">
        <f t="shared" si="4"/>
        <v>1</v>
      </c>
      <c r="AC40" s="1898">
        <f t="shared" si="5"/>
        <v>1</v>
      </c>
    </row>
    <row r="41" spans="1:29" ht="15">
      <c r="A41" s="459" t="s">
        <v>2522</v>
      </c>
      <c r="B41" s="2488" t="s">
        <v>2597</v>
      </c>
      <c r="C41" s="664" t="s">
        <v>1</v>
      </c>
      <c r="D41" s="461"/>
      <c r="E41" s="462"/>
      <c r="F41" s="463"/>
      <c r="G41" s="464"/>
      <c r="H41" s="465"/>
      <c r="I41" s="462"/>
      <c r="J41" s="465"/>
      <c r="K41" s="760"/>
      <c r="L41" s="1251"/>
      <c r="M41" s="1239"/>
      <c r="N41" s="1239"/>
      <c r="O41" s="1252"/>
      <c r="P41" s="3029" t="str">
        <f>A41</f>
        <v>成交单价</v>
      </c>
      <c r="Q41" s="3029"/>
      <c r="R41" s="3009">
        <f>E41</f>
        <v>0</v>
      </c>
      <c r="S41" s="3009"/>
      <c r="T41" s="3009">
        <f>G41</f>
        <v>0</v>
      </c>
      <c r="U41" s="3009"/>
      <c r="V41" s="3009">
        <f>I41</f>
        <v>0</v>
      </c>
      <c r="W41" s="3009"/>
      <c r="X41" s="736"/>
      <c r="Y41" s="758"/>
      <c r="Z41" s="736"/>
      <c r="AA41" s="736"/>
      <c r="AB41" s="736"/>
      <c r="AC41" s="736"/>
    </row>
    <row r="42" spans="1:29" ht="15.75" thickBot="1">
      <c r="A42" s="466" t="s">
        <v>2469</v>
      </c>
      <c r="B42" s="665"/>
      <c r="C42" s="470" t="e">
        <f>R43</f>
        <v>#DIV/0!</v>
      </c>
      <c r="D42" s="469"/>
      <c r="E42" s="470" t="e">
        <f>R42</f>
        <v>#DIV/0!</v>
      </c>
      <c r="F42" s="471"/>
      <c r="G42" s="468" t="e">
        <f>T42</f>
        <v>#DIV/0!</v>
      </c>
      <c r="H42" s="469"/>
      <c r="I42" s="470" t="e">
        <f>V42</f>
        <v>#DIV/0!</v>
      </c>
      <c r="J42" s="469"/>
      <c r="K42" s="761"/>
      <c r="L42" s="1251"/>
      <c r="M42" s="1239"/>
      <c r="N42" s="1239"/>
      <c r="O42" s="1252"/>
      <c r="P42" s="3029" t="str">
        <f>A42</f>
        <v>比较价值（元/平方米）</v>
      </c>
      <c r="Q42" s="3029"/>
      <c r="R42" s="3053" t="e">
        <f>ROUND(PRODUCT(R41,AA7:AA40),0)</f>
        <v>#DIV/0!</v>
      </c>
      <c r="S42" s="3053"/>
      <c r="T42" s="3053" t="e">
        <f>ROUND(PRODUCT(T41,AB7:AB40),0)</f>
        <v>#DIV/0!</v>
      </c>
      <c r="U42" s="3053"/>
      <c r="V42" s="3053" t="e">
        <f>ROUND(PRODUCT(V41,AC7:AC40),0)</f>
        <v>#DIV/0!</v>
      </c>
      <c r="W42" s="3053"/>
      <c r="X42" s="736"/>
      <c r="Y42" s="736"/>
      <c r="Z42" s="736"/>
      <c r="AA42" s="736"/>
      <c r="AB42" s="736"/>
      <c r="AC42" s="736"/>
    </row>
    <row r="43" spans="1:29" ht="15.75" thickBot="1">
      <c r="A43" s="472" t="s">
        <v>2492</v>
      </c>
      <c r="B43" s="473"/>
      <c r="C43" s="474" t="e">
        <f>R43</f>
        <v>#DIV/0!</v>
      </c>
      <c r="D43" s="474"/>
      <c r="E43" s="474"/>
      <c r="F43" s="474"/>
      <c r="G43" s="474"/>
      <c r="H43" s="474"/>
      <c r="I43" s="474"/>
      <c r="J43" s="474"/>
      <c r="K43" s="762"/>
      <c r="L43" s="1251"/>
      <c r="M43" s="1239"/>
      <c r="N43" s="1239"/>
      <c r="O43" s="1252"/>
      <c r="P43" s="3035" t="str">
        <f>A43</f>
        <v>估价对象XX用房的比较价值（楼面单价，元/平方米）</v>
      </c>
      <c r="Q43" s="3036"/>
      <c r="R43" s="3054" t="e">
        <f>ROUND(AVERAGE(R42:V42),0)</f>
        <v>#DIV/0!</v>
      </c>
      <c r="S43" s="3054"/>
      <c r="T43" s="3054"/>
      <c r="U43" s="3054"/>
      <c r="V43" s="3054"/>
      <c r="W43" s="3054"/>
      <c r="X43" s="736"/>
      <c r="Y43" s="736"/>
      <c r="Z43" s="736"/>
      <c r="AA43" s="736"/>
      <c r="AB43" s="736"/>
      <c r="AC43" s="736"/>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2471</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2472</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2473</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5" thickBot="1">
      <c r="A49" s="1254"/>
      <c r="B49" s="1255"/>
      <c r="C49" s="1260"/>
      <c r="D49" s="1254"/>
      <c r="E49" s="1254"/>
      <c r="F49" s="1254"/>
      <c r="G49" s="1254"/>
      <c r="H49" s="1254"/>
      <c r="I49" s="1254"/>
      <c r="J49" s="1254"/>
      <c r="K49" s="1258"/>
      <c r="L49" s="1259"/>
      <c r="M49" s="1254"/>
      <c r="N49" s="1254"/>
      <c r="O49" s="1254"/>
    </row>
    <row r="50" spans="1:17" ht="27">
      <c r="A50" s="666" t="s">
        <v>2560</v>
      </c>
      <c r="B50" s="667" t="s">
        <v>2561</v>
      </c>
      <c r="C50" s="2489" t="s">
        <v>2562</v>
      </c>
      <c r="D50" s="2490" t="s">
        <v>2563</v>
      </c>
      <c r="E50" s="668" t="s">
        <v>2564</v>
      </c>
      <c r="F50" s="669" t="s">
        <v>2565</v>
      </c>
      <c r="G50" s="1897" t="s">
        <v>2598</v>
      </c>
      <c r="H50" s="1897">
        <f>项目基本情况!G8</f>
        <v>0</v>
      </c>
      <c r="I50" s="1844" t="s">
        <v>2567</v>
      </c>
      <c r="J50" s="1257"/>
      <c r="K50" s="1253"/>
      <c r="L50" s="1253"/>
      <c r="M50" s="1252"/>
      <c r="N50" s="1252"/>
      <c r="O50" s="1252"/>
    </row>
    <row r="51" spans="1:17" s="674" customFormat="1">
      <c r="A51" s="670" t="s">
        <v>2568</v>
      </c>
      <c r="B51" s="671" t="e">
        <f>C43</f>
        <v>#DIV/0!</v>
      </c>
      <c r="C51" s="672">
        <v>1</v>
      </c>
      <c r="D51" s="672">
        <v>1</v>
      </c>
      <c r="E51" s="676">
        <v>120</v>
      </c>
      <c r="F51" s="673" t="e">
        <f t="shared" ref="F51:F60" si="14">ROUND(B51*E51,0)</f>
        <v>#DIV/0!</v>
      </c>
      <c r="G51" s="970">
        <v>1</v>
      </c>
      <c r="H51" s="970">
        <v>1</v>
      </c>
      <c r="I51" s="1254"/>
      <c r="J51" s="1257"/>
      <c r="K51" s="1253"/>
      <c r="L51" s="1253"/>
      <c r="M51" s="1252"/>
      <c r="N51" s="1252"/>
      <c r="O51" s="1252"/>
    </row>
    <row r="52" spans="1:17" s="674" customFormat="1">
      <c r="A52" s="675" t="s">
        <v>2569</v>
      </c>
      <c r="B52" s="177" t="e">
        <f>ROUND($C$43*C52*D52,0)</f>
        <v>#DIV/0!</v>
      </c>
      <c r="C52" s="116">
        <f>IF($C$50="北京市系数",G52,H52)</f>
        <v>0</v>
      </c>
      <c r="D52" s="1287">
        <v>0.25</v>
      </c>
      <c r="E52" s="676">
        <v>0</v>
      </c>
      <c r="F52" s="673" t="e">
        <f t="shared" si="14"/>
        <v>#DIV/0!</v>
      </c>
      <c r="G52" s="970">
        <f>SUMIF(修正!$A$45:$A$56,项目基本情况!$F$9,修正!B45:B56)</f>
        <v>0</v>
      </c>
      <c r="H52" s="971"/>
      <c r="I52" s="1252"/>
      <c r="J52" s="1257"/>
      <c r="K52" s="1253"/>
      <c r="L52" s="1253"/>
      <c r="M52" s="1252"/>
      <c r="N52" s="1252"/>
      <c r="O52" s="1252"/>
    </row>
    <row r="53" spans="1:17" s="674" customFormat="1">
      <c r="A53" s="675" t="s">
        <v>2570</v>
      </c>
      <c r="B53" s="177" t="e">
        <f t="shared" ref="B53:B60" si="15">ROUND($C$43*C53*D53,0)</f>
        <v>#DIV/0!</v>
      </c>
      <c r="C53" s="116">
        <f t="shared" ref="C53:C60" si="16">IF($C$50="北京市系数",G53,H53)</f>
        <v>0</v>
      </c>
      <c r="D53" s="1287">
        <v>0.25</v>
      </c>
      <c r="E53" s="676">
        <v>0</v>
      </c>
      <c r="F53" s="673" t="e">
        <f t="shared" si="14"/>
        <v>#DIV/0!</v>
      </c>
      <c r="G53" s="970">
        <f>SUMIF(修正!$A$45:$A$56,项目基本情况!$F$9,修正!C45:C56)</f>
        <v>0</v>
      </c>
      <c r="H53" s="971"/>
      <c r="I53" s="1254"/>
      <c r="J53" s="1257"/>
      <c r="K53" s="1253"/>
      <c r="L53" s="1253"/>
      <c r="M53" s="1252"/>
      <c r="N53" s="1252"/>
      <c r="O53" s="1252"/>
    </row>
    <row r="54" spans="1:17" s="674" customFormat="1">
      <c r="A54" s="675" t="s">
        <v>2571</v>
      </c>
      <c r="B54" s="177" t="e">
        <f t="shared" si="15"/>
        <v>#DIV/0!</v>
      </c>
      <c r="C54" s="116">
        <f t="shared" si="16"/>
        <v>0</v>
      </c>
      <c r="D54" s="1287">
        <v>0.25</v>
      </c>
      <c r="E54" s="676">
        <v>0</v>
      </c>
      <c r="F54" s="673" t="e">
        <f t="shared" si="14"/>
        <v>#DIV/0!</v>
      </c>
      <c r="G54" s="970">
        <f>SUMIF(修正!$A$45:$A$56,项目基本情况!$F$9,修正!D45:D56)</f>
        <v>0</v>
      </c>
      <c r="H54" s="971"/>
      <c r="I54" s="1252"/>
      <c r="J54" s="1257"/>
      <c r="K54" s="1253"/>
      <c r="L54" s="1253"/>
      <c r="M54" s="1252"/>
      <c r="N54" s="1252"/>
      <c r="O54" s="1252"/>
    </row>
    <row r="55" spans="1:17" s="674" customFormat="1">
      <c r="A55" s="675" t="s">
        <v>2572</v>
      </c>
      <c r="B55" s="177" t="e">
        <f t="shared" si="15"/>
        <v>#DIV/0!</v>
      </c>
      <c r="C55" s="116">
        <f t="shared" si="16"/>
        <v>0</v>
      </c>
      <c r="D55" s="1287">
        <v>0.25</v>
      </c>
      <c r="E55" s="676">
        <v>0</v>
      </c>
      <c r="F55" s="673" t="e">
        <f t="shared" si="14"/>
        <v>#DIV/0!</v>
      </c>
      <c r="G55" s="970">
        <f>SUMIF(修正!$A$45:$A$56,项目基本情况!$F$9,修正!E45:E56)</f>
        <v>0</v>
      </c>
      <c r="H55" s="971"/>
      <c r="I55" s="1254"/>
      <c r="J55" s="1257"/>
      <c r="K55" s="1253"/>
      <c r="L55" s="1253"/>
      <c r="M55" s="1252"/>
      <c r="N55" s="1252"/>
      <c r="O55" s="1252"/>
    </row>
    <row r="56" spans="1:17" s="674" customFormat="1">
      <c r="A56" s="675" t="s">
        <v>2573</v>
      </c>
      <c r="B56" s="177" t="e">
        <f t="shared" si="15"/>
        <v>#DIV/0!</v>
      </c>
      <c r="C56" s="116">
        <f t="shared" si="16"/>
        <v>0</v>
      </c>
      <c r="D56" s="1287">
        <v>0.25</v>
      </c>
      <c r="E56" s="676">
        <v>0</v>
      </c>
      <c r="F56" s="673" t="e">
        <f t="shared" si="14"/>
        <v>#DIV/0!</v>
      </c>
      <c r="G56" s="970">
        <f>SUMIF(修正!A40:A51,项目基本情况!F9,修正!F45:F56)</f>
        <v>0</v>
      </c>
      <c r="H56" s="971"/>
      <c r="I56" s="1252"/>
      <c r="J56" s="1257"/>
      <c r="K56" s="1253"/>
      <c r="L56" s="1253"/>
      <c r="M56" s="1252"/>
      <c r="N56" s="1252"/>
      <c r="O56" s="1252"/>
    </row>
    <row r="57" spans="1:17" s="674" customFormat="1">
      <c r="A57" s="675" t="s">
        <v>2574</v>
      </c>
      <c r="B57" s="177" t="e">
        <f t="shared" si="15"/>
        <v>#DIV/0!</v>
      </c>
      <c r="C57" s="116">
        <f t="shared" si="16"/>
        <v>0</v>
      </c>
      <c r="D57" s="1287">
        <v>0.25</v>
      </c>
      <c r="E57" s="676">
        <v>0</v>
      </c>
      <c r="F57" s="673" t="e">
        <f t="shared" si="14"/>
        <v>#DIV/0!</v>
      </c>
      <c r="G57" s="970">
        <f>SUMIF(修正!A40:A51,项目基本情况!F9,修正!G45:G56)</f>
        <v>0</v>
      </c>
      <c r="H57" s="971"/>
      <c r="I57" s="1254"/>
      <c r="J57" s="1257"/>
      <c r="K57" s="1253"/>
      <c r="L57" s="1253"/>
      <c r="M57" s="1252"/>
      <c r="N57" s="1252"/>
      <c r="O57" s="1252"/>
    </row>
    <row r="58" spans="1:17" s="674" customFormat="1">
      <c r="A58" s="675" t="s">
        <v>2575</v>
      </c>
      <c r="B58" s="177" t="e">
        <f t="shared" si="15"/>
        <v>#DIV/0!</v>
      </c>
      <c r="C58" s="116">
        <f t="shared" si="16"/>
        <v>0</v>
      </c>
      <c r="D58" s="1287">
        <v>0.25</v>
      </c>
      <c r="E58" s="676">
        <v>0</v>
      </c>
      <c r="F58" s="673" t="e">
        <f t="shared" si="14"/>
        <v>#DIV/0!</v>
      </c>
      <c r="G58" s="970">
        <f>SUMIF(修正!A40:A51,项目基本情况!F9,修正!H45:H56)</f>
        <v>0</v>
      </c>
      <c r="H58" s="971"/>
      <c r="I58" s="1252"/>
      <c r="J58" s="1257"/>
      <c r="K58" s="1253"/>
      <c r="L58" s="1253"/>
      <c r="M58" s="1252"/>
      <c r="N58" s="1252"/>
      <c r="O58" s="1252"/>
    </row>
    <row r="59" spans="1:17" s="674" customFormat="1">
      <c r="A59" s="675" t="s">
        <v>2576</v>
      </c>
      <c r="B59" s="177" t="e">
        <f t="shared" si="15"/>
        <v>#DIV/0!</v>
      </c>
      <c r="C59" s="116">
        <f t="shared" si="16"/>
        <v>0</v>
      </c>
      <c r="D59" s="1287">
        <v>0.25</v>
      </c>
      <c r="E59" s="676">
        <v>0</v>
      </c>
      <c r="F59" s="673" t="e">
        <f t="shared" si="14"/>
        <v>#DIV/0!</v>
      </c>
      <c r="G59" s="970">
        <f>G58</f>
        <v>0</v>
      </c>
      <c r="H59" s="971"/>
      <c r="I59" s="1254"/>
      <c r="J59" s="1257"/>
      <c r="K59" s="1253"/>
      <c r="L59" s="1253"/>
      <c r="M59" s="1252"/>
      <c r="N59" s="1252"/>
      <c r="O59" s="1252"/>
    </row>
    <row r="60" spans="1:17" s="674" customFormat="1">
      <c r="A60" s="675" t="s">
        <v>2577</v>
      </c>
      <c r="B60" s="177" t="e">
        <f t="shared" si="15"/>
        <v>#DIV/0!</v>
      </c>
      <c r="C60" s="116">
        <f t="shared" si="16"/>
        <v>0</v>
      </c>
      <c r="D60" s="1287">
        <v>0.25</v>
      </c>
      <c r="E60" s="676">
        <v>0</v>
      </c>
      <c r="F60" s="673" t="e">
        <f t="shared" si="14"/>
        <v>#DIV/0!</v>
      </c>
      <c r="G60" s="970">
        <f>G58</f>
        <v>0</v>
      </c>
      <c r="H60" s="971"/>
      <c r="I60" s="1252"/>
      <c r="J60" s="1257"/>
      <c r="K60" s="1253"/>
      <c r="L60" s="1253"/>
      <c r="M60" s="1252"/>
      <c r="N60" s="1252"/>
      <c r="O60" s="1252"/>
    </row>
    <row r="61" spans="1:17" s="674" customFormat="1" ht="15" thickBot="1">
      <c r="A61" s="678" t="s">
        <v>2578</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2018-6-1</v>
      </c>
      <c r="D63" s="1665">
        <f>EDATE(C63,-3)</f>
        <v>43160</v>
      </c>
      <c r="E63" s="1665">
        <f t="shared" ref="E63:O63" si="17">EDATE(D63,-3)</f>
        <v>43070</v>
      </c>
      <c r="F63" s="1665">
        <f t="shared" si="17"/>
        <v>42979</v>
      </c>
      <c r="G63" s="1665">
        <f t="shared" si="17"/>
        <v>42887</v>
      </c>
      <c r="H63" s="1665">
        <f t="shared" si="17"/>
        <v>42795</v>
      </c>
      <c r="I63" s="1665">
        <f t="shared" si="17"/>
        <v>42705</v>
      </c>
      <c r="J63" s="1665">
        <f t="shared" si="17"/>
        <v>42614</v>
      </c>
      <c r="K63" s="1665">
        <f t="shared" si="17"/>
        <v>42522</v>
      </c>
      <c r="L63" s="1665">
        <f t="shared" si="17"/>
        <v>42430</v>
      </c>
      <c r="M63" s="1665">
        <f t="shared" si="17"/>
        <v>42339</v>
      </c>
      <c r="N63" s="1665">
        <f t="shared" si="17"/>
        <v>42248</v>
      </c>
      <c r="O63" s="1665">
        <f t="shared" si="17"/>
        <v>42156</v>
      </c>
    </row>
    <row r="64" spans="1:17" ht="21.75" thickBot="1">
      <c r="A64" s="740" t="s">
        <v>2474</v>
      </c>
      <c r="B64" s="736"/>
      <c r="C64" s="741"/>
      <c r="D64" s="741"/>
      <c r="E64" s="741"/>
      <c r="F64" s="742"/>
      <c r="G64" s="742"/>
      <c r="H64" s="741"/>
      <c r="I64" s="1268"/>
      <c r="J64" s="1268"/>
      <c r="K64" s="1266"/>
      <c r="L64" s="1267"/>
      <c r="M64" s="1268"/>
      <c r="N64" s="1268"/>
      <c r="O64" s="1268"/>
      <c r="P64" s="483"/>
      <c r="Q64" s="484"/>
    </row>
    <row r="65" spans="1:17" s="488" customFormat="1" ht="15">
      <c r="A65" s="2492" t="s">
        <v>2579</v>
      </c>
      <c r="B65" s="1451"/>
      <c r="C65" s="1666" t="str">
        <f>YEAR(C63)&amp;"-"&amp;ROUNDUP(MONTH(C63)/3,0)</f>
        <v>2018-2</v>
      </c>
      <c r="D65" s="1666" t="str">
        <f t="shared" ref="D65:O65" si="18">YEAR(D63)&amp;"-"&amp;ROUNDUP(MONTH(D63)/3,0)</f>
        <v>2018-1</v>
      </c>
      <c r="E65" s="1666" t="str">
        <f t="shared" si="18"/>
        <v>2017-4</v>
      </c>
      <c r="F65" s="1666" t="str">
        <f t="shared" si="18"/>
        <v>2017-3</v>
      </c>
      <c r="G65" s="1666" t="str">
        <f t="shared" si="18"/>
        <v>2017-2</v>
      </c>
      <c r="H65" s="1666" t="str">
        <f t="shared" si="18"/>
        <v>2017-1</v>
      </c>
      <c r="I65" s="1666" t="str">
        <f t="shared" si="18"/>
        <v>2016-4</v>
      </c>
      <c r="J65" s="1666" t="str">
        <f t="shared" si="18"/>
        <v>2016-3</v>
      </c>
      <c r="K65" s="1666" t="str">
        <f t="shared" si="18"/>
        <v>2016-2</v>
      </c>
      <c r="L65" s="1666" t="str">
        <f t="shared" si="18"/>
        <v>2016-1</v>
      </c>
      <c r="M65" s="1666" t="str">
        <f t="shared" si="18"/>
        <v>2015-4</v>
      </c>
      <c r="N65" s="1666" t="str">
        <f t="shared" si="18"/>
        <v>2015-3</v>
      </c>
      <c r="O65" s="1666" t="str">
        <f t="shared" si="18"/>
        <v>2015-2</v>
      </c>
      <c r="P65" s="487"/>
    </row>
    <row r="66" spans="1:17" s="35" customFormat="1" ht="33.75" customHeight="1">
      <c r="A66" s="2498" t="s">
        <v>2599</v>
      </c>
      <c r="B66" s="283" t="str">
        <f>"北京市平均增长率"&amp;TEXT(基准地价修正!P24,"0.00%")</f>
        <v>北京市平均增长率1.35%</v>
      </c>
      <c r="C66" s="586">
        <v>100</v>
      </c>
      <c r="D66" s="578"/>
      <c r="E66" s="578"/>
      <c r="F66" s="578"/>
      <c r="G66" s="578"/>
      <c r="H66" s="578"/>
      <c r="I66" s="578"/>
      <c r="J66" s="578"/>
      <c r="K66" s="578"/>
      <c r="L66" s="578"/>
      <c r="M66" s="1664"/>
      <c r="N66" s="578"/>
      <c r="O66" s="1670"/>
      <c r="P66" s="484"/>
    </row>
    <row r="67" spans="1:17" s="35" customFormat="1" ht="15.75" thickBot="1">
      <c r="A67" s="495" t="s">
        <v>2394</v>
      </c>
      <c r="B67" s="496"/>
      <c r="C67" s="497"/>
      <c r="D67" s="498"/>
      <c r="E67" s="498"/>
      <c r="F67" s="498"/>
      <c r="G67" s="498"/>
      <c r="H67" s="498"/>
      <c r="I67" s="498"/>
      <c r="J67" s="498"/>
      <c r="K67" s="498"/>
      <c r="L67" s="498"/>
      <c r="M67" s="499"/>
      <c r="N67" s="498"/>
      <c r="O67" s="1671"/>
      <c r="P67" s="484"/>
      <c r="Q67" s="484"/>
    </row>
    <row r="68" spans="1:17" s="35" customFormat="1" ht="15">
      <c r="A68" s="501" t="s">
        <v>2358</v>
      </c>
      <c r="B68" s="490"/>
      <c r="C68" s="502" t="s">
        <v>2359</v>
      </c>
      <c r="D68" s="503"/>
      <c r="E68" s="503"/>
      <c r="F68" s="503"/>
      <c r="G68" s="503"/>
      <c r="H68" s="503"/>
      <c r="I68" s="503"/>
      <c r="J68" s="503"/>
      <c r="K68" s="503"/>
      <c r="L68" s="504"/>
      <c r="M68" s="505"/>
      <c r="N68" s="1261"/>
      <c r="O68" s="1261"/>
      <c r="P68" s="506"/>
      <c r="Q68" s="484"/>
    </row>
    <row r="69" spans="1:17" s="35" customFormat="1" ht="15.75" thickBot="1">
      <c r="A69" s="501"/>
      <c r="B69" s="490"/>
      <c r="C69" s="622">
        <v>100</v>
      </c>
      <c r="D69" s="492"/>
      <c r="E69" s="492"/>
      <c r="F69" s="492"/>
      <c r="G69" s="492"/>
      <c r="H69" s="492"/>
      <c r="I69" s="492"/>
      <c r="J69" s="492"/>
      <c r="K69" s="492"/>
      <c r="L69" s="492"/>
      <c r="M69" s="494"/>
      <c r="N69" s="1261"/>
      <c r="O69" s="1261"/>
      <c r="P69" s="484"/>
      <c r="Q69" s="484"/>
    </row>
    <row r="70" spans="1:17">
      <c r="A70" s="507" t="s">
        <v>2397</v>
      </c>
      <c r="B70" s="508" t="s">
        <v>2362</v>
      </c>
      <c r="C70" s="510"/>
      <c r="D70" s="510"/>
      <c r="E70" s="510"/>
      <c r="F70" s="510"/>
      <c r="G70" s="510"/>
      <c r="H70" s="510"/>
      <c r="I70" s="510"/>
      <c r="J70" s="510"/>
      <c r="K70" s="511"/>
      <c r="L70" s="512"/>
      <c r="M70" s="513"/>
      <c r="N70" s="1262"/>
      <c r="O70" s="1262"/>
      <c r="P70" s="22"/>
      <c r="Q70" s="484"/>
    </row>
    <row r="71" spans="1:17" ht="15.75" thickBot="1">
      <c r="A71" s="515"/>
      <c r="B71" s="516"/>
      <c r="C71" s="517"/>
      <c r="D71" s="517"/>
      <c r="E71" s="517"/>
      <c r="F71" s="517"/>
      <c r="G71" s="517"/>
      <c r="H71" s="517"/>
      <c r="I71" s="517"/>
      <c r="J71" s="517"/>
      <c r="K71" s="517"/>
      <c r="L71" s="517"/>
      <c r="M71" s="518"/>
      <c r="N71" s="1263"/>
      <c r="O71" s="1263"/>
      <c r="P71" s="22"/>
      <c r="Q71" s="484"/>
    </row>
    <row r="72" spans="1:17" ht="27.75" thickTop="1">
      <c r="A72" s="515"/>
      <c r="B72" s="520" t="s">
        <v>2365</v>
      </c>
      <c r="C72" s="521"/>
      <c r="D72" s="521"/>
      <c r="E72" s="521"/>
      <c r="F72" s="521"/>
      <c r="G72" s="521"/>
      <c r="H72" s="521"/>
      <c r="I72" s="521"/>
      <c r="J72" s="521"/>
      <c r="K72" s="522"/>
      <c r="L72" s="523"/>
      <c r="M72" s="524"/>
      <c r="N72" s="1262"/>
      <c r="O72" s="1262"/>
      <c r="P72" s="22"/>
      <c r="Q72" s="484"/>
    </row>
    <row r="73" spans="1:17" ht="15.75" thickBot="1">
      <c r="A73" s="515"/>
      <c r="B73" s="525"/>
      <c r="C73" s="526"/>
      <c r="D73" s="526"/>
      <c r="E73" s="526"/>
      <c r="F73" s="526"/>
      <c r="G73" s="526"/>
      <c r="H73" s="526"/>
      <c r="I73" s="526"/>
      <c r="J73" s="526"/>
      <c r="K73" s="526"/>
      <c r="L73" s="526"/>
      <c r="M73" s="527"/>
      <c r="N73" s="1263"/>
      <c r="O73" s="1263"/>
      <c r="P73" s="22"/>
      <c r="Q73" s="484"/>
    </row>
    <row r="74" spans="1:17" ht="15.75" thickTop="1">
      <c r="A74" s="515"/>
      <c r="B74" s="528" t="s">
        <v>2366</v>
      </c>
      <c r="C74" s="529" t="str">
        <f>C75&amp;"（含）"&amp;"-"&amp;D75</f>
        <v>（含）-</v>
      </c>
      <c r="D74" s="529" t="str">
        <f t="shared" ref="D74:L74" si="19">D75&amp;"（含）"&amp;"-"&amp;E75</f>
        <v>（含）-</v>
      </c>
      <c r="E74" s="529" t="str">
        <f t="shared" si="19"/>
        <v>（含）-</v>
      </c>
      <c r="F74" s="529" t="str">
        <f t="shared" si="19"/>
        <v>（含）-</v>
      </c>
      <c r="G74" s="529" t="str">
        <f t="shared" si="19"/>
        <v>（含）-</v>
      </c>
      <c r="H74" s="529" t="str">
        <f t="shared" si="19"/>
        <v>（含）-</v>
      </c>
      <c r="I74" s="529" t="str">
        <f t="shared" si="19"/>
        <v>（含）-</v>
      </c>
      <c r="J74" s="529" t="str">
        <f t="shared" si="19"/>
        <v>（含）-</v>
      </c>
      <c r="K74" s="529" t="str">
        <f t="shared" si="19"/>
        <v>（含）-</v>
      </c>
      <c r="L74" s="529" t="str">
        <f t="shared" si="19"/>
        <v>（含）-</v>
      </c>
      <c r="M74" s="426" t="str">
        <f>M75&amp;"（含）"&amp;"-"&amp;P75</f>
        <v>（含）-</v>
      </c>
      <c r="N74" s="1263"/>
      <c r="O74" s="1263"/>
      <c r="P74" s="22"/>
      <c r="Q74" s="484"/>
    </row>
    <row r="75" spans="1:17" ht="15">
      <c r="A75" s="515"/>
      <c r="B75" s="530"/>
      <c r="C75" s="531"/>
      <c r="D75" s="531"/>
      <c r="E75" s="531"/>
      <c r="F75" s="531"/>
      <c r="G75" s="531"/>
      <c r="H75" s="531"/>
      <c r="I75" s="531"/>
      <c r="J75" s="531"/>
      <c r="K75" s="532"/>
      <c r="L75" s="533"/>
      <c r="M75" s="534"/>
      <c r="N75" s="1262"/>
      <c r="O75" s="1262"/>
      <c r="P75" s="22"/>
      <c r="Q75" s="484"/>
    </row>
    <row r="76" spans="1:17" ht="15.75" thickBot="1">
      <c r="A76" s="515"/>
      <c r="B76" s="516"/>
      <c r="C76" s="526">
        <v>100</v>
      </c>
      <c r="D76" s="526">
        <f>IF($B$41="单位面积地价",C76+$K11,C76-$K11)</f>
        <v>100</v>
      </c>
      <c r="E76" s="526">
        <f t="shared" ref="E76:M76" si="20">IF($B$41="单位面积地价",D76+$K11,D76-$K11)</f>
        <v>100</v>
      </c>
      <c r="F76" s="526">
        <f t="shared" si="20"/>
        <v>100</v>
      </c>
      <c r="G76" s="526">
        <f t="shared" si="20"/>
        <v>100</v>
      </c>
      <c r="H76" s="526">
        <f t="shared" si="20"/>
        <v>100</v>
      </c>
      <c r="I76" s="526">
        <f t="shared" si="20"/>
        <v>100</v>
      </c>
      <c r="J76" s="526">
        <f t="shared" si="20"/>
        <v>100</v>
      </c>
      <c r="K76" s="526">
        <f t="shared" si="20"/>
        <v>100</v>
      </c>
      <c r="L76" s="526">
        <f t="shared" si="20"/>
        <v>100</v>
      </c>
      <c r="M76" s="526">
        <f t="shared" si="20"/>
        <v>100</v>
      </c>
      <c r="N76" s="1263"/>
      <c r="O76" s="1263"/>
      <c r="P76" s="22"/>
      <c r="Q76" s="484"/>
    </row>
    <row r="77" spans="1:17" s="451" customFormat="1" ht="15.75" thickTop="1">
      <c r="A77" s="535"/>
      <c r="B77" s="520">
        <f>B12</f>
        <v>111</v>
      </c>
      <c r="C77" s="536"/>
      <c r="D77" s="536"/>
      <c r="E77" s="536"/>
      <c r="F77" s="536"/>
      <c r="G77" s="536"/>
      <c r="H77" s="537"/>
      <c r="I77" s="537"/>
      <c r="J77" s="537"/>
      <c r="K77" s="537"/>
      <c r="L77" s="538"/>
      <c r="M77" s="539"/>
      <c r="N77" s="1264"/>
      <c r="O77" s="1264"/>
      <c r="P77" s="541"/>
      <c r="Q77" s="542"/>
    </row>
    <row r="78" spans="1:17" s="451" customFormat="1" ht="15.75" thickBot="1">
      <c r="A78" s="535"/>
      <c r="B78" s="525"/>
      <c r="C78" s="543"/>
      <c r="D78" s="517"/>
      <c r="E78" s="517"/>
      <c r="F78" s="517"/>
      <c r="G78" s="517"/>
      <c r="H78" s="517"/>
      <c r="I78" s="517"/>
      <c r="J78" s="517"/>
      <c r="K78" s="517"/>
      <c r="L78" s="517"/>
      <c r="M78" s="518"/>
      <c r="N78" s="1263"/>
      <c r="O78" s="1263"/>
      <c r="P78" s="541"/>
      <c r="Q78" s="542"/>
    </row>
    <row r="79" spans="1:17" s="451" customFormat="1" ht="15.75" thickTop="1">
      <c r="A79" s="535"/>
      <c r="B79" s="520">
        <f>B13</f>
        <v>111</v>
      </c>
      <c r="C79" s="536"/>
      <c r="D79" s="536"/>
      <c r="E79" s="536"/>
      <c r="F79" s="536"/>
      <c r="G79" s="536"/>
      <c r="H79" s="537"/>
      <c r="I79" s="537"/>
      <c r="J79" s="537"/>
      <c r="K79" s="537"/>
      <c r="L79" s="538"/>
      <c r="M79" s="539"/>
      <c r="N79" s="1264"/>
      <c r="O79" s="1264"/>
      <c r="P79" s="450"/>
      <c r="Q79" s="544"/>
    </row>
    <row r="80" spans="1:17" s="451" customFormat="1" ht="15.75" thickBot="1">
      <c r="A80" s="535"/>
      <c r="B80" s="525"/>
      <c r="C80" s="543"/>
      <c r="D80" s="543"/>
      <c r="E80" s="543"/>
      <c r="F80" s="543"/>
      <c r="G80" s="543"/>
      <c r="H80" s="545"/>
      <c r="I80" s="545"/>
      <c r="J80" s="545"/>
      <c r="K80" s="545"/>
      <c r="L80" s="545"/>
      <c r="M80" s="546"/>
      <c r="N80" s="1264"/>
      <c r="O80" s="1264"/>
      <c r="P80" s="541"/>
      <c r="Q80" s="542"/>
    </row>
    <row r="81" spans="1:17" s="451" customFormat="1" ht="15.75" thickTop="1">
      <c r="A81" s="535"/>
      <c r="B81" s="528">
        <f>B14</f>
        <v>111</v>
      </c>
      <c r="C81" s="503"/>
      <c r="D81" s="503"/>
      <c r="E81" s="503"/>
      <c r="F81" s="503"/>
      <c r="G81" s="503"/>
      <c r="H81" s="547"/>
      <c r="I81" s="547"/>
      <c r="J81" s="547"/>
      <c r="K81" s="547"/>
      <c r="L81" s="548"/>
      <c r="M81" s="549"/>
      <c r="N81" s="1264"/>
      <c r="O81" s="1264"/>
      <c r="P81" s="550"/>
      <c r="Q81" s="542"/>
    </row>
    <row r="82" spans="1:17" s="451" customFormat="1" ht="15.75" thickBot="1">
      <c r="A82" s="551"/>
      <c r="B82" s="552"/>
      <c r="C82" s="553"/>
      <c r="D82" s="553"/>
      <c r="E82" s="553"/>
      <c r="F82" s="553"/>
      <c r="G82" s="553"/>
      <c r="H82" s="554"/>
      <c r="I82" s="554"/>
      <c r="J82" s="554"/>
      <c r="K82" s="554"/>
      <c r="L82" s="554"/>
      <c r="M82" s="555"/>
      <c r="N82" s="1264"/>
      <c r="O82" s="1264"/>
      <c r="P82" s="541"/>
      <c r="Q82" s="542"/>
    </row>
    <row r="83" spans="1:17">
      <c r="A83" s="507" t="s">
        <v>2367</v>
      </c>
      <c r="B83" s="508" t="s">
        <v>2507</v>
      </c>
      <c r="C83" s="556" t="s">
        <v>2406</v>
      </c>
      <c r="D83" s="556" t="s">
        <v>2407</v>
      </c>
      <c r="E83" s="556" t="s">
        <v>2408</v>
      </c>
      <c r="F83" s="556" t="s">
        <v>2409</v>
      </c>
      <c r="G83" s="556" t="s">
        <v>2410</v>
      </c>
      <c r="H83" s="509"/>
      <c r="I83" s="509"/>
      <c r="J83" s="509"/>
      <c r="K83" s="557"/>
      <c r="L83" s="558"/>
      <c r="M83" s="559"/>
      <c r="N83" s="1262"/>
      <c r="O83" s="1262"/>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75" thickTop="1">
      <c r="A85" s="515"/>
      <c r="B85" s="520" t="s">
        <v>2411</v>
      </c>
      <c r="C85" s="561" t="s">
        <v>2406</v>
      </c>
      <c r="D85" s="561" t="s">
        <v>2407</v>
      </c>
      <c r="E85" s="561" t="s">
        <v>2408</v>
      </c>
      <c r="F85" s="561" t="s">
        <v>2409</v>
      </c>
      <c r="G85" s="561" t="s">
        <v>2410</v>
      </c>
      <c r="H85" s="521"/>
      <c r="I85" s="521"/>
      <c r="J85" s="521"/>
      <c r="K85" s="522"/>
      <c r="L85" s="523"/>
      <c r="M85" s="524"/>
      <c r="N85" s="1262"/>
      <c r="O85" s="1262"/>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5" customFormat="1" ht="15.75" thickTop="1">
      <c r="A87" s="562"/>
      <c r="B87" s="520" t="s">
        <v>2582</v>
      </c>
      <c r="C87" s="556" t="s">
        <v>2406</v>
      </c>
      <c r="D87" s="556" t="s">
        <v>2407</v>
      </c>
      <c r="E87" s="556" t="s">
        <v>2408</v>
      </c>
      <c r="F87" s="556" t="s">
        <v>2409</v>
      </c>
      <c r="G87" s="556" t="s">
        <v>2410</v>
      </c>
      <c r="H87" s="561"/>
      <c r="I87" s="561"/>
      <c r="J87" s="561"/>
      <c r="K87" s="561"/>
      <c r="L87" s="681"/>
      <c r="M87" s="605"/>
      <c r="N87" s="1261"/>
      <c r="O87" s="1261"/>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5" customFormat="1" ht="27.75" thickTop="1">
      <c r="A89" s="562"/>
      <c r="B89" s="520" t="s">
        <v>2583</v>
      </c>
      <c r="C89" s="556" t="s">
        <v>2406</v>
      </c>
      <c r="D89" s="556" t="s">
        <v>2407</v>
      </c>
      <c r="E89" s="556" t="s">
        <v>2408</v>
      </c>
      <c r="F89" s="556" t="s">
        <v>2409</v>
      </c>
      <c r="G89" s="556" t="s">
        <v>2410</v>
      </c>
      <c r="H89" s="561"/>
      <c r="I89" s="561"/>
      <c r="J89" s="561"/>
      <c r="K89" s="561"/>
      <c r="L89" s="561"/>
      <c r="M89" s="605"/>
      <c r="N89" s="1261"/>
      <c r="O89" s="1261"/>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75" thickTop="1">
      <c r="A91" s="535"/>
      <c r="B91" s="528" t="s">
        <v>2454</v>
      </c>
      <c r="C91" s="556" t="s">
        <v>2406</v>
      </c>
      <c r="D91" s="556" t="s">
        <v>2407</v>
      </c>
      <c r="E91" s="556" t="s">
        <v>2408</v>
      </c>
      <c r="F91" s="556" t="s">
        <v>2409</v>
      </c>
      <c r="G91" s="556" t="s">
        <v>2410</v>
      </c>
      <c r="H91" s="583"/>
      <c r="I91" s="583"/>
      <c r="J91" s="583"/>
      <c r="K91" s="583"/>
      <c r="L91" s="584"/>
      <c r="M91" s="585"/>
      <c r="N91" s="1264"/>
      <c r="O91" s="1264"/>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75" thickTop="1">
      <c r="A93" s="535"/>
      <c r="B93" s="520" t="s">
        <v>2455</v>
      </c>
      <c r="C93" s="521" t="s">
        <v>2413</v>
      </c>
      <c r="D93" s="521" t="s">
        <v>2414</v>
      </c>
      <c r="E93" s="521" t="s">
        <v>2415</v>
      </c>
      <c r="F93" s="521" t="s">
        <v>2416</v>
      </c>
      <c r="G93" s="521" t="s">
        <v>2417</v>
      </c>
      <c r="H93" s="583"/>
      <c r="I93" s="583"/>
      <c r="J93" s="583"/>
      <c r="K93" s="583"/>
      <c r="L93" s="583"/>
      <c r="M93" s="585"/>
      <c r="N93" s="1264"/>
      <c r="O93" s="1264"/>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75" thickTop="1">
      <c r="A95" s="515"/>
      <c r="B95" s="520" t="str">
        <f>B27</f>
        <v>临街状况</v>
      </c>
      <c r="C95" s="521" t="s">
        <v>2584</v>
      </c>
      <c r="D95" s="521" t="s">
        <v>2585</v>
      </c>
      <c r="E95" s="521" t="s">
        <v>2586</v>
      </c>
      <c r="F95" s="521" t="s">
        <v>2587</v>
      </c>
      <c r="G95" s="521"/>
      <c r="H95" s="521"/>
      <c r="I95" s="521"/>
      <c r="J95" s="521"/>
      <c r="K95" s="522"/>
      <c r="L95" s="523"/>
      <c r="M95" s="524"/>
      <c r="N95" s="1262"/>
      <c r="O95" s="1262"/>
      <c r="P95" s="22"/>
      <c r="Q95" s="484"/>
    </row>
    <row r="96" spans="1:17" ht="15.75" thickBot="1">
      <c r="A96" s="515"/>
      <c r="B96" s="525"/>
      <c r="C96" s="526">
        <v>100</v>
      </c>
      <c r="D96" s="526">
        <f t="shared" ref="D96:M96" si="21">C96-$K27</f>
        <v>100</v>
      </c>
      <c r="E96" s="526">
        <f t="shared" si="21"/>
        <v>100</v>
      </c>
      <c r="F96" s="526">
        <f t="shared" si="21"/>
        <v>100</v>
      </c>
      <c r="G96" s="526">
        <f t="shared" si="21"/>
        <v>100</v>
      </c>
      <c r="H96" s="526">
        <f t="shared" si="21"/>
        <v>100</v>
      </c>
      <c r="I96" s="526">
        <f t="shared" si="21"/>
        <v>100</v>
      </c>
      <c r="J96" s="526">
        <f t="shared" si="21"/>
        <v>100</v>
      </c>
      <c r="K96" s="526">
        <f t="shared" si="21"/>
        <v>100</v>
      </c>
      <c r="L96" s="526">
        <f t="shared" si="21"/>
        <v>100</v>
      </c>
      <c r="M96" s="526">
        <f t="shared" si="21"/>
        <v>100</v>
      </c>
      <c r="N96" s="1263"/>
      <c r="O96" s="1263"/>
      <c r="P96" s="22"/>
      <c r="Q96" s="484"/>
    </row>
    <row r="97" spans="1:17" ht="27.75" thickTop="1">
      <c r="A97" s="515"/>
      <c r="B97" s="520" t="s">
        <v>2486</v>
      </c>
      <c r="C97" s="536"/>
      <c r="D97" s="536"/>
      <c r="E97" s="536"/>
      <c r="F97" s="536"/>
      <c r="G97" s="536"/>
      <c r="H97" s="566"/>
      <c r="I97" s="566"/>
      <c r="J97" s="566"/>
      <c r="K97" s="567"/>
      <c r="L97" s="568"/>
      <c r="M97" s="569"/>
      <c r="N97" s="1262"/>
      <c r="O97" s="1262"/>
      <c r="P97" s="22"/>
      <c r="Q97" s="484"/>
    </row>
    <row r="98" spans="1:17" ht="15.75" thickBot="1">
      <c r="A98" s="515"/>
      <c r="B98" s="525"/>
      <c r="C98" s="526">
        <v>100</v>
      </c>
      <c r="D98" s="526">
        <f t="shared" ref="D98:M98" si="22">C98-$K28</f>
        <v>100</v>
      </c>
      <c r="E98" s="526">
        <f t="shared" si="22"/>
        <v>100</v>
      </c>
      <c r="F98" s="526">
        <f t="shared" si="22"/>
        <v>100</v>
      </c>
      <c r="G98" s="526">
        <f t="shared" si="22"/>
        <v>100</v>
      </c>
      <c r="H98" s="526">
        <f t="shared" si="22"/>
        <v>100</v>
      </c>
      <c r="I98" s="526">
        <f t="shared" si="22"/>
        <v>100</v>
      </c>
      <c r="J98" s="526">
        <f t="shared" si="22"/>
        <v>100</v>
      </c>
      <c r="K98" s="526">
        <f t="shared" si="22"/>
        <v>100</v>
      </c>
      <c r="L98" s="526">
        <f t="shared" si="22"/>
        <v>100</v>
      </c>
      <c r="M98" s="526">
        <f t="shared" si="22"/>
        <v>100</v>
      </c>
      <c r="N98" s="1263"/>
      <c r="O98" s="1263"/>
      <c r="P98" s="22"/>
      <c r="Q98" s="484"/>
    </row>
    <row r="99" spans="1:17" ht="15.75" thickTop="1">
      <c r="A99" s="515"/>
      <c r="B99" s="520" t="s">
        <v>2553</v>
      </c>
      <c r="C99" s="566"/>
      <c r="D99" s="566"/>
      <c r="E99" s="566"/>
      <c r="F99" s="566"/>
      <c r="G99" s="566"/>
      <c r="H99" s="566"/>
      <c r="I99" s="566"/>
      <c r="J99" s="566"/>
      <c r="K99" s="567"/>
      <c r="L99" s="568"/>
      <c r="M99" s="569"/>
      <c r="N99" s="1262"/>
      <c r="O99" s="1262"/>
      <c r="P99" s="22"/>
      <c r="Q99" s="484"/>
    </row>
    <row r="100" spans="1:17" ht="15.75" thickBot="1">
      <c r="A100" s="515"/>
      <c r="B100" s="525"/>
      <c r="C100" s="526">
        <v>100</v>
      </c>
      <c r="D100" s="526">
        <f t="shared" ref="D100:M100" si="23">C100-$K30</f>
        <v>100</v>
      </c>
      <c r="E100" s="526">
        <f t="shared" si="23"/>
        <v>100</v>
      </c>
      <c r="F100" s="526">
        <f t="shared" si="23"/>
        <v>100</v>
      </c>
      <c r="G100" s="526">
        <f t="shared" si="23"/>
        <v>100</v>
      </c>
      <c r="H100" s="526">
        <f t="shared" si="23"/>
        <v>100</v>
      </c>
      <c r="I100" s="526">
        <f t="shared" si="23"/>
        <v>100</v>
      </c>
      <c r="J100" s="526">
        <f t="shared" si="23"/>
        <v>100</v>
      </c>
      <c r="K100" s="526">
        <f t="shared" si="23"/>
        <v>100</v>
      </c>
      <c r="L100" s="526">
        <f t="shared" si="23"/>
        <v>100</v>
      </c>
      <c r="M100" s="526">
        <f t="shared" si="23"/>
        <v>100</v>
      </c>
      <c r="N100" s="1263"/>
      <c r="O100" s="1263"/>
      <c r="P100" s="22"/>
      <c r="Q100" s="484"/>
    </row>
    <row r="101" spans="1:17" ht="15.75" thickTop="1">
      <c r="A101" s="515"/>
      <c r="B101" s="528">
        <f>B31</f>
        <v>111</v>
      </c>
      <c r="C101" s="536"/>
      <c r="D101" s="536"/>
      <c r="E101" s="536"/>
      <c r="F101" s="536"/>
      <c r="G101" s="570"/>
      <c r="H101" s="570"/>
      <c r="I101" s="570"/>
      <c r="J101" s="570"/>
      <c r="K101" s="571"/>
      <c r="L101" s="572"/>
      <c r="M101" s="573"/>
      <c r="N101" s="1262"/>
      <c r="O101" s="1262"/>
      <c r="P101" s="22"/>
      <c r="Q101" s="484"/>
    </row>
    <row r="102" spans="1:17" ht="15.75" thickBot="1">
      <c r="A102" s="515"/>
      <c r="B102" s="552"/>
      <c r="C102" s="543"/>
      <c r="D102" s="517"/>
      <c r="E102" s="517"/>
      <c r="F102" s="517"/>
      <c r="G102" s="574"/>
      <c r="H102" s="574"/>
      <c r="I102" s="574"/>
      <c r="J102" s="574"/>
      <c r="K102" s="574"/>
      <c r="L102" s="574"/>
      <c r="M102" s="575"/>
      <c r="N102" s="1263"/>
      <c r="O102" s="1263"/>
      <c r="P102" s="22"/>
      <c r="Q102" s="484"/>
    </row>
    <row r="103" spans="1:17" ht="15" thickTop="1">
      <c r="A103" s="657"/>
      <c r="B103" s="520">
        <f>B32</f>
        <v>111</v>
      </c>
      <c r="C103" s="536"/>
      <c r="D103" s="536"/>
      <c r="E103" s="536"/>
      <c r="F103" s="536"/>
      <c r="G103" s="566"/>
      <c r="H103" s="566"/>
      <c r="I103" s="566"/>
      <c r="J103" s="566"/>
      <c r="K103" s="567"/>
      <c r="L103" s="568"/>
      <c r="M103" s="569"/>
      <c r="N103" s="1262"/>
      <c r="O103" s="1262"/>
      <c r="P103" s="22"/>
      <c r="Q103" s="484"/>
    </row>
    <row r="104" spans="1:17" ht="15.75" thickBot="1">
      <c r="A104" s="515"/>
      <c r="B104" s="525"/>
      <c r="C104" s="543"/>
      <c r="D104" s="543"/>
      <c r="E104" s="543"/>
      <c r="F104" s="543"/>
      <c r="G104" s="517"/>
      <c r="H104" s="517"/>
      <c r="I104" s="517"/>
      <c r="J104" s="517"/>
      <c r="K104" s="517"/>
      <c r="L104" s="517"/>
      <c r="M104" s="518"/>
      <c r="N104" s="1263"/>
      <c r="O104" s="1263"/>
      <c r="P104" s="22"/>
      <c r="Q104" s="484"/>
    </row>
    <row r="105" spans="1:17" s="451" customFormat="1" ht="15"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5.75" thickBot="1">
      <c r="A106" s="535"/>
      <c r="B106" s="528"/>
      <c r="C106" s="553"/>
      <c r="D106" s="553"/>
      <c r="E106" s="553"/>
      <c r="F106" s="553"/>
      <c r="G106" s="659"/>
      <c r="H106" s="659"/>
      <c r="I106" s="659"/>
      <c r="J106" s="659"/>
      <c r="K106" s="659"/>
      <c r="L106" s="659"/>
      <c r="M106" s="682"/>
      <c r="N106" s="1263"/>
      <c r="O106" s="1263"/>
      <c r="P106" s="541"/>
      <c r="Q106" s="542"/>
    </row>
    <row r="107" spans="1:17">
      <c r="A107" s="507" t="s">
        <v>2372</v>
      </c>
      <c r="B107" s="508" t="s">
        <v>2588</v>
      </c>
      <c r="C107" s="1852" t="str">
        <f t="shared" ref="C107:L107" si="24">C108&amp;"(含)"&amp;"-"&amp;D108</f>
        <v>(含)-</v>
      </c>
      <c r="D107" s="1852" t="str">
        <f t="shared" si="24"/>
        <v>(含)-</v>
      </c>
      <c r="E107" s="1852" t="str">
        <f t="shared" si="24"/>
        <v>(含)-</v>
      </c>
      <c r="F107" s="1852" t="str">
        <f t="shared" si="24"/>
        <v>(含)-</v>
      </c>
      <c r="G107" s="1852" t="str">
        <f t="shared" si="24"/>
        <v>(含)-</v>
      </c>
      <c r="H107" s="1852" t="str">
        <f t="shared" si="24"/>
        <v>(含)-</v>
      </c>
      <c r="I107" s="1852" t="str">
        <f t="shared" si="24"/>
        <v>(含)-</v>
      </c>
      <c r="J107" s="1852" t="str">
        <f t="shared" si="24"/>
        <v>(含)-</v>
      </c>
      <c r="K107" s="1852" t="str">
        <f t="shared" si="24"/>
        <v>(含)-</v>
      </c>
      <c r="L107" s="1853" t="str">
        <f t="shared" si="24"/>
        <v>(含)-</v>
      </c>
      <c r="M107" s="1854" t="str">
        <f>M108&amp;"(含)"&amp;"-"&amp;P108</f>
        <v>(含)-</v>
      </c>
      <c r="N107" s="1262"/>
      <c r="O107" s="1262"/>
      <c r="P107" s="22"/>
      <c r="Q107" s="484"/>
    </row>
    <row r="108" spans="1:17" ht="15">
      <c r="A108" s="515"/>
      <c r="B108" s="528"/>
      <c r="C108" s="578"/>
      <c r="D108" s="578"/>
      <c r="E108" s="578"/>
      <c r="F108" s="578"/>
      <c r="G108" s="578"/>
      <c r="H108" s="578"/>
      <c r="I108" s="578"/>
      <c r="J108" s="579"/>
      <c r="K108" s="579"/>
      <c r="L108" s="580"/>
      <c r="M108" s="581"/>
      <c r="N108" s="1262"/>
      <c r="O108" s="1262"/>
      <c r="P108" s="22"/>
      <c r="Q108" s="484"/>
    </row>
    <row r="109" spans="1:17" ht="15.75"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2589</v>
      </c>
      <c r="C110" s="566"/>
      <c r="D110" s="566"/>
      <c r="E110" s="566"/>
      <c r="F110" s="566"/>
      <c r="G110" s="566"/>
      <c r="H110" s="566"/>
      <c r="I110" s="566"/>
      <c r="J110" s="566"/>
      <c r="K110" s="567"/>
      <c r="L110" s="568"/>
      <c r="M110" s="569"/>
      <c r="N110" s="1262"/>
      <c r="O110" s="1262"/>
      <c r="P110" s="22"/>
      <c r="Q110" s="484"/>
    </row>
    <row r="111" spans="1:17" ht="15.75" thickBot="1">
      <c r="A111" s="515"/>
      <c r="B111" s="525"/>
      <c r="C111" s="526">
        <v>100</v>
      </c>
      <c r="D111" s="526">
        <f t="shared" ref="D111:M111" si="25">C111-$K35</f>
        <v>100</v>
      </c>
      <c r="E111" s="526">
        <f t="shared" si="25"/>
        <v>100</v>
      </c>
      <c r="F111" s="526">
        <f t="shared" si="25"/>
        <v>100</v>
      </c>
      <c r="G111" s="526">
        <f t="shared" si="25"/>
        <v>100</v>
      </c>
      <c r="H111" s="526">
        <f t="shared" si="25"/>
        <v>100</v>
      </c>
      <c r="I111" s="526">
        <f t="shared" si="25"/>
        <v>100</v>
      </c>
      <c r="J111" s="526">
        <f t="shared" si="25"/>
        <v>100</v>
      </c>
      <c r="K111" s="526">
        <f t="shared" si="25"/>
        <v>100</v>
      </c>
      <c r="L111" s="526">
        <f t="shared" si="25"/>
        <v>100</v>
      </c>
      <c r="M111" s="527">
        <f t="shared" si="25"/>
        <v>100</v>
      </c>
      <c r="N111" s="1263"/>
      <c r="O111" s="1263"/>
      <c r="P111" s="22"/>
      <c r="Q111" s="484"/>
    </row>
    <row r="112" spans="1:17" s="451" customFormat="1" ht="15" thickTop="1">
      <c r="A112" s="576"/>
      <c r="B112" s="520" t="s">
        <v>2591</v>
      </c>
      <c r="C112" s="536"/>
      <c r="D112" s="536"/>
      <c r="E112" s="536"/>
      <c r="F112" s="536"/>
      <c r="G112" s="536"/>
      <c r="H112" s="566"/>
      <c r="I112" s="566"/>
      <c r="J112" s="566"/>
      <c r="K112" s="567"/>
      <c r="L112" s="568"/>
      <c r="M112" s="569"/>
      <c r="N112" s="1264"/>
      <c r="O112" s="1264"/>
      <c r="P112" s="541"/>
      <c r="Q112" s="542"/>
    </row>
    <row r="113" spans="1:17" s="451" customFormat="1" ht="15.75" thickBot="1">
      <c r="A113" s="535"/>
      <c r="B113" s="525"/>
      <c r="C113" s="526">
        <v>100</v>
      </c>
      <c r="D113" s="526">
        <f t="shared" ref="D113:M113" si="26">C113-$K36</f>
        <v>100</v>
      </c>
      <c r="E113" s="526">
        <f t="shared" si="26"/>
        <v>100</v>
      </c>
      <c r="F113" s="526">
        <f t="shared" si="26"/>
        <v>100</v>
      </c>
      <c r="G113" s="526">
        <f t="shared" si="26"/>
        <v>100</v>
      </c>
      <c r="H113" s="526">
        <f t="shared" si="26"/>
        <v>100</v>
      </c>
      <c r="I113" s="526">
        <f t="shared" si="26"/>
        <v>100</v>
      </c>
      <c r="J113" s="526">
        <f t="shared" si="26"/>
        <v>100</v>
      </c>
      <c r="K113" s="526">
        <f t="shared" si="26"/>
        <v>100</v>
      </c>
      <c r="L113" s="526">
        <f t="shared" si="26"/>
        <v>100</v>
      </c>
      <c r="M113" s="527">
        <f t="shared" si="26"/>
        <v>100</v>
      </c>
      <c r="N113" s="1264"/>
      <c r="O113" s="1264"/>
      <c r="P113" s="541"/>
      <c r="Q113" s="542"/>
    </row>
    <row r="114" spans="1:17" ht="15" thickTop="1">
      <c r="A114" s="582"/>
      <c r="B114" s="520" t="s">
        <v>2592</v>
      </c>
      <c r="C114" s="536"/>
      <c r="D114" s="536"/>
      <c r="E114" s="566"/>
      <c r="F114" s="566"/>
      <c r="G114" s="566"/>
      <c r="H114" s="566"/>
      <c r="I114" s="566"/>
      <c r="J114" s="566"/>
      <c r="K114" s="567"/>
      <c r="L114" s="568"/>
      <c r="M114" s="569"/>
      <c r="N114" s="1262"/>
      <c r="O114" s="1262"/>
      <c r="P114" s="22"/>
      <c r="Q114" s="484"/>
    </row>
    <row r="115" spans="1:17" ht="15.75" thickBot="1">
      <c r="A115" s="515"/>
      <c r="B115" s="525"/>
      <c r="C115" s="526">
        <v>100</v>
      </c>
      <c r="D115" s="526">
        <f t="shared" ref="D115:M115" si="27">C115-$K37</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2"/>
      <c r="Q115" s="484"/>
    </row>
    <row r="116" spans="1:17" ht="15" thickTop="1">
      <c r="A116" s="582"/>
      <c r="B116" s="520">
        <f>B38</f>
        <v>111</v>
      </c>
      <c r="C116" s="536"/>
      <c r="D116" s="536"/>
      <c r="E116" s="536"/>
      <c r="F116" s="536"/>
      <c r="G116" s="536"/>
      <c r="H116" s="566"/>
      <c r="I116" s="566"/>
      <c r="J116" s="566"/>
      <c r="K116" s="567"/>
      <c r="L116" s="568"/>
      <c r="M116" s="569"/>
      <c r="N116" s="1262"/>
      <c r="O116" s="1262"/>
      <c r="P116" s="22"/>
      <c r="Q116" s="484"/>
    </row>
    <row r="117" spans="1:17" ht="15.75" thickBot="1">
      <c r="A117" s="515"/>
      <c r="B117" s="525"/>
      <c r="C117" s="543"/>
      <c r="D117" s="517"/>
      <c r="E117" s="517"/>
      <c r="F117" s="517"/>
      <c r="G117" s="517"/>
      <c r="H117" s="517"/>
      <c r="I117" s="517"/>
      <c r="J117" s="517"/>
      <c r="K117" s="517"/>
      <c r="L117" s="517"/>
      <c r="M117" s="518"/>
      <c r="N117" s="1263"/>
      <c r="O117" s="1263"/>
      <c r="P117" s="22"/>
      <c r="Q117" s="484"/>
    </row>
    <row r="118" spans="1:17" ht="15" thickTop="1">
      <c r="A118" s="582"/>
      <c r="B118" s="520">
        <f>B39</f>
        <v>111</v>
      </c>
      <c r="C118" s="536"/>
      <c r="D118" s="536"/>
      <c r="E118" s="536"/>
      <c r="F118" s="536"/>
      <c r="G118" s="566"/>
      <c r="H118" s="566"/>
      <c r="I118" s="566"/>
      <c r="J118" s="566"/>
      <c r="K118" s="567"/>
      <c r="L118" s="568"/>
      <c r="M118" s="569"/>
      <c r="N118" s="1262"/>
      <c r="O118" s="1262"/>
      <c r="P118" s="22"/>
      <c r="Q118" s="484"/>
    </row>
    <row r="119" spans="1:17" ht="15.75" thickBot="1">
      <c r="A119" s="515"/>
      <c r="B119" s="525"/>
      <c r="C119" s="543"/>
      <c r="D119" s="543"/>
      <c r="E119" s="543"/>
      <c r="F119" s="543"/>
      <c r="G119" s="517"/>
      <c r="H119" s="517"/>
      <c r="I119" s="517"/>
      <c r="J119" s="517"/>
      <c r="K119" s="517"/>
      <c r="L119" s="517"/>
      <c r="M119" s="518"/>
      <c r="N119" s="1263"/>
      <c r="O119" s="1263"/>
      <c r="P119" s="22"/>
      <c r="Q119" s="484"/>
    </row>
    <row r="120" spans="1:17" s="451" customFormat="1" ht="15"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5.75" thickBot="1">
      <c r="A121" s="1269"/>
      <c r="B121" s="2499"/>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0" t="s">
        <v>2600</v>
      </c>
      <c r="B1" s="2500"/>
      <c r="C1" s="161" t="s">
        <v>2601</v>
      </c>
      <c r="D1" s="2501">
        <f>SUM(D29:D30,D33:D39)</f>
        <v>0</v>
      </c>
      <c r="E1" s="2501"/>
      <c r="F1" s="2501"/>
      <c r="G1" s="2501"/>
      <c r="H1" s="2501"/>
      <c r="I1" s="2501"/>
      <c r="J1" s="2501"/>
      <c r="L1" s="2502" t="s">
        <v>2602</v>
      </c>
      <c r="M1" s="1114">
        <f>SUMPRODUCT((区片价!B5:B9=I2)*(区片价!C3:F3=E2)*(区片价!C5:F9))</f>
        <v>0</v>
      </c>
      <c r="N1" s="1117">
        <f>SUMPRODUCT((因素修正幅度!B5:B9=I2)*(因素修正幅度!C3:F3=E2)*(因素修正幅度!C5:F9))</f>
        <v>0</v>
      </c>
      <c r="O1" s="1457"/>
      <c r="P1" s="1457"/>
      <c r="Q1" s="1457"/>
      <c r="R1" s="1704" t="s">
        <v>2603</v>
      </c>
      <c r="S1" s="1704" t="s">
        <v>2604</v>
      </c>
      <c r="T1" s="1704" t="s">
        <v>2605</v>
      </c>
      <c r="U1" s="1704" t="s">
        <v>2606</v>
      </c>
      <c r="V1" s="1704" t="s">
        <v>2607</v>
      </c>
      <c r="W1" s="1708"/>
      <c r="X1" s="1708"/>
      <c r="Y1" s="1708"/>
      <c r="Z1" s="1708"/>
      <c r="AA1" s="1708"/>
      <c r="AB1" s="1708"/>
      <c r="AC1" s="1709"/>
      <c r="AD1" s="1710"/>
      <c r="AE1" s="1710"/>
      <c r="AF1" s="1710"/>
      <c r="AG1" s="1710"/>
      <c r="AH1" s="1710"/>
      <c r="AI1" s="1710"/>
      <c r="AJ1" s="1711"/>
    </row>
    <row r="2" spans="1:36" ht="24.75">
      <c r="A2" s="164" t="s">
        <v>2608</v>
      </c>
      <c r="B2" s="167" t="e">
        <f>C26</f>
        <v>#DIV/0!</v>
      </c>
      <c r="C2" s="2504" t="s">
        <v>2609</v>
      </c>
      <c r="D2" s="2505" t="s">
        <v>2610</v>
      </c>
      <c r="E2" s="2506"/>
      <c r="F2" s="2505" t="s">
        <v>2611</v>
      </c>
      <c r="G2" s="2507">
        <f>项目基本情况!F9</f>
        <v>0</v>
      </c>
      <c r="H2" s="2508" t="s">
        <v>2612</v>
      </c>
      <c r="I2" s="2507">
        <f>项目基本情况!F10</f>
        <v>0</v>
      </c>
      <c r="J2" s="2509"/>
      <c r="L2" s="2510" t="s">
        <v>2613</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6" t="s">
        <v>2614</v>
      </c>
      <c r="B3" s="167" t="e">
        <f>ROUND(B2/D1,0)</f>
        <v>#DIV/0!</v>
      </c>
      <c r="C3" s="2504" t="s">
        <v>2615</v>
      </c>
      <c r="D3" s="2505" t="s">
        <v>2616</v>
      </c>
      <c r="E3" s="2511"/>
      <c r="F3" s="2512" t="s">
        <v>2617</v>
      </c>
      <c r="G3" s="939">
        <f>项目基本情况!C15</f>
        <v>0</v>
      </c>
      <c r="H3" s="114" t="s">
        <v>2618</v>
      </c>
      <c r="I3" s="972">
        <v>7</v>
      </c>
      <c r="J3" s="2509" t="s">
        <v>2619</v>
      </c>
      <c r="L3" s="2510" t="s">
        <v>2620</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71"/>
      <c r="B4" s="3072"/>
      <c r="C4" s="3072"/>
      <c r="D4" s="3073"/>
      <c r="E4" s="3073"/>
      <c r="F4" s="3073"/>
      <c r="G4" s="3073"/>
      <c r="H4" s="3073"/>
      <c r="I4" s="3073"/>
      <c r="J4" s="3074"/>
      <c r="L4" s="2510" t="s">
        <v>2621</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2" customFormat="1" ht="15.75" thickBot="1">
      <c r="A5" s="2513" t="s">
        <v>2622</v>
      </c>
      <c r="B5" s="2514" t="s">
        <v>2623</v>
      </c>
      <c r="C5" s="940" t="e">
        <f>ROUND(IF(E2="商业",IF(F16="增加",C6*C7+C16,C6*C7-C16),IF(E2="住宅",IF(F16="增加",C6*C12+C16,C6*C12-C16),IF(F16="增加",C6+C16,C6-C16))),0)</f>
        <v>#DIV/0!</v>
      </c>
      <c r="D5" s="1872">
        <f>ROUND(IF(E2="商业",IF(F16="增加",C6+C16,C6-C16)),0)</f>
        <v>0</v>
      </c>
      <c r="E5" s="2515"/>
      <c r="F5" s="2515"/>
      <c r="G5" s="2516"/>
      <c r="H5" s="2516"/>
      <c r="I5" s="2516"/>
      <c r="J5" s="2517"/>
      <c r="K5" s="2518"/>
      <c r="L5" s="2510" t="s">
        <v>2624</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9"/>
      <c r="AD5" s="2520"/>
      <c r="AE5" s="2520"/>
      <c r="AF5" s="2520"/>
      <c r="AG5" s="2520"/>
      <c r="AH5" s="2520"/>
      <c r="AI5" s="2520"/>
      <c r="AJ5" s="2521"/>
    </row>
    <row r="6" spans="1:36" ht="15.75" thickBot="1">
      <c r="A6" s="2523">
        <v>1</v>
      </c>
      <c r="B6" s="2524" t="s">
        <v>2625</v>
      </c>
      <c r="C6" s="941">
        <f>SUMIF(L1:L12,G2,M1:M12)</f>
        <v>0</v>
      </c>
      <c r="D6" s="2525" t="s">
        <v>2626</v>
      </c>
      <c r="E6" s="2526"/>
      <c r="F6" s="2526"/>
      <c r="G6" s="2527"/>
      <c r="H6" s="2527"/>
      <c r="I6" s="2527"/>
      <c r="J6" s="2528"/>
      <c r="K6" s="2529"/>
      <c r="L6" s="2510" t="s">
        <v>2627</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9"/>
      <c r="AD6" s="2520"/>
      <c r="AE6" s="2520"/>
      <c r="AF6" s="2520"/>
      <c r="AG6" s="2520"/>
      <c r="AH6" s="2520"/>
      <c r="AI6" s="2520"/>
      <c r="AJ6" s="2521"/>
    </row>
    <row r="7" spans="1:36" ht="24">
      <c r="A7" s="3055" t="str">
        <f>IF(E2="商业",IF(C8="不临58条商业街","",2),"")</f>
        <v/>
      </c>
      <c r="B7" s="2530" t="s">
        <v>2628</v>
      </c>
      <c r="C7" s="942" t="e">
        <f>IF(C8="不临58条商业街",1,ROUND(1+(1.6*E8+1.2*E9+0.8*E10+0.4*E11)*C9,4))</f>
        <v>#DIV/0!</v>
      </c>
      <c r="D7" s="2531" t="s">
        <v>2629</v>
      </c>
      <c r="E7" s="973"/>
      <c r="F7" s="2532"/>
      <c r="G7" s="2533"/>
      <c r="H7" s="2533"/>
      <c r="I7" s="2533"/>
      <c r="J7" s="2534"/>
      <c r="K7" s="2529"/>
      <c r="L7" s="2510" t="s">
        <v>2630</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2631</v>
      </c>
      <c r="X7" s="1706">
        <f>G2</f>
        <v>0</v>
      </c>
      <c r="Y7" s="1706" t="s">
        <v>2632</v>
      </c>
      <c r="Z7" s="1707">
        <f>G3</f>
        <v>0</v>
      </c>
      <c r="AA7" s="1708"/>
      <c r="AB7" s="1708"/>
      <c r="AC7" s="1709"/>
      <c r="AD7" s="1710"/>
      <c r="AE7" s="1710"/>
      <c r="AF7" s="1710"/>
      <c r="AG7" s="1710"/>
      <c r="AH7" s="1710"/>
      <c r="AI7" s="1710"/>
      <c r="AJ7" s="1711"/>
    </row>
    <row r="8" spans="1:36" ht="15">
      <c r="A8" s="3056"/>
      <c r="B8" s="114" t="s">
        <v>2633</v>
      </c>
      <c r="C8" s="2535"/>
      <c r="D8" s="943" t="s">
        <v>89</v>
      </c>
      <c r="E8" s="944" t="e">
        <f>ROUND(C11/E7,4)</f>
        <v>#DIV/0!</v>
      </c>
      <c r="F8" s="2536" t="s">
        <v>2634</v>
      </c>
      <c r="G8" s="2537"/>
      <c r="H8" s="2537"/>
      <c r="I8" s="2537"/>
      <c r="J8" s="2538"/>
      <c r="L8" s="2510" t="s">
        <v>2635</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68" t="s">
        <v>2636</v>
      </c>
      <c r="X8" s="3069"/>
      <c r="Y8" s="1712" t="s">
        <v>2637</v>
      </c>
      <c r="Z8" s="1712" t="s">
        <v>2638</v>
      </c>
      <c r="AA8" s="1712" t="s">
        <v>2639</v>
      </c>
      <c r="AB8" s="1712" t="s">
        <v>2640</v>
      </c>
      <c r="AC8" s="1712" t="s">
        <v>2641</v>
      </c>
      <c r="AD8" s="1712" t="s">
        <v>2642</v>
      </c>
      <c r="AE8" s="1712" t="s">
        <v>2643</v>
      </c>
      <c r="AF8" s="1712" t="s">
        <v>2644</v>
      </c>
      <c r="AG8" s="1712" t="s">
        <v>2645</v>
      </c>
      <c r="AH8" s="1712" t="s">
        <v>2646</v>
      </c>
      <c r="AI8" s="1712" t="s">
        <v>2647</v>
      </c>
      <c r="AJ8" s="1712" t="s">
        <v>2648</v>
      </c>
    </row>
    <row r="9" spans="1:36" ht="15">
      <c r="A9" s="3056"/>
      <c r="B9" s="114" t="s">
        <v>2649</v>
      </c>
      <c r="C9" s="945">
        <f>SUMIF(修正!C59:C119,C8,修正!E59:E119)</f>
        <v>0</v>
      </c>
      <c r="D9" s="116" t="s">
        <v>90</v>
      </c>
      <c r="E9" s="116" t="e">
        <f>ROUND(C11/E7,4)</f>
        <v>#DIV/0!</v>
      </c>
      <c r="F9" s="2536" t="s">
        <v>2650</v>
      </c>
      <c r="G9" s="2537"/>
      <c r="H9" s="2537"/>
      <c r="I9" s="2537"/>
      <c r="J9" s="2538"/>
      <c r="L9" s="2510" t="s">
        <v>2651</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70" t="s">
        <v>2652</v>
      </c>
      <c r="X9" s="1713" t="s">
        <v>2653</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56"/>
      <c r="B10" s="114" t="s">
        <v>2654</v>
      </c>
      <c r="C10" s="116">
        <f>SUMIF(修正!C59:C119,C8,修正!F59:F119)</f>
        <v>0</v>
      </c>
      <c r="D10" s="116" t="s">
        <v>91</v>
      </c>
      <c r="E10" s="116" t="e">
        <f>ROUND(C11/E7,4)</f>
        <v>#DIV/0!</v>
      </c>
      <c r="F10" s="2536" t="s">
        <v>2655</v>
      </c>
      <c r="G10" s="2537"/>
      <c r="H10" s="2537"/>
      <c r="I10" s="2537"/>
      <c r="J10" s="2538"/>
      <c r="L10" s="2510" t="s">
        <v>2656</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70"/>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56"/>
      <c r="B11" s="2539" t="s">
        <v>2657</v>
      </c>
      <c r="C11" s="946">
        <f>C10/4</f>
        <v>0</v>
      </c>
      <c r="D11" s="946" t="s">
        <v>92</v>
      </c>
      <c r="E11" s="946" t="e">
        <f>ROUND(C11/E7,4)</f>
        <v>#DIV/0!</v>
      </c>
      <c r="F11" s="2540" t="s">
        <v>2658</v>
      </c>
      <c r="G11" s="2541"/>
      <c r="H11" s="2541"/>
      <c r="I11" s="2541"/>
      <c r="J11" s="2542"/>
      <c r="L11" s="2510" t="s">
        <v>2659</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70" t="s">
        <v>2660</v>
      </c>
      <c r="X11" s="1717" t="s">
        <v>2661</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55" t="str">
        <f>IF(E2="住宅",2,"")</f>
        <v/>
      </c>
      <c r="B12" s="2543" t="s">
        <v>2662</v>
      </c>
      <c r="C12" s="942">
        <f>ROUND(C15*D15*E15*F15*G15*H15*I15*J15,4)</f>
        <v>1.32</v>
      </c>
      <c r="D12" s="2544" t="s">
        <v>2663</v>
      </c>
      <c r="E12" s="2545"/>
      <c r="F12" s="2545"/>
      <c r="G12" s="2546"/>
      <c r="H12" s="2546"/>
      <c r="I12" s="2546"/>
      <c r="J12" s="2547"/>
      <c r="L12" s="2548" t="s">
        <v>2664</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70"/>
      <c r="X12" s="1719" t="s">
        <v>2665</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75"/>
      <c r="B13" s="2549" t="s">
        <v>2666</v>
      </c>
      <c r="C13" s="2550" t="s">
        <v>2667</v>
      </c>
      <c r="D13" s="2551" t="s">
        <v>2668</v>
      </c>
      <c r="E13" s="2551" t="s">
        <v>2669</v>
      </c>
      <c r="F13" s="20" t="s">
        <v>2670</v>
      </c>
      <c r="G13" s="2552" t="s">
        <v>2671</v>
      </c>
      <c r="H13" s="2552" t="s">
        <v>2671</v>
      </c>
      <c r="I13" s="2552" t="s">
        <v>2671</v>
      </c>
      <c r="J13" s="2553" t="s">
        <v>2671</v>
      </c>
      <c r="L13" s="1457"/>
      <c r="M13" s="1457"/>
      <c r="N13" s="1457"/>
      <c r="O13" s="1457"/>
      <c r="P13" s="1457"/>
      <c r="Q13" s="1457"/>
      <c r="R13" s="1704">
        <v>12</v>
      </c>
      <c r="S13" s="1705"/>
      <c r="T13" s="1704" t="e">
        <f t="shared" si="0"/>
        <v>#DIV/0!</v>
      </c>
      <c r="U13" s="1705"/>
      <c r="V13" s="1704" t="e">
        <f t="shared" si="1"/>
        <v>#DIV/0!</v>
      </c>
      <c r="W13" s="3070"/>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75"/>
      <c r="B14" s="2554"/>
      <c r="C14" s="2555" t="s">
        <v>2672</v>
      </c>
      <c r="D14" s="2556" t="s">
        <v>2673</v>
      </c>
      <c r="E14" s="2556" t="s">
        <v>2673</v>
      </c>
      <c r="F14" s="2557" t="s">
        <v>2674</v>
      </c>
      <c r="G14" s="2558" t="s">
        <v>2675</v>
      </c>
      <c r="H14" s="2559"/>
      <c r="I14" s="2560"/>
      <c r="J14" s="2561"/>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76"/>
      <c r="B15" s="2562" t="s">
        <v>2676</v>
      </c>
      <c r="C15" s="149">
        <f>IF(C14="有",1.1,1)</f>
        <v>1.1000000000000001</v>
      </c>
      <c r="D15" s="149">
        <f>IF(D14="有",1.1,1)</f>
        <v>1</v>
      </c>
      <c r="E15" s="149">
        <f>IF(E14="有",1.1,1)</f>
        <v>1</v>
      </c>
      <c r="F15" s="149">
        <f>IF(F14="500米范围内",1.2,IF(F14="500-1000米",1.1,1))</f>
        <v>1.2</v>
      </c>
      <c r="G15" s="974">
        <v>1</v>
      </c>
      <c r="H15" s="974">
        <v>1</v>
      </c>
      <c r="I15" s="974">
        <v>1</v>
      </c>
      <c r="J15" s="975">
        <v>1</v>
      </c>
      <c r="L15" s="2563" t="s">
        <v>2677</v>
      </c>
      <c r="M15" s="943" t="s">
        <v>2678</v>
      </c>
      <c r="N15" s="943" t="s">
        <v>2679</v>
      </c>
      <c r="O15" s="943" t="s">
        <v>2680</v>
      </c>
      <c r="P15" s="2564" t="s">
        <v>2681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55" t="b">
        <f>IF(E2="办公",2,IF(E2="工业",2,IF(E2="住宅",3,IF(E2="商业",IF(C8="不临58条商业街",2,3)))))</f>
        <v>0</v>
      </c>
      <c r="B16" s="2530" t="s">
        <v>2682</v>
      </c>
      <c r="C16" s="1880" t="e">
        <f>ROUND(SUM(G17:J17)/C17,0)</f>
        <v>#DIV/0!</v>
      </c>
      <c r="D16" s="2565" t="s">
        <v>2683</v>
      </c>
      <c r="E16" s="2566"/>
      <c r="F16" s="2567"/>
      <c r="G16" s="2568"/>
      <c r="H16" s="2568"/>
      <c r="I16" s="2568"/>
      <c r="J16" s="2569"/>
      <c r="L16" s="1455" t="s">
        <v>2684</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56"/>
      <c r="B17" s="2570" t="s">
        <v>2685</v>
      </c>
      <c r="C17" s="947">
        <f>SUMPRODUCT((修正!A2:A5=E2)*(修正!B1:M1=G2)*(修正!B2:M5))</f>
        <v>0</v>
      </c>
      <c r="D17" s="2571" t="s">
        <v>2686</v>
      </c>
      <c r="E17" s="946" t="str">
        <f>IF(OR(G2="八级",G2="九级",G2="十级",G2="十一级",G2="十二级"),"五通一平","七通一平")</f>
        <v>七通一平</v>
      </c>
      <c r="F17" s="947" t="s">
        <v>2687</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2688</v>
      </c>
      <c r="M17" s="127">
        <f ca="1">ROUND($E$20*(1+M16),3)</f>
        <v>5.3999999999999999E-2</v>
      </c>
      <c r="N17" s="127">
        <f ca="1">ROUND($E$20*(1+N16),3)</f>
        <v>5.1999999999999998E-2</v>
      </c>
      <c r="O17" s="127">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2" customFormat="1" ht="15.75" thickBot="1">
      <c r="A18" s="2572" t="s">
        <v>2689</v>
      </c>
      <c r="B18" s="2573" t="s">
        <v>2690</v>
      </c>
      <c r="C18" s="949">
        <f>SUMIF(修正!C18:C39,E3,修正!E18:E39)</f>
        <v>0</v>
      </c>
      <c r="D18" s="2574"/>
      <c r="E18" s="2575"/>
      <c r="F18" s="2576"/>
      <c r="G18" s="2577"/>
      <c r="H18" s="2577"/>
      <c r="I18" s="2577"/>
      <c r="J18" s="2578"/>
      <c r="K18" s="2579"/>
      <c r="O18" s="1457"/>
      <c r="P18" s="1457"/>
      <c r="Q18" s="1457"/>
      <c r="R18" s="1457"/>
      <c r="S18" s="1457"/>
      <c r="T18" s="1457"/>
      <c r="U18" s="1457"/>
      <c r="V18" s="1457"/>
      <c r="W18" s="1457"/>
      <c r="X18" s="1457"/>
      <c r="Y18" s="1457"/>
      <c r="Z18" s="1457"/>
      <c r="AA18" s="1457"/>
      <c r="AB18" s="1457"/>
      <c r="AC18" s="1457"/>
      <c r="AD18" s="1457"/>
      <c r="AE18" s="1458"/>
      <c r="AF18" s="1458"/>
      <c r="AG18" s="2580"/>
      <c r="AH18" s="2580"/>
      <c r="AI18" s="2580"/>
    </row>
    <row r="19" spans="1:37" s="2522" customFormat="1" ht="27.75" thickBot="1">
      <c r="A19" s="2572" t="s">
        <v>2691</v>
      </c>
      <c r="B19" s="2573" t="s">
        <v>2692</v>
      </c>
      <c r="C19" s="950" t="e">
        <f>ROUND(IF(H19="按公示增长率计算",SUMPRODUCT((地价!A3:A22=YEAR(G19)&amp;"-"&amp;ROUNDUP(MONTH(G19)/3,0))*(地价!X2:AB2=E2)*(地价!X3:AB22)),IF(H19="地价指数",M20/M19,(1+I19)^O19)),4)</f>
        <v>#DIV/0!</v>
      </c>
      <c r="D19" s="2581" t="s">
        <v>2693</v>
      </c>
      <c r="E19" s="951">
        <v>41640</v>
      </c>
      <c r="F19" s="2581" t="s">
        <v>2694</v>
      </c>
      <c r="G19" s="952">
        <f>'数据-取费表'!B2</f>
        <v>43257</v>
      </c>
      <c r="H19" s="2582" t="s">
        <v>2695</v>
      </c>
      <c r="I19" s="953" t="str">
        <f>IF(H19="季度增幅（自定义）",SUMIF(N21:N24,E2,O21:O24),"")</f>
        <v/>
      </c>
      <c r="J19" s="2578"/>
      <c r="K19" s="2579"/>
      <c r="L19" s="2583" t="s">
        <v>2696</v>
      </c>
      <c r="M19" s="1821">
        <f>ROUND(SUMIF(地价!B2:F2,E2,地价!B22:F22),0)</f>
        <v>0</v>
      </c>
      <c r="N19" s="1461" t="s">
        <v>2697</v>
      </c>
      <c r="O19" s="954">
        <f>ROUNDDOWN(DATEDIF(E19,G19,"M")/3,0)</f>
        <v>17</v>
      </c>
      <c r="P19" s="1458"/>
      <c r="R19" s="1457"/>
      <c r="S19" s="1457"/>
      <c r="T19" s="1457"/>
      <c r="U19" s="1457"/>
      <c r="V19" s="1457"/>
      <c r="W19" s="1457"/>
      <c r="X19" s="1457"/>
      <c r="Y19" s="1457"/>
      <c r="Z19" s="1457"/>
      <c r="AA19" s="1457"/>
      <c r="AB19" s="1457"/>
      <c r="AC19" s="1457"/>
      <c r="AD19" s="1457"/>
      <c r="AE19" s="2579"/>
      <c r="AF19" s="2584"/>
      <c r="AG19" s="2585"/>
      <c r="AH19" s="2580"/>
      <c r="AI19" s="2586"/>
      <c r="AJ19" s="2586"/>
      <c r="AK19" s="2586"/>
    </row>
    <row r="20" spans="1:37" s="2522" customFormat="1" ht="27.75" thickBot="1">
      <c r="A20" s="2587" t="s">
        <v>2698</v>
      </c>
      <c r="B20" s="2588" t="s">
        <v>2699</v>
      </c>
      <c r="C20" s="955" t="e">
        <f>ROUND(POWER(1+G20,J20-I20)*(POWER(1+G20,I20)-1)/(POWER(1+G20,J20)-1),4)</f>
        <v>#DIV/0!</v>
      </c>
      <c r="D20" s="2589" t="s">
        <v>2700</v>
      </c>
      <c r="E20" s="1851">
        <f ca="1">存贷款利率!D4/100</f>
        <v>4.3499999999999997E-2</v>
      </c>
      <c r="F20" s="2589" t="s">
        <v>2688</v>
      </c>
      <c r="G20" s="961">
        <f>SUMIF(M15:P15,E2,M17:P17)</f>
        <v>0</v>
      </c>
      <c r="H20" s="2589" t="s">
        <v>2701</v>
      </c>
      <c r="I20" s="962">
        <f>'数据-取费表'!B13</f>
        <v>52</v>
      </c>
      <c r="J20" s="963">
        <f>IF(E2="住宅",70,IF(E2="商业",40,50))</f>
        <v>50</v>
      </c>
      <c r="K20" s="2579"/>
      <c r="L20" s="2590" t="s">
        <v>2702</v>
      </c>
      <c r="M20" s="1822">
        <f>ROUND(SUMPRODUCT((地价!A4:A22=YEAR(G19)&amp;"-"&amp;ROUNDUP(MONTH(G19)/3,0))*(地价!B2:F2=E2)*(地价!B4:F22)),0)</f>
        <v>0</v>
      </c>
      <c r="N20" s="2591" t="s">
        <v>2703</v>
      </c>
      <c r="O20" s="2592" t="s">
        <v>2704</v>
      </c>
      <c r="P20" s="2593" t="s">
        <v>2705</v>
      </c>
      <c r="R20" s="1457"/>
      <c r="S20" s="1457"/>
      <c r="T20" s="1457"/>
      <c r="U20" s="1457"/>
      <c r="V20" s="1457"/>
      <c r="W20" s="1457"/>
      <c r="X20" s="1457"/>
      <c r="Y20" s="1457"/>
      <c r="Z20" s="1457"/>
      <c r="AA20" s="1457"/>
      <c r="AB20" s="1457"/>
      <c r="AC20" s="1457"/>
      <c r="AD20" s="1457"/>
      <c r="AE20" s="2579"/>
      <c r="AF20" s="2579"/>
    </row>
    <row r="21" spans="1:37" s="2522" customFormat="1" ht="14.25">
      <c r="A21" s="2594" t="s">
        <v>2706</v>
      </c>
      <c r="B21" s="2595" t="s">
        <v>2707</v>
      </c>
      <c r="C21" s="964" t="b">
        <f>IF(B21="容积率修正",IF(G3&lt;=10,D22,J22),C23)</f>
        <v>0</v>
      </c>
      <c r="D21" s="2596"/>
      <c r="E21" s="2596"/>
      <c r="F21" s="2596"/>
      <c r="G21" s="2596"/>
      <c r="H21" s="2596"/>
      <c r="I21" s="2596"/>
      <c r="J21" s="2597"/>
      <c r="K21" s="2579"/>
      <c r="N21" s="2598" t="s">
        <v>2708</v>
      </c>
      <c r="O21" s="1659"/>
      <c r="P21" s="1660">
        <f>SUMPRODUCT((地价!A3:A22=YEAR(G19)&amp;"-"&amp;ROUNDUP(MONTH(G19)/3,0))*(地价!AD2:AH2=N21)*(地价!AD3:AH22))</f>
        <v>1.5699999999999999E-2</v>
      </c>
      <c r="R21" s="1457"/>
      <c r="S21" s="1457"/>
      <c r="T21" s="1457"/>
      <c r="U21" s="1457"/>
      <c r="V21" s="1457"/>
      <c r="W21" s="1457"/>
      <c r="X21" s="1457"/>
      <c r="Y21" s="1457"/>
      <c r="Z21" s="1457"/>
      <c r="AA21" s="1457"/>
      <c r="AB21" s="1457"/>
      <c r="AC21" s="1457"/>
      <c r="AD21" s="1457"/>
      <c r="AE21" s="2579"/>
      <c r="AF21" s="2579"/>
    </row>
    <row r="22" spans="1:37" s="2522" customFormat="1" ht="14.25">
      <c r="A22" s="2599">
        <v>1</v>
      </c>
      <c r="B22" s="2600" t="s">
        <v>2709</v>
      </c>
      <c r="C22" s="1894" t="s">
        <v>2710</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9"/>
      <c r="N22" s="2598" t="s">
        <v>2711</v>
      </c>
      <c r="O22" s="1659"/>
      <c r="P22" s="1660">
        <f>SUMPRODUCT((地价!A3:A22=YEAR(G19)&amp;"-"&amp;ROUNDUP(MONTH(G19)/3,0))*(地价!AD2:AH2=N22)*(地价!AD3:AH22))</f>
        <v>1.5699999999999999E-2</v>
      </c>
      <c r="R22" s="1457"/>
      <c r="S22" s="1457"/>
      <c r="T22" s="1457"/>
      <c r="U22" s="1457"/>
      <c r="V22" s="1457"/>
      <c r="W22" s="1457"/>
      <c r="X22" s="1457"/>
      <c r="Y22" s="1457"/>
      <c r="Z22" s="1457"/>
      <c r="AA22" s="1457"/>
      <c r="AB22" s="1457"/>
      <c r="AC22" s="1457"/>
      <c r="AD22" s="1457"/>
      <c r="AE22" s="2579"/>
      <c r="AF22" s="2579"/>
    </row>
    <row r="23" spans="1:37" ht="27">
      <c r="A23" s="2599">
        <v>2</v>
      </c>
      <c r="B23" s="2600" t="s">
        <v>2712</v>
      </c>
      <c r="C23" s="956">
        <f>ROUND(IF(G3&gt;1,IF(I3&lt;7,SUMPRODUCT((B93:B98=I3)*(C92:N92=G2)*(C93:N98)),SUMIF(C92:N92,G2,C100:N100)),IF(I3&lt;7,SUMPRODUCT((B102:B107=I3)*(C92:N92=G2)*(C102:N107)),SUMIF(C92:N92,G2,C109:N109))),4)</f>
        <v>0</v>
      </c>
      <c r="D23" s="2559"/>
      <c r="E23" s="2559"/>
      <c r="F23" s="2601"/>
      <c r="G23" s="2602"/>
      <c r="H23" s="2603"/>
      <c r="I23" s="2604"/>
      <c r="J23" s="2605"/>
      <c r="N23" s="2598" t="s">
        <v>2713</v>
      </c>
      <c r="O23" s="1659"/>
      <c r="P23" s="1660">
        <f>SUMPRODUCT((地价!A3:A22=YEAR(G19)&amp;"-"&amp;ROUNDUP(MONTH(G19)/3,0))*(地价!AD2:AH2=N23)*(地价!AD3:AH22))</f>
        <v>2.5000000000000001E-2</v>
      </c>
      <c r="R23" s="1457"/>
      <c r="S23" s="1457"/>
      <c r="T23" s="1457"/>
      <c r="U23" s="1457"/>
      <c r="V23" s="1457"/>
      <c r="W23" s="1457"/>
      <c r="X23" s="1457"/>
      <c r="Y23" s="1457"/>
      <c r="Z23" s="1457"/>
      <c r="AA23" s="1457"/>
      <c r="AB23" s="1457"/>
      <c r="AC23" s="1457"/>
      <c r="AD23" s="1457"/>
      <c r="AE23" s="1458"/>
      <c r="AF23" s="1458"/>
      <c r="AK23" s="2580"/>
    </row>
    <row r="24" spans="1:37" s="2522" customFormat="1" ht="15.75" thickBot="1">
      <c r="A24" s="2606" t="s">
        <v>2714</v>
      </c>
      <c r="B24" s="2607" t="s">
        <v>2715</v>
      </c>
      <c r="C24" s="966">
        <f>SUMIF(A46:A88,E2,B46:B88)</f>
        <v>0</v>
      </c>
      <c r="D24" s="2608"/>
      <c r="E24" s="2609"/>
      <c r="F24" s="2609"/>
      <c r="G24" s="2609"/>
      <c r="H24" s="2609"/>
      <c r="I24" s="2609"/>
      <c r="J24" s="2610"/>
      <c r="K24" s="2579"/>
      <c r="N24" s="2611" t="s">
        <v>2716</v>
      </c>
      <c r="O24" s="1661"/>
      <c r="P24" s="1662">
        <f>SUMPRODUCT((地价!A3:A22=YEAR(G19)&amp;"-"&amp;ROUNDUP(MONTH(G19)/3,0))*(地价!AD2:AH2=N24)*(地价!AD3:AH22))</f>
        <v>1.35E-2</v>
      </c>
      <c r="R24" s="1457"/>
      <c r="S24" s="1457"/>
      <c r="T24" s="1457"/>
      <c r="U24" s="1457"/>
      <c r="V24" s="1457"/>
      <c r="W24" s="1457"/>
      <c r="X24" s="1457"/>
      <c r="Y24" s="1457"/>
      <c r="Z24" s="1457"/>
      <c r="AA24" s="1457"/>
      <c r="AB24" s="1457"/>
      <c r="AC24" s="1457"/>
      <c r="AD24" s="1457"/>
      <c r="AE24" s="2579"/>
      <c r="AF24" s="2579"/>
    </row>
    <row r="25" spans="1:37" ht="15" thickBot="1">
      <c r="A25" s="2587" t="s">
        <v>2717</v>
      </c>
      <c r="B25" s="2612" t="s">
        <v>2718</v>
      </c>
      <c r="C25" s="957"/>
      <c r="D25" s="2533"/>
      <c r="E25" s="2533"/>
      <c r="F25" s="2613"/>
      <c r="G25" s="2533"/>
      <c r="H25" s="2533"/>
      <c r="I25" s="2533"/>
      <c r="J25" s="2534"/>
      <c r="L25" s="1457"/>
      <c r="M25" s="1457"/>
      <c r="N25" s="2614" t="s">
        <v>2719</v>
      </c>
      <c r="O25" s="1663"/>
      <c r="P25" s="1662">
        <f>SUMPRODUCT((地价!A3:A22=YEAR(G19)&amp;"-"&amp;ROUNDUP(MONTH(G19)/3,0))*(地价!AD2:AH2=N25)*(地价!AD3:AH22))</f>
        <v>2.2700000000000001E-2</v>
      </c>
      <c r="R25" s="1457"/>
      <c r="S25" s="1457"/>
      <c r="T25" s="1457"/>
      <c r="U25" s="1457"/>
      <c r="V25" s="1457"/>
      <c r="W25" s="1457"/>
      <c r="X25" s="1457"/>
      <c r="Y25" s="1457"/>
      <c r="Z25" s="1457"/>
      <c r="AA25" s="1457"/>
      <c r="AB25" s="1457"/>
      <c r="AC25" s="1457"/>
      <c r="AD25" s="1457"/>
      <c r="AE25" s="1458"/>
      <c r="AF25" s="1458"/>
    </row>
    <row r="26" spans="1:37" ht="15">
      <c r="A26" s="2615"/>
      <c r="B26" s="2600" t="s">
        <v>2720</v>
      </c>
      <c r="C26" s="122" t="e">
        <f>E29+SUM(E33:E39)</f>
        <v>#DIV/0!</v>
      </c>
      <c r="D26" s="2616"/>
      <c r="E26" s="2559"/>
      <c r="F26" s="2617"/>
      <c r="G26" s="2559"/>
      <c r="H26" s="2559"/>
      <c r="I26" s="2559"/>
      <c r="J26" s="2618"/>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15"/>
      <c r="B27" s="2619" t="s">
        <v>2721</v>
      </c>
      <c r="C27" s="958" t="e">
        <f>E30+SUM(I33:I39)</f>
        <v>#DIV/0!</v>
      </c>
      <c r="D27" s="2620"/>
      <c r="E27" s="2621"/>
      <c r="F27" s="2622"/>
      <c r="G27" s="2621"/>
      <c r="H27" s="2621"/>
      <c r="I27" s="2621"/>
      <c r="J27" s="2623"/>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7"/>
      <c r="B28" s="2624" t="s">
        <v>2722</v>
      </c>
      <c r="C28" s="2625" t="s">
        <v>2723</v>
      </c>
      <c r="D28" s="2625" t="s">
        <v>2724</v>
      </c>
      <c r="E28" s="2626" t="s">
        <v>2725</v>
      </c>
      <c r="F28" s="2627"/>
      <c r="G28" s="2546"/>
      <c r="H28" s="2546"/>
      <c r="I28" s="2546"/>
      <c r="J28" s="2547"/>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8"/>
      <c r="B29" s="2629" t="s">
        <v>2726</v>
      </c>
      <c r="C29" s="122" t="e">
        <f>ROUND(C5*C18*C19*C20*C21*C24,0)</f>
        <v>#DIV/0!</v>
      </c>
      <c r="D29" s="2630"/>
      <c r="E29" s="970" t="e">
        <f>ROUND(C29*D29,0)</f>
        <v>#DIV/0!</v>
      </c>
      <c r="F29" s="2631" t="s">
        <v>2727</v>
      </c>
      <c r="G29" s="2632"/>
      <c r="H29" s="2632"/>
      <c r="I29" s="2632"/>
      <c r="J29" s="263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34"/>
      <c r="B30" s="2635" t="s">
        <v>2728</v>
      </c>
      <c r="C30" s="149" t="e">
        <f>ROUND(IF(E2="工业",C29*M39,C29*M38),0)</f>
        <v>#DIV/0!</v>
      </c>
      <c r="D30" s="2636"/>
      <c r="E30" s="970" t="e">
        <f>ROUND(C30*D30,0)</f>
        <v>#DIV/0!</v>
      </c>
      <c r="F30" s="2637" t="s">
        <v>2729</v>
      </c>
      <c r="G30" s="2638"/>
      <c r="H30" s="2638"/>
      <c r="I30" s="2638"/>
      <c r="J30" s="263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40"/>
      <c r="B31" s="2641" t="s">
        <v>2730</v>
      </c>
      <c r="C31" s="2642" t="s">
        <v>2731</v>
      </c>
      <c r="D31" s="2546"/>
      <c r="E31" s="2642"/>
      <c r="F31" s="2642"/>
      <c r="G31" s="2544" t="s">
        <v>2732</v>
      </c>
      <c r="H31" s="2546"/>
      <c r="I31" s="2643"/>
      <c r="J31" s="254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28"/>
      <c r="B32" s="2644"/>
      <c r="C32" s="481" t="s">
        <v>2723</v>
      </c>
      <c r="D32" s="478" t="s">
        <v>2724</v>
      </c>
      <c r="E32" s="478" t="s">
        <v>2725</v>
      </c>
      <c r="F32" s="366" t="s">
        <v>2733</v>
      </c>
      <c r="G32" s="956" t="s">
        <v>2723</v>
      </c>
      <c r="H32" s="956" t="s">
        <v>2724</v>
      </c>
      <c r="I32" s="956" t="s">
        <v>2725</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65" t="s">
        <v>2734</v>
      </c>
      <c r="B33" s="2645" t="s">
        <v>2735</v>
      </c>
      <c r="C33" s="122" t="e">
        <f>ROUND(D5*C19*C20*C24*F33,0)</f>
        <v>#DIV/0!</v>
      </c>
      <c r="D33" s="2630"/>
      <c r="E33" s="116" t="e">
        <f t="shared" ref="E33:E39" si="6">ROUND(C33*D33,0)</f>
        <v>#DIV/0!</v>
      </c>
      <c r="F33" s="116">
        <f>SUMIF(修正!A45:A56,G2,修正!B45:B56)</f>
        <v>0</v>
      </c>
      <c r="G33" s="116" t="e">
        <f t="shared" ref="G33:G39" si="7">ROUND(IF(E2="工业",C33*$M$39,C33*$M$38),0)</f>
        <v>#DIV/0!</v>
      </c>
      <c r="H33" s="116">
        <f>D33</f>
        <v>0</v>
      </c>
      <c r="I33" s="116" t="e">
        <f t="shared" ref="I33:I39" si="8">ROUND(G33*H33,0)</f>
        <v>#DIV/0!</v>
      </c>
      <c r="J33" s="264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66"/>
      <c r="B34" s="2550" t="s">
        <v>2736</v>
      </c>
      <c r="C34" s="122" t="e">
        <f>ROUND(D5*C19*C20*C24*F34,0)</f>
        <v>#DIV/0!</v>
      </c>
      <c r="D34" s="2630"/>
      <c r="E34" s="116" t="e">
        <f t="shared" si="6"/>
        <v>#DIV/0!</v>
      </c>
      <c r="F34" s="116">
        <f>SUMIF(修正!A45:A56,G2,修正!C45:C56)</f>
        <v>0</v>
      </c>
      <c r="G34" s="116" t="e">
        <f t="shared" si="7"/>
        <v>#DIV/0!</v>
      </c>
      <c r="H34" s="116">
        <f t="shared" ref="H34:H39" si="9">D34</f>
        <v>0</v>
      </c>
      <c r="I34" s="116" t="e">
        <f t="shared" si="8"/>
        <v>#DIV/0!</v>
      </c>
      <c r="J34" s="264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66"/>
      <c r="B35" s="2550" t="s">
        <v>2737</v>
      </c>
      <c r="C35" s="122" t="e">
        <f>ROUND(D5*C19*C20*C24*F35,0)</f>
        <v>#DIV/0!</v>
      </c>
      <c r="D35" s="2630"/>
      <c r="E35" s="116" t="e">
        <f t="shared" si="6"/>
        <v>#DIV/0!</v>
      </c>
      <c r="F35" s="116">
        <f>SUMIF(修正!A45:A56,G2,修正!D45:D56)</f>
        <v>0</v>
      </c>
      <c r="G35" s="116" t="e">
        <f t="shared" si="7"/>
        <v>#DIV/0!</v>
      </c>
      <c r="H35" s="116">
        <f t="shared" si="9"/>
        <v>0</v>
      </c>
      <c r="I35" s="116" t="e">
        <f t="shared" si="8"/>
        <v>#DIV/0!</v>
      </c>
      <c r="J35" s="264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67"/>
      <c r="B36" s="2550" t="s">
        <v>2738</v>
      </c>
      <c r="C36" s="122" t="e">
        <f>ROUND(D5*C19*C20*C24*F36,0)</f>
        <v>#DIV/0!</v>
      </c>
      <c r="D36" s="2630"/>
      <c r="E36" s="116" t="e">
        <f t="shared" si="6"/>
        <v>#DIV/0!</v>
      </c>
      <c r="F36" s="116">
        <f>SUMIF(修正!A45:A56,G2,修正!E45:E56)</f>
        <v>0</v>
      </c>
      <c r="G36" s="116" t="e">
        <f t="shared" si="7"/>
        <v>#DIV/0!</v>
      </c>
      <c r="H36" s="116">
        <f t="shared" si="9"/>
        <v>0</v>
      </c>
      <c r="I36" s="116" t="e">
        <f t="shared" si="8"/>
        <v>#DIV/0!</v>
      </c>
      <c r="J36" s="2646"/>
      <c r="L36" s="2647"/>
      <c r="M36" s="264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8"/>
      <c r="B37" s="2550" t="s">
        <v>2739</v>
      </c>
      <c r="C37" s="116" t="e">
        <f>ROUND(C5*C19*C20*C24*F37,0)</f>
        <v>#DIV/0!</v>
      </c>
      <c r="D37" s="2630"/>
      <c r="E37" s="116" t="e">
        <f t="shared" si="6"/>
        <v>#DIV/0!</v>
      </c>
      <c r="F37" s="122">
        <f>SUMIF(修正!A45:A56,G2,修正!F45:F56)</f>
        <v>0</v>
      </c>
      <c r="G37" s="116" t="e">
        <f t="shared" si="7"/>
        <v>#DIV/0!</v>
      </c>
      <c r="H37" s="116">
        <f t="shared" si="9"/>
        <v>0</v>
      </c>
      <c r="I37" s="116" t="e">
        <f t="shared" si="8"/>
        <v>#DIV/0!</v>
      </c>
      <c r="J37" s="2646"/>
      <c r="L37" s="2649" t="s">
        <v>2740</v>
      </c>
      <c r="M37" s="2534"/>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8"/>
      <c r="B38" s="2550" t="s">
        <v>2741</v>
      </c>
      <c r="C38" s="116" t="e">
        <f>ROUND(C5*C19*C20*C24*F38,0)</f>
        <v>#DIV/0!</v>
      </c>
      <c r="D38" s="2630"/>
      <c r="E38" s="116" t="e">
        <f t="shared" si="6"/>
        <v>#DIV/0!</v>
      </c>
      <c r="F38" s="122">
        <f>SUMIF(修正!A45:A56,G2,修正!G45:G56)</f>
        <v>0</v>
      </c>
      <c r="G38" s="116" t="e">
        <f t="shared" si="7"/>
        <v>#DIV/0!</v>
      </c>
      <c r="H38" s="116">
        <f t="shared" si="9"/>
        <v>0</v>
      </c>
      <c r="I38" s="116" t="e">
        <f t="shared" si="8"/>
        <v>#DIV/0!</v>
      </c>
      <c r="J38" s="2646"/>
      <c r="L38" s="2650" t="s">
        <v>2742</v>
      </c>
      <c r="M38" s="265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34"/>
      <c r="B39" s="2652" t="s">
        <v>2743</v>
      </c>
      <c r="C39" s="149" t="e">
        <f>ROUND(C5*C19*C20*C24*F39,0)</f>
        <v>#DIV/0!</v>
      </c>
      <c r="D39" s="2636"/>
      <c r="E39" s="149" t="e">
        <f t="shared" si="6"/>
        <v>#DIV/0!</v>
      </c>
      <c r="F39" s="959">
        <f>SUMIF(修正!A45:A56,G2,修正!H45:H56)</f>
        <v>0</v>
      </c>
      <c r="G39" s="149" t="e">
        <f t="shared" si="7"/>
        <v>#DIV/0!</v>
      </c>
      <c r="H39" s="149">
        <f t="shared" si="9"/>
        <v>0</v>
      </c>
      <c r="I39" s="149" t="e">
        <f t="shared" si="8"/>
        <v>#DIV/0!</v>
      </c>
      <c r="J39" s="2653"/>
      <c r="L39" s="2654" t="s">
        <v>2681</v>
      </c>
      <c r="M39" s="265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6"/>
      <c r="AH40" s="2656"/>
      <c r="AI40" s="2656"/>
      <c r="AJ40" s="2656"/>
    </row>
    <row r="41" spans="1:37" s="2657" customFormat="1">
      <c r="A41" s="1458"/>
      <c r="B41" s="2658"/>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6"/>
      <c r="AH41" s="2656"/>
      <c r="AI41" s="2656"/>
      <c r="AJ41" s="2656"/>
    </row>
    <row r="42" spans="1:37" s="2657" customFormat="1">
      <c r="A42" s="1458"/>
      <c r="B42" s="265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6"/>
      <c r="AH42" s="2656"/>
      <c r="AI42" s="2656"/>
      <c r="AJ42" s="2656"/>
    </row>
    <row r="43" spans="1:37" s="2657" customFormat="1">
      <c r="A43" s="1458"/>
      <c r="B43" s="265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6"/>
      <c r="AH43" s="2656"/>
      <c r="AI43" s="2656"/>
      <c r="AJ43" s="2656"/>
    </row>
    <row r="44" spans="1:37" s="2657" customFormat="1">
      <c r="A44" s="1458"/>
      <c r="B44" s="265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6"/>
      <c r="AH44" s="2656"/>
      <c r="AI44" s="2656"/>
      <c r="AJ44" s="2656"/>
    </row>
    <row r="45" spans="1:37" s="2657" customFormat="1" ht="15.75" thickBot="1">
      <c r="A45" s="2659" t="s">
        <v>2744</v>
      </c>
      <c r="B45" s="266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56"/>
      <c r="AH45" s="2656"/>
      <c r="AI45" s="2656"/>
      <c r="AJ45" s="2656"/>
    </row>
    <row r="46" spans="1:37" s="2657" customFormat="1" ht="15">
      <c r="A46" s="2661" t="s">
        <v>2745</v>
      </c>
      <c r="B46" s="2662">
        <f>1+E48</f>
        <v>1</v>
      </c>
      <c r="C46" s="2663"/>
      <c r="D46" s="815"/>
      <c r="E46" s="816"/>
      <c r="F46" s="2664"/>
      <c r="G46" s="7"/>
      <c r="H46" s="9"/>
      <c r="I46" s="9"/>
      <c r="J46" s="9"/>
      <c r="K46" s="9"/>
      <c r="L46" s="9"/>
      <c r="M46" s="2501"/>
      <c r="N46" s="2665"/>
      <c r="O46" s="1457"/>
      <c r="P46" s="1457"/>
      <c r="Q46" s="1457"/>
      <c r="R46" s="1457"/>
      <c r="S46" s="1457"/>
      <c r="T46" s="1457"/>
      <c r="U46" s="1457"/>
      <c r="V46" s="1457"/>
      <c r="W46" s="1457"/>
      <c r="X46" s="1457"/>
      <c r="Y46" s="1458"/>
      <c r="Z46" s="1458"/>
      <c r="AA46" s="1458"/>
      <c r="AB46" s="1458"/>
      <c r="AC46" s="1458"/>
      <c r="AD46" s="1458"/>
      <c r="AE46" s="1458"/>
      <c r="AF46" s="2656"/>
      <c r="AG46" s="2656"/>
      <c r="AH46" s="2656"/>
      <c r="AI46" s="2656"/>
    </row>
    <row r="47" spans="1:37" s="2657" customFormat="1" ht="24.75">
      <c r="A47" s="2666" t="s">
        <v>2746</v>
      </c>
      <c r="B47" s="821" t="s">
        <v>2747</v>
      </c>
      <c r="C47" s="821" t="s">
        <v>2748</v>
      </c>
      <c r="D47" s="821" t="s">
        <v>2749</v>
      </c>
      <c r="E47" s="822" t="s">
        <v>2750</v>
      </c>
      <c r="F47" s="2667" t="s">
        <v>2751</v>
      </c>
      <c r="G47" s="821" t="s">
        <v>2752</v>
      </c>
      <c r="H47" s="2668" t="s">
        <v>2753</v>
      </c>
      <c r="I47" s="821" t="s">
        <v>2754</v>
      </c>
      <c r="J47" s="586" t="s">
        <v>2755</v>
      </c>
      <c r="K47" s="586" t="s">
        <v>2756</v>
      </c>
      <c r="L47" s="586" t="s">
        <v>2757</v>
      </c>
      <c r="M47" s="586" t="s">
        <v>2758</v>
      </c>
      <c r="N47" s="586" t="s">
        <v>2759</v>
      </c>
      <c r="O47" s="1457"/>
      <c r="P47" s="1457"/>
      <c r="Q47" s="1457"/>
      <c r="R47" s="1457"/>
      <c r="S47" s="1457"/>
      <c r="T47" s="1457"/>
      <c r="U47" s="1457"/>
      <c r="V47" s="1457"/>
      <c r="W47" s="1457"/>
      <c r="X47" s="1457"/>
      <c r="Y47" s="1457"/>
      <c r="Z47" s="1457"/>
      <c r="AA47" s="1458"/>
      <c r="AB47" s="1458"/>
      <c r="AC47" s="1458"/>
      <c r="AD47" s="1458"/>
      <c r="AE47" s="1458"/>
      <c r="AF47" s="1458"/>
      <c r="AG47" s="1458"/>
      <c r="AH47" s="2656"/>
      <c r="AI47" s="2656"/>
      <c r="AJ47" s="2656"/>
      <c r="AK47" s="2656"/>
    </row>
    <row r="48" spans="1:37" s="2657" customFormat="1" ht="38.25">
      <c r="A48" s="2666" t="s">
        <v>2760</v>
      </c>
      <c r="B48" s="2669" t="str">
        <f>估价对象房地状况!C16</f>
        <v>估价对象位于XX商圈，周边商业氛围成熟，人流量大，商业繁华度好</v>
      </c>
      <c r="C48" s="2556"/>
      <c r="D48" s="1371">
        <f t="shared" ref="D48:D56" si="10">SUMIF($J$47:$N$47,C48,J48:N48)</f>
        <v>0</v>
      </c>
      <c r="E48" s="827">
        <f>ROUND(SUM(D48:D56),4)</f>
        <v>0</v>
      </c>
      <c r="F48" s="2273" t="str">
        <f>IF(E2="商业",SUMIF(L1:L12,G2,N1:N12),"——")</f>
        <v>——</v>
      </c>
      <c r="G48" s="1372"/>
      <c r="H48" s="1376" t="str">
        <f t="shared" ref="H48:H56" si="11">IFERROR(ROUNDDOWN($F$48*I48/2,4),"——")</f>
        <v>——</v>
      </c>
      <c r="I48" s="826">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6"/>
      <c r="AI48" s="2656"/>
      <c r="AJ48" s="2656"/>
      <c r="AK48" s="2656"/>
    </row>
    <row r="49" spans="1:37" s="2657" customFormat="1" ht="51">
      <c r="A49" s="2666" t="s">
        <v>2761</v>
      </c>
      <c r="B49" s="2670" t="str">
        <f>估价对象房地状况!C18</f>
        <v>估价对象周边道路状况、公共交通通达情况、停车便捷程度，综合评价交通便捷度较好</v>
      </c>
      <c r="C49" s="2556"/>
      <c r="D49" s="1371">
        <f t="shared" si="10"/>
        <v>0</v>
      </c>
      <c r="E49" s="830"/>
      <c r="F49" s="2273"/>
      <c r="G49" s="1372"/>
      <c r="H49" s="1376" t="str">
        <f t="shared" si="11"/>
        <v>——</v>
      </c>
      <c r="I49" s="826">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6"/>
      <c r="AI49" s="2656"/>
      <c r="AJ49" s="2656"/>
      <c r="AK49" s="2656"/>
    </row>
    <row r="50" spans="1:37" s="2657" customFormat="1" ht="24">
      <c r="A50" s="2666" t="s">
        <v>2762</v>
      </c>
      <c r="B50" s="2670">
        <f>估价对象房地状况!C19</f>
        <v>0</v>
      </c>
      <c r="C50" s="2556"/>
      <c r="D50" s="1371">
        <f t="shared" si="10"/>
        <v>0</v>
      </c>
      <c r="E50" s="830"/>
      <c r="F50" s="2273"/>
      <c r="G50" s="1372"/>
      <c r="H50" s="1376" t="str">
        <f t="shared" si="11"/>
        <v>——</v>
      </c>
      <c r="I50" s="826">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6"/>
      <c r="AI50" s="2656"/>
      <c r="AJ50" s="2656"/>
      <c r="AK50" s="2656"/>
    </row>
    <row r="51" spans="1:37" s="2657" customFormat="1" ht="36.75">
      <c r="A51" s="2666" t="s">
        <v>2763</v>
      </c>
      <c r="B51" s="2671" t="s">
        <v>2764</v>
      </c>
      <c r="C51" s="2556"/>
      <c r="D51" s="1371">
        <f t="shared" si="10"/>
        <v>0</v>
      </c>
      <c r="E51" s="830"/>
      <c r="F51" s="2273"/>
      <c r="G51" s="1372"/>
      <c r="H51" s="1376" t="str">
        <f t="shared" si="11"/>
        <v>——</v>
      </c>
      <c r="I51" s="826">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6"/>
      <c r="AI51" s="2656"/>
      <c r="AJ51" s="2656"/>
      <c r="AK51" s="2656"/>
    </row>
    <row r="52" spans="1:37" s="2657" customFormat="1" ht="24">
      <c r="A52" s="2666" t="s">
        <v>2765</v>
      </c>
      <c r="B52" s="2670">
        <f>估价对象房地状况!C24</f>
        <v>0</v>
      </c>
      <c r="C52" s="2556"/>
      <c r="D52" s="1371">
        <f t="shared" si="10"/>
        <v>0</v>
      </c>
      <c r="E52" s="830"/>
      <c r="F52" s="2273"/>
      <c r="G52" s="1372"/>
      <c r="H52" s="1376" t="str">
        <f t="shared" si="11"/>
        <v>——</v>
      </c>
      <c r="I52" s="826">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6"/>
      <c r="AI52" s="2656"/>
      <c r="AJ52" s="2656"/>
      <c r="AK52" s="2656"/>
    </row>
    <row r="53" spans="1:37" s="2657" customFormat="1" ht="24">
      <c r="A53" s="2666" t="s">
        <v>2766</v>
      </c>
      <c r="B53" s="2672" t="s">
        <v>2767</v>
      </c>
      <c r="C53" s="2556"/>
      <c r="D53" s="1371">
        <f t="shared" si="10"/>
        <v>0</v>
      </c>
      <c r="E53" s="830"/>
      <c r="F53" s="2273"/>
      <c r="G53" s="1372"/>
      <c r="H53" s="1376" t="str">
        <f t="shared" si="11"/>
        <v>——</v>
      </c>
      <c r="I53" s="826">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6"/>
      <c r="AI53" s="2656"/>
      <c r="AJ53" s="2656"/>
      <c r="AK53" s="2656"/>
    </row>
    <row r="54" spans="1:37" s="2657" customFormat="1" ht="25.5">
      <c r="A54" s="2673" t="s">
        <v>2768</v>
      </c>
      <c r="B54" s="2674" t="str">
        <f>估价对象房地状况!C21</f>
        <v>估价对象所在区域公共配套设施齐备情况</v>
      </c>
      <c r="C54" s="2556"/>
      <c r="D54" s="1371">
        <f t="shared" si="10"/>
        <v>0</v>
      </c>
      <c r="E54" s="830"/>
      <c r="F54" s="2273"/>
      <c r="G54" s="1372"/>
      <c r="H54" s="1376" t="str">
        <f t="shared" si="11"/>
        <v>——</v>
      </c>
      <c r="I54" s="826">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6"/>
      <c r="AI54" s="2656"/>
      <c r="AJ54" s="2656"/>
      <c r="AK54" s="2656"/>
    </row>
    <row r="55" spans="1:37" s="2657" customFormat="1" ht="25.5">
      <c r="A55" s="2673" t="s">
        <v>2769</v>
      </c>
      <c r="B55" s="2670" t="str">
        <f>估价对象房地状况!C22</f>
        <v>估价对象所在区域基础设施水平</v>
      </c>
      <c r="C55" s="2556"/>
      <c r="D55" s="1371">
        <f t="shared" si="10"/>
        <v>0</v>
      </c>
      <c r="E55" s="830"/>
      <c r="F55" s="2273"/>
      <c r="G55" s="1372"/>
      <c r="H55" s="1376" t="str">
        <f t="shared" si="11"/>
        <v>——</v>
      </c>
      <c r="I55" s="826">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6"/>
      <c r="AI55" s="2656"/>
      <c r="AJ55" s="2656"/>
      <c r="AK55" s="2656"/>
    </row>
    <row r="56" spans="1:37" s="2657" customFormat="1" ht="39" thickBot="1">
      <c r="A56" s="2675" t="s">
        <v>2770</v>
      </c>
      <c r="B56" s="2676" t="str">
        <f>估价对象房地状况!C20</f>
        <v>区域自然环境：；人文环境；综合评价环境状况一般</v>
      </c>
      <c r="C56" s="2556"/>
      <c r="D56" s="1371">
        <f t="shared" si="10"/>
        <v>0</v>
      </c>
      <c r="E56" s="836"/>
      <c r="F56" s="2273"/>
      <c r="G56" s="1372"/>
      <c r="H56" s="1376" t="str">
        <f t="shared" si="11"/>
        <v>——</v>
      </c>
      <c r="I56" s="835">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6"/>
      <c r="AI56" s="2656"/>
      <c r="AJ56" s="2656"/>
      <c r="AK56" s="2656"/>
    </row>
    <row r="57" spans="1:37" s="2657" customFormat="1" ht="15">
      <c r="A57" s="2661" t="s">
        <v>2771</v>
      </c>
      <c r="B57" s="2677">
        <f>1+E59</f>
        <v>1</v>
      </c>
      <c r="C57" s="815"/>
      <c r="D57" s="815"/>
      <c r="E57" s="816"/>
      <c r="F57" s="266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6"/>
      <c r="AI57" s="2656"/>
      <c r="AJ57" s="2656"/>
      <c r="AK57" s="2656"/>
    </row>
    <row r="58" spans="1:37" s="2657" customFormat="1" ht="24.75">
      <c r="A58" s="2666" t="s">
        <v>2746</v>
      </c>
      <c r="B58" s="2670"/>
      <c r="C58" s="821" t="s">
        <v>2748</v>
      </c>
      <c r="D58" s="821" t="s">
        <v>2749</v>
      </c>
      <c r="E58" s="822" t="s">
        <v>2750</v>
      </c>
      <c r="F58" s="2667" t="s">
        <v>2751</v>
      </c>
      <c r="G58" s="821" t="s">
        <v>2772</v>
      </c>
      <c r="H58" s="2668" t="s">
        <v>2773</v>
      </c>
      <c r="I58" s="821" t="s">
        <v>2774</v>
      </c>
      <c r="J58" s="586" t="s">
        <v>2406</v>
      </c>
      <c r="K58" s="586" t="s">
        <v>2407</v>
      </c>
      <c r="L58" s="586" t="s">
        <v>2408</v>
      </c>
      <c r="M58" s="586" t="s">
        <v>2409</v>
      </c>
      <c r="N58" s="586" t="s">
        <v>2410</v>
      </c>
      <c r="O58" s="1457"/>
      <c r="P58" s="1457"/>
      <c r="Q58" s="1457"/>
      <c r="R58" s="1457"/>
      <c r="S58" s="1457"/>
      <c r="T58" s="1457"/>
      <c r="U58" s="1457"/>
      <c r="V58" s="1457"/>
      <c r="W58" s="1457"/>
      <c r="X58" s="1457"/>
      <c r="Y58" s="1457"/>
      <c r="Z58" s="1457"/>
      <c r="AA58" s="1458"/>
      <c r="AB58" s="1458"/>
      <c r="AC58" s="1458"/>
      <c r="AD58" s="1458"/>
      <c r="AE58" s="1458"/>
      <c r="AF58" s="1458"/>
      <c r="AG58" s="1458"/>
      <c r="AH58" s="2656"/>
      <c r="AI58" s="2656"/>
      <c r="AJ58" s="2656"/>
      <c r="AK58" s="2656"/>
    </row>
    <row r="59" spans="1:37" s="2657" customFormat="1" ht="38.25">
      <c r="A59" s="2666" t="s">
        <v>2775</v>
      </c>
      <c r="B59" s="2669" t="str">
        <f>估价对象房地状况!C17</f>
        <v>估价对象位于XX商圈，周边办公楼项目较多，入驻率高，办公集聚程度较好</v>
      </c>
      <c r="C59" s="2556"/>
      <c r="D59" s="1371">
        <f t="shared" ref="D59:D67" si="15">SUMIF($J$58:$N$58,C59,J59:N59)</f>
        <v>0</v>
      </c>
      <c r="E59" s="827">
        <f>ROUND(SUM(D59:D67),4)</f>
        <v>0</v>
      </c>
      <c r="F59" s="2273" t="str">
        <f>IF(E2="办公",SUMIF(L1:L12,G2,N1:N12),"——")</f>
        <v>——</v>
      </c>
      <c r="G59" s="1372"/>
      <c r="H59" s="1376" t="str">
        <f t="shared" ref="H59:H67" si="16">IFERROR(ROUNDDOWN($F$59*I59/2,4),"——")</f>
        <v>——</v>
      </c>
      <c r="I59" s="826">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6"/>
      <c r="AI59" s="2656"/>
      <c r="AJ59" s="2656"/>
      <c r="AK59" s="2656"/>
    </row>
    <row r="60" spans="1:37" s="2657" customFormat="1" ht="51">
      <c r="A60" s="2666" t="s">
        <v>2761</v>
      </c>
      <c r="B60" s="2670" t="str">
        <f>估价对象房地状况!C18</f>
        <v>估价对象周边道路状况、公共交通通达情况、停车便捷程度，综合评价交通便捷度较好</v>
      </c>
      <c r="C60" s="2556"/>
      <c r="D60" s="1371">
        <f t="shared" si="15"/>
        <v>0</v>
      </c>
      <c r="E60" s="830"/>
      <c r="F60" s="2273"/>
      <c r="G60" s="1372"/>
      <c r="H60" s="1376" t="str">
        <f t="shared" si="16"/>
        <v>——</v>
      </c>
      <c r="I60" s="826">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6"/>
      <c r="AI60" s="2656"/>
      <c r="AJ60" s="2656"/>
      <c r="AK60" s="2656"/>
    </row>
    <row r="61" spans="1:37" s="2657" customFormat="1" ht="24">
      <c r="A61" s="2666" t="s">
        <v>2762</v>
      </c>
      <c r="B61" s="2670">
        <f>估价对象房地状况!C19</f>
        <v>0</v>
      </c>
      <c r="C61" s="2556"/>
      <c r="D61" s="1371">
        <f t="shared" si="15"/>
        <v>0</v>
      </c>
      <c r="E61" s="830"/>
      <c r="F61" s="2273"/>
      <c r="G61" s="1372"/>
      <c r="H61" s="1376" t="str">
        <f t="shared" si="16"/>
        <v>——</v>
      </c>
      <c r="I61" s="826">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6"/>
      <c r="AI61" s="2656"/>
      <c r="AJ61" s="2656"/>
      <c r="AK61" s="2656"/>
    </row>
    <row r="62" spans="1:37" s="2657" customFormat="1" ht="36.75">
      <c r="A62" s="2666" t="s">
        <v>2763</v>
      </c>
      <c r="B62" s="2671" t="s">
        <v>2764</v>
      </c>
      <c r="C62" s="2556"/>
      <c r="D62" s="1371">
        <f t="shared" si="15"/>
        <v>0</v>
      </c>
      <c r="E62" s="830"/>
      <c r="F62" s="2273"/>
      <c r="G62" s="1372"/>
      <c r="H62" s="1376" t="str">
        <f t="shared" si="16"/>
        <v>——</v>
      </c>
      <c r="I62" s="826">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6"/>
      <c r="AI62" s="2656"/>
      <c r="AJ62" s="2656"/>
      <c r="AK62" s="2656"/>
    </row>
    <row r="63" spans="1:37" s="2657" customFormat="1" ht="24">
      <c r="A63" s="2666" t="s">
        <v>2765</v>
      </c>
      <c r="B63" s="2670">
        <f>估价对象房地状况!C24</f>
        <v>0</v>
      </c>
      <c r="C63" s="2556"/>
      <c r="D63" s="1371">
        <f t="shared" si="15"/>
        <v>0</v>
      </c>
      <c r="E63" s="830"/>
      <c r="F63" s="2273"/>
      <c r="G63" s="1372"/>
      <c r="H63" s="1376" t="str">
        <f t="shared" si="16"/>
        <v>——</v>
      </c>
      <c r="I63" s="826">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6"/>
      <c r="AI63" s="2656"/>
      <c r="AJ63" s="2656"/>
      <c r="AK63" s="2656"/>
    </row>
    <row r="64" spans="1:37" s="2657" customFormat="1" ht="24">
      <c r="A64" s="2666" t="s">
        <v>2766</v>
      </c>
      <c r="B64" s="2672" t="s">
        <v>2767</v>
      </c>
      <c r="C64" s="2556"/>
      <c r="D64" s="1371">
        <f t="shared" si="15"/>
        <v>0</v>
      </c>
      <c r="E64" s="830"/>
      <c r="F64" s="2273"/>
      <c r="G64" s="1372"/>
      <c r="H64" s="1376" t="str">
        <f t="shared" si="16"/>
        <v>——</v>
      </c>
      <c r="I64" s="826">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6"/>
      <c r="AI64" s="2656"/>
      <c r="AJ64" s="2656"/>
      <c r="AK64" s="2656"/>
    </row>
    <row r="65" spans="1:37" s="2657" customFormat="1" ht="25.5">
      <c r="A65" s="2666" t="s">
        <v>2768</v>
      </c>
      <c r="B65" s="2674" t="str">
        <f>估价对象房地状况!C21</f>
        <v>估价对象所在区域公共配套设施齐备情况</v>
      </c>
      <c r="C65" s="2556"/>
      <c r="D65" s="1371">
        <f t="shared" si="15"/>
        <v>0</v>
      </c>
      <c r="E65" s="830"/>
      <c r="F65" s="2273"/>
      <c r="G65" s="1372"/>
      <c r="H65" s="1376" t="str">
        <f t="shared" si="16"/>
        <v>——</v>
      </c>
      <c r="I65" s="826">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6"/>
      <c r="AI65" s="2656"/>
      <c r="AJ65" s="2656"/>
      <c r="AK65" s="2656"/>
    </row>
    <row r="66" spans="1:37" s="2657" customFormat="1" ht="25.5">
      <c r="A66" s="2666" t="s">
        <v>2769</v>
      </c>
      <c r="B66" s="2674" t="str">
        <f>估价对象房地状况!C22</f>
        <v>估价对象所在区域基础设施水平</v>
      </c>
      <c r="C66" s="2556"/>
      <c r="D66" s="1371">
        <f t="shared" si="15"/>
        <v>0</v>
      </c>
      <c r="E66" s="830"/>
      <c r="F66" s="2273"/>
      <c r="G66" s="1372"/>
      <c r="H66" s="1376" t="str">
        <f t="shared" si="16"/>
        <v>——</v>
      </c>
      <c r="I66" s="826">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6"/>
      <c r="AI66" s="2656"/>
      <c r="AJ66" s="2656"/>
      <c r="AK66" s="2656"/>
    </row>
    <row r="67" spans="1:37" s="2657" customFormat="1" ht="39" thickBot="1">
      <c r="A67" s="2675" t="s">
        <v>2770</v>
      </c>
      <c r="B67" s="2678" t="str">
        <f>估价对象房地状况!C20</f>
        <v>区域自然环境：；人文环境；综合评价环境状况一般</v>
      </c>
      <c r="C67" s="2556"/>
      <c r="D67" s="1371">
        <f t="shared" si="15"/>
        <v>0</v>
      </c>
      <c r="E67" s="836"/>
      <c r="F67" s="2273"/>
      <c r="G67" s="1372"/>
      <c r="H67" s="1376" t="str">
        <f t="shared" si="16"/>
        <v>——</v>
      </c>
      <c r="I67" s="835">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6"/>
      <c r="AI67" s="2656"/>
      <c r="AJ67" s="2656"/>
      <c r="AK67" s="2656"/>
    </row>
    <row r="68" spans="1:37" s="2657" customFormat="1" ht="15">
      <c r="A68" s="2661" t="s">
        <v>2776</v>
      </c>
      <c r="B68" s="2677">
        <f>1+E70</f>
        <v>1</v>
      </c>
      <c r="C68" s="815"/>
      <c r="D68" s="815"/>
      <c r="E68" s="816"/>
      <c r="F68" s="266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6"/>
      <c r="AI68" s="2656"/>
      <c r="AJ68" s="2656"/>
      <c r="AK68" s="2656"/>
    </row>
    <row r="69" spans="1:37" s="2657" customFormat="1" ht="24.75">
      <c r="A69" s="2666" t="s">
        <v>2746</v>
      </c>
      <c r="B69" s="2670"/>
      <c r="C69" s="821" t="s">
        <v>2748</v>
      </c>
      <c r="D69" s="821" t="s">
        <v>2749</v>
      </c>
      <c r="E69" s="822" t="s">
        <v>2750</v>
      </c>
      <c r="F69" s="2667" t="s">
        <v>2751</v>
      </c>
      <c r="G69" s="821" t="s">
        <v>2772</v>
      </c>
      <c r="H69" s="2668" t="s">
        <v>2773</v>
      </c>
      <c r="I69" s="821" t="s">
        <v>2774</v>
      </c>
      <c r="J69" s="586" t="s">
        <v>2406</v>
      </c>
      <c r="K69" s="586" t="s">
        <v>2407</v>
      </c>
      <c r="L69" s="586" t="s">
        <v>2408</v>
      </c>
      <c r="M69" s="586" t="s">
        <v>2409</v>
      </c>
      <c r="N69" s="586" t="s">
        <v>2410</v>
      </c>
      <c r="O69" s="1457"/>
      <c r="P69" s="1457"/>
      <c r="Q69" s="1457"/>
      <c r="R69" s="1457"/>
      <c r="S69" s="1457"/>
      <c r="T69" s="1457"/>
      <c r="U69" s="1457"/>
      <c r="V69" s="1457"/>
      <c r="W69" s="1457"/>
      <c r="X69" s="1457"/>
      <c r="Y69" s="1457"/>
      <c r="Z69" s="1457"/>
      <c r="AA69" s="1458"/>
      <c r="AB69" s="1458"/>
      <c r="AC69" s="1458"/>
      <c r="AD69" s="1458"/>
      <c r="AE69" s="1458"/>
      <c r="AF69" s="1458"/>
      <c r="AG69" s="1458"/>
      <c r="AH69" s="2656"/>
      <c r="AI69" s="2656"/>
      <c r="AJ69" s="2656"/>
      <c r="AK69" s="2656"/>
    </row>
    <row r="70" spans="1:37" s="2657" customFormat="1" ht="51">
      <c r="A70" s="2666" t="s">
        <v>2777</v>
      </c>
      <c r="B70" s="2669" t="str">
        <f>估价对象房地状况!C15</f>
        <v>估价对象周边居住用地比例、居住小区规模和社区发展完善程度，综合评价居住社区成熟度一般</v>
      </c>
      <c r="C70" s="2556"/>
      <c r="D70" s="1371">
        <f t="shared" ref="D70:D78" si="20">SUMIF($J$69:$N$69,C70,J70:N70)</f>
        <v>0</v>
      </c>
      <c r="E70" s="827">
        <f>ROUND(SUM(D70:D78),4)</f>
        <v>0</v>
      </c>
      <c r="F70" s="2273" t="str">
        <f>IF(E2="住宅",SUMIF(L1:L12,G2,N1:N12),"——")</f>
        <v>——</v>
      </c>
      <c r="G70" s="1372"/>
      <c r="H70" s="1376" t="str">
        <f t="shared" ref="H70:H78" si="21">IFERROR(ROUNDDOWN($F$70*I70/2,4),"——")</f>
        <v>——</v>
      </c>
      <c r="I70" s="826">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6"/>
      <c r="AI70" s="2656"/>
      <c r="AJ70" s="2656"/>
      <c r="AK70" s="2656"/>
    </row>
    <row r="71" spans="1:37" s="2657" customFormat="1" ht="51">
      <c r="A71" s="2666" t="s">
        <v>2761</v>
      </c>
      <c r="B71" s="2670" t="str">
        <f>估价对象房地状况!C18</f>
        <v>估价对象周边道路状况、公共交通通达情况、停车便捷程度，综合评价交通便捷度较好</v>
      </c>
      <c r="C71" s="2556"/>
      <c r="D71" s="1371">
        <f t="shared" si="20"/>
        <v>0</v>
      </c>
      <c r="E71" s="838"/>
      <c r="F71" s="2679"/>
      <c r="G71" s="1372"/>
      <c r="H71" s="1376" t="str">
        <f t="shared" si="21"/>
        <v>——</v>
      </c>
      <c r="I71" s="826">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6"/>
      <c r="AI71" s="2656"/>
      <c r="AJ71" s="2656"/>
      <c r="AK71" s="2656"/>
    </row>
    <row r="72" spans="1:37" s="2657" customFormat="1" ht="24">
      <c r="A72" s="2666" t="s">
        <v>2762</v>
      </c>
      <c r="B72" s="2670">
        <f>估价对象房地状况!C19</f>
        <v>0</v>
      </c>
      <c r="C72" s="2556"/>
      <c r="D72" s="1371">
        <f t="shared" si="20"/>
        <v>0</v>
      </c>
      <c r="E72" s="838"/>
      <c r="F72" s="2679"/>
      <c r="G72" s="1372"/>
      <c r="H72" s="1376" t="str">
        <f t="shared" si="21"/>
        <v>——</v>
      </c>
      <c r="I72" s="826">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6"/>
      <c r="AI72" s="2656"/>
      <c r="AJ72" s="2656"/>
      <c r="AK72" s="2656"/>
    </row>
    <row r="73" spans="1:37" s="2657" customFormat="1" ht="14.25">
      <c r="A73" s="2666" t="s">
        <v>2778</v>
      </c>
      <c r="B73" s="2670">
        <f>估价对象房地状况!C24</f>
        <v>0</v>
      </c>
      <c r="C73" s="2556"/>
      <c r="D73" s="1371">
        <f t="shared" si="20"/>
        <v>0</v>
      </c>
      <c r="E73" s="838"/>
      <c r="F73" s="2679"/>
      <c r="G73" s="1372"/>
      <c r="H73" s="1376" t="str">
        <f t="shared" si="21"/>
        <v>——</v>
      </c>
      <c r="I73" s="826">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6"/>
      <c r="AI73" s="2656"/>
      <c r="AJ73" s="2656"/>
      <c r="AK73" s="2656"/>
    </row>
    <row r="74" spans="1:37" s="2657" customFormat="1" ht="25.5">
      <c r="A74" s="2666" t="s">
        <v>2768</v>
      </c>
      <c r="B74" s="2674" t="str">
        <f>估价对象房地状况!C21</f>
        <v>估价对象所在区域公共配套设施齐备情况</v>
      </c>
      <c r="C74" s="2556"/>
      <c r="D74" s="1371">
        <f t="shared" si="20"/>
        <v>0</v>
      </c>
      <c r="E74" s="838"/>
      <c r="F74" s="2679"/>
      <c r="G74" s="1372"/>
      <c r="H74" s="1376" t="str">
        <f t="shared" si="21"/>
        <v>——</v>
      </c>
      <c r="I74" s="826">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6"/>
      <c r="AI74" s="2656"/>
      <c r="AJ74" s="2656"/>
      <c r="AK74" s="2656"/>
    </row>
    <row r="75" spans="1:37" s="2657" customFormat="1" ht="25.5">
      <c r="A75" s="2666" t="s">
        <v>2769</v>
      </c>
      <c r="B75" s="2674" t="str">
        <f>估价对象房地状况!C22</f>
        <v>估价对象所在区域基础设施水平</v>
      </c>
      <c r="C75" s="2556"/>
      <c r="D75" s="1371">
        <f t="shared" si="20"/>
        <v>0</v>
      </c>
      <c r="E75" s="838"/>
      <c r="F75" s="2679"/>
      <c r="G75" s="1372"/>
      <c r="H75" s="1376" t="str">
        <f t="shared" si="21"/>
        <v>——</v>
      </c>
      <c r="I75" s="826">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6"/>
      <c r="AI75" s="2656"/>
      <c r="AJ75" s="2656"/>
      <c r="AK75" s="2656"/>
    </row>
    <row r="76" spans="1:37" ht="24">
      <c r="A76" s="2666" t="s">
        <v>2766</v>
      </c>
      <c r="B76" s="2672" t="s">
        <v>2767</v>
      </c>
      <c r="C76" s="2556"/>
      <c r="D76" s="1371">
        <f t="shared" si="20"/>
        <v>0</v>
      </c>
      <c r="E76" s="838"/>
      <c r="F76" s="2679"/>
      <c r="G76" s="1372"/>
      <c r="H76" s="1376" t="str">
        <f t="shared" si="21"/>
        <v>——</v>
      </c>
      <c r="I76" s="826">
        <v>0.05</v>
      </c>
      <c r="J76" s="1373">
        <f t="shared" si="22"/>
        <v>0</v>
      </c>
      <c r="K76" s="1373">
        <f t="shared" si="23"/>
        <v>0</v>
      </c>
      <c r="L76" s="1373">
        <v>0</v>
      </c>
      <c r="M76" s="1373">
        <f t="shared" si="24"/>
        <v>0</v>
      </c>
      <c r="N76" s="1373">
        <f t="shared" si="24"/>
        <v>0</v>
      </c>
      <c r="Z76" s="2503"/>
      <c r="AA76" s="2580"/>
      <c r="AG76" s="2656"/>
      <c r="AK76" s="2580"/>
    </row>
    <row r="77" spans="1:37" ht="38.25">
      <c r="A77" s="2666" t="s">
        <v>2770</v>
      </c>
      <c r="B77" s="2669" t="str">
        <f>估价对象房地状况!C20</f>
        <v>区域自然环境：；人文环境；综合评价环境状况一般</v>
      </c>
      <c r="C77" s="2556"/>
      <c r="D77" s="1371">
        <f t="shared" si="20"/>
        <v>0</v>
      </c>
      <c r="E77" s="838"/>
      <c r="F77" s="2679"/>
      <c r="G77" s="1372"/>
      <c r="H77" s="1376" t="str">
        <f t="shared" si="21"/>
        <v>——</v>
      </c>
      <c r="I77" s="826">
        <v>0.15</v>
      </c>
      <c r="J77" s="1373">
        <f t="shared" si="22"/>
        <v>0</v>
      </c>
      <c r="K77" s="1373">
        <f t="shared" si="23"/>
        <v>0</v>
      </c>
      <c r="L77" s="1373">
        <v>0</v>
      </c>
      <c r="M77" s="1373">
        <f t="shared" si="24"/>
        <v>0</v>
      </c>
      <c r="N77" s="1373">
        <f t="shared" si="24"/>
        <v>0</v>
      </c>
      <c r="Z77" s="2503"/>
      <c r="AA77" s="2580"/>
      <c r="AG77" s="2656"/>
      <c r="AK77" s="2580"/>
    </row>
    <row r="78" spans="1:37" ht="24.75" thickBot="1">
      <c r="A78" s="2675" t="s">
        <v>2779</v>
      </c>
      <c r="B78" s="2680"/>
      <c r="C78" s="2556"/>
      <c r="D78" s="1371">
        <f t="shared" si="20"/>
        <v>0</v>
      </c>
      <c r="E78" s="839"/>
      <c r="F78" s="2679"/>
      <c r="G78" s="1372"/>
      <c r="H78" s="1376" t="str">
        <f t="shared" si="21"/>
        <v>——</v>
      </c>
      <c r="I78" s="835">
        <v>0.04</v>
      </c>
      <c r="J78" s="1373">
        <f t="shared" si="22"/>
        <v>0</v>
      </c>
      <c r="K78" s="1373">
        <f t="shared" si="23"/>
        <v>0</v>
      </c>
      <c r="L78" s="1373">
        <v>0</v>
      </c>
      <c r="M78" s="1373">
        <f t="shared" si="24"/>
        <v>0</v>
      </c>
      <c r="N78" s="1373">
        <f t="shared" si="24"/>
        <v>0</v>
      </c>
      <c r="Z78" s="2503"/>
      <c r="AA78" s="2580"/>
      <c r="AG78" s="2656"/>
      <c r="AK78" s="2580"/>
    </row>
    <row r="79" spans="1:37" ht="15">
      <c r="A79" s="2661" t="s">
        <v>2780</v>
      </c>
      <c r="B79" s="2677">
        <f>1+E81</f>
        <v>1</v>
      </c>
      <c r="C79" s="815"/>
      <c r="D79" s="815"/>
      <c r="E79" s="816"/>
      <c r="F79" s="2664"/>
      <c r="G79" s="7"/>
      <c r="H79" s="7"/>
      <c r="I79" s="7"/>
      <c r="J79" s="9"/>
      <c r="K79" s="9"/>
      <c r="L79" s="9"/>
      <c r="M79" s="9"/>
      <c r="N79" s="9"/>
      <c r="Z79" s="2503"/>
      <c r="AA79" s="2580"/>
      <c r="AG79" s="2656"/>
      <c r="AK79" s="2580"/>
    </row>
    <row r="80" spans="1:37" ht="24.75">
      <c r="A80" s="2666" t="s">
        <v>2746</v>
      </c>
      <c r="B80" s="2670"/>
      <c r="C80" s="821" t="s">
        <v>2748</v>
      </c>
      <c r="D80" s="821" t="s">
        <v>2749</v>
      </c>
      <c r="E80" s="822" t="s">
        <v>2750</v>
      </c>
      <c r="F80" s="2667" t="s">
        <v>2751</v>
      </c>
      <c r="G80" s="821" t="s">
        <v>2772</v>
      </c>
      <c r="H80" s="2668" t="s">
        <v>2773</v>
      </c>
      <c r="I80" s="821" t="s">
        <v>2774</v>
      </c>
      <c r="J80" s="586" t="s">
        <v>2406</v>
      </c>
      <c r="K80" s="586" t="s">
        <v>2407</v>
      </c>
      <c r="L80" s="586" t="s">
        <v>2408</v>
      </c>
      <c r="M80" s="586" t="s">
        <v>2409</v>
      </c>
      <c r="N80" s="586" t="s">
        <v>2410</v>
      </c>
      <c r="Z80" s="2503"/>
      <c r="AA80" s="2580"/>
      <c r="AG80" s="2656"/>
      <c r="AK80" s="2580"/>
    </row>
    <row r="81" spans="1:37" ht="38.25">
      <c r="A81" s="2666" t="s">
        <v>2781</v>
      </c>
      <c r="B81" s="2670" t="str">
        <f>估价对象房地状况!G15</f>
        <v>估价对象位于XX开发区，园区建设成熟度XX，产业集聚程度XX</v>
      </c>
      <c r="C81" s="2556"/>
      <c r="D81" s="1371">
        <f t="shared" ref="D81:D88" si="25">SUMIF($J$80:$N$80,C81,J81:N81)</f>
        <v>0</v>
      </c>
      <c r="E81" s="827">
        <f>ROUND(SUM(D81:D88),4)</f>
        <v>0</v>
      </c>
      <c r="F81" s="2273" t="str">
        <f>IF(E2="工业",SUMIF(L1:L12,G2,N1:N12),"——")</f>
        <v>——</v>
      </c>
      <c r="G81" s="1372"/>
      <c r="H81" s="1376" t="str">
        <f t="shared" ref="H81:H88" si="26">IFERROR(ROUNDDOWN($F$81*I81/2,4),"——")</f>
        <v>——</v>
      </c>
      <c r="I81" s="826">
        <v>0.26</v>
      </c>
      <c r="J81" s="1373">
        <f t="shared" ref="J81:J88" si="27">K81+$G81</f>
        <v>0</v>
      </c>
      <c r="K81" s="1373">
        <f t="shared" ref="K81:K88" si="28">$L81+$G81</f>
        <v>0</v>
      </c>
      <c r="L81" s="1373">
        <v>0</v>
      </c>
      <c r="M81" s="1373">
        <f t="shared" ref="M81:N88" si="29">L81-$G81</f>
        <v>0</v>
      </c>
      <c r="N81" s="1373">
        <f t="shared" si="29"/>
        <v>0</v>
      </c>
      <c r="Z81" s="2503"/>
      <c r="AA81" s="2580"/>
      <c r="AG81" s="2656"/>
      <c r="AK81" s="2580"/>
    </row>
    <row r="82" spans="1:37" ht="51">
      <c r="A82" s="2666" t="s">
        <v>2761</v>
      </c>
      <c r="B82" s="2670" t="str">
        <f>估价对象房地状况!G16</f>
        <v>估价对象周边道路状况、公共交通通达情况、停车便捷程度，综合评价交通便捷度较好</v>
      </c>
      <c r="C82" s="2556"/>
      <c r="D82" s="1371">
        <f t="shared" si="25"/>
        <v>0</v>
      </c>
      <c r="E82" s="838"/>
      <c r="F82" s="2679"/>
      <c r="G82" s="1372"/>
      <c r="H82" s="1376" t="str">
        <f t="shared" si="26"/>
        <v>——</v>
      </c>
      <c r="I82" s="826">
        <v>0.33</v>
      </c>
      <c r="J82" s="1373">
        <f t="shared" si="27"/>
        <v>0</v>
      </c>
      <c r="K82" s="1373">
        <f t="shared" si="28"/>
        <v>0</v>
      </c>
      <c r="L82" s="1373">
        <v>0</v>
      </c>
      <c r="M82" s="1373">
        <f t="shared" si="29"/>
        <v>0</v>
      </c>
      <c r="N82" s="1373">
        <f t="shared" si="29"/>
        <v>0</v>
      </c>
      <c r="Z82" s="2503"/>
      <c r="AA82" s="2580"/>
      <c r="AG82" s="2656"/>
      <c r="AK82" s="2580"/>
    </row>
    <row r="83" spans="1:37" ht="24">
      <c r="A83" s="2666" t="s">
        <v>2762</v>
      </c>
      <c r="B83" s="2670">
        <f>估价对象房地状况!G17</f>
        <v>0</v>
      </c>
      <c r="C83" s="2556"/>
      <c r="D83" s="1371">
        <f t="shared" si="25"/>
        <v>0</v>
      </c>
      <c r="E83" s="838"/>
      <c r="F83" s="2679"/>
      <c r="G83" s="1372"/>
      <c r="H83" s="1376" t="str">
        <f t="shared" si="26"/>
        <v>——</v>
      </c>
      <c r="I83" s="826">
        <v>0.05</v>
      </c>
      <c r="J83" s="1373">
        <f t="shared" si="27"/>
        <v>0</v>
      </c>
      <c r="K83" s="1373">
        <f t="shared" si="28"/>
        <v>0</v>
      </c>
      <c r="L83" s="1373">
        <v>0</v>
      </c>
      <c r="M83" s="1373">
        <f t="shared" si="29"/>
        <v>0</v>
      </c>
      <c r="N83" s="1373">
        <f t="shared" si="29"/>
        <v>0</v>
      </c>
      <c r="Z83" s="2503"/>
      <c r="AA83" s="2580"/>
      <c r="AG83" s="2656"/>
      <c r="AK83" s="2580"/>
    </row>
    <row r="84" spans="1:37" ht="14.25">
      <c r="A84" s="2666" t="s">
        <v>2778</v>
      </c>
      <c r="B84" s="2670">
        <f>估价对象房地状况!G22</f>
        <v>0</v>
      </c>
      <c r="C84" s="2556"/>
      <c r="D84" s="1371">
        <f t="shared" si="25"/>
        <v>0</v>
      </c>
      <c r="E84" s="838"/>
      <c r="F84" s="2679"/>
      <c r="G84" s="1372"/>
      <c r="H84" s="1376" t="str">
        <f t="shared" si="26"/>
        <v>——</v>
      </c>
      <c r="I84" s="826">
        <v>0.04</v>
      </c>
      <c r="J84" s="1373">
        <f t="shared" si="27"/>
        <v>0</v>
      </c>
      <c r="K84" s="1373">
        <f t="shared" si="28"/>
        <v>0</v>
      </c>
      <c r="L84" s="1373">
        <v>0</v>
      </c>
      <c r="M84" s="1373">
        <f t="shared" si="29"/>
        <v>0</v>
      </c>
      <c r="N84" s="1373">
        <f t="shared" si="29"/>
        <v>0</v>
      </c>
      <c r="Z84" s="2503"/>
      <c r="AA84" s="2580"/>
      <c r="AG84" s="2656"/>
      <c r="AK84" s="2580"/>
    </row>
    <row r="85" spans="1:37" ht="25.5">
      <c r="A85" s="2666" t="s">
        <v>2768</v>
      </c>
      <c r="B85" s="2674" t="str">
        <f>估价对象房地状况!G19</f>
        <v>估价对象所在区域公共配套设施齐备情况</v>
      </c>
      <c r="C85" s="2556"/>
      <c r="D85" s="1371">
        <f t="shared" si="25"/>
        <v>0</v>
      </c>
      <c r="E85" s="838"/>
      <c r="F85" s="2679"/>
      <c r="G85" s="1372"/>
      <c r="H85" s="1376" t="str">
        <f t="shared" si="26"/>
        <v>——</v>
      </c>
      <c r="I85" s="826">
        <v>0.06</v>
      </c>
      <c r="J85" s="1373">
        <f t="shared" si="27"/>
        <v>0</v>
      </c>
      <c r="K85" s="1373">
        <f t="shared" si="28"/>
        <v>0</v>
      </c>
      <c r="L85" s="1373">
        <v>0</v>
      </c>
      <c r="M85" s="1373">
        <f t="shared" si="29"/>
        <v>0</v>
      </c>
      <c r="N85" s="1373">
        <f t="shared" si="29"/>
        <v>0</v>
      </c>
      <c r="Z85" s="2503"/>
      <c r="AA85" s="2580"/>
      <c r="AG85" s="2656"/>
      <c r="AK85" s="2580"/>
    </row>
    <row r="86" spans="1:37" ht="25.5">
      <c r="A86" s="2666" t="s">
        <v>2769</v>
      </c>
      <c r="B86" s="2674" t="str">
        <f>估价对象房地状况!G20</f>
        <v>估价对象所在区域基础设施水平</v>
      </c>
      <c r="C86" s="2556"/>
      <c r="D86" s="1371">
        <f t="shared" si="25"/>
        <v>0</v>
      </c>
      <c r="E86" s="838"/>
      <c r="F86" s="2679"/>
      <c r="G86" s="1372"/>
      <c r="H86" s="1376" t="str">
        <f t="shared" si="26"/>
        <v>——</v>
      </c>
      <c r="I86" s="826">
        <v>0.15</v>
      </c>
      <c r="J86" s="1373">
        <f t="shared" si="27"/>
        <v>0</v>
      </c>
      <c r="K86" s="1373">
        <f t="shared" si="28"/>
        <v>0</v>
      </c>
      <c r="L86" s="1373">
        <v>0</v>
      </c>
      <c r="M86" s="1373">
        <f t="shared" si="29"/>
        <v>0</v>
      </c>
      <c r="N86" s="1373">
        <f t="shared" si="29"/>
        <v>0</v>
      </c>
      <c r="Z86" s="2503"/>
      <c r="AA86" s="2580"/>
      <c r="AG86" s="2656"/>
      <c r="AK86" s="2580"/>
    </row>
    <row r="87" spans="1:37" ht="24">
      <c r="A87" s="2666" t="s">
        <v>2766</v>
      </c>
      <c r="B87" s="2672" t="s">
        <v>2767</v>
      </c>
      <c r="C87" s="2556"/>
      <c r="D87" s="1371">
        <f t="shared" si="25"/>
        <v>0</v>
      </c>
      <c r="E87" s="838"/>
      <c r="F87" s="2679"/>
      <c r="G87" s="1372"/>
      <c r="H87" s="1376" t="str">
        <f t="shared" si="26"/>
        <v>——</v>
      </c>
      <c r="I87" s="826">
        <v>0.05</v>
      </c>
      <c r="J87" s="1373">
        <f t="shared" si="27"/>
        <v>0</v>
      </c>
      <c r="K87" s="1373">
        <f t="shared" si="28"/>
        <v>0</v>
      </c>
      <c r="L87" s="1373">
        <v>0</v>
      </c>
      <c r="M87" s="1373">
        <f t="shared" si="29"/>
        <v>0</v>
      </c>
      <c r="N87" s="1373">
        <f t="shared" si="29"/>
        <v>0</v>
      </c>
      <c r="Z87" s="2503"/>
      <c r="AA87" s="2580"/>
      <c r="AG87" s="2656"/>
      <c r="AK87" s="2580"/>
    </row>
    <row r="88" spans="1:37" ht="39" thickBot="1">
      <c r="A88" s="2675" t="s">
        <v>2782</v>
      </c>
      <c r="B88" s="2681" t="str">
        <f>估价对象房地状况!G18</f>
        <v>该园区内是否有污染型企业，绿化情况，卫生条件，整体环境状况判断</v>
      </c>
      <c r="C88" s="2682"/>
      <c r="D88" s="1377">
        <f t="shared" si="25"/>
        <v>0</v>
      </c>
      <c r="E88" s="839"/>
      <c r="F88" s="2679"/>
      <c r="G88" s="1372"/>
      <c r="H88" s="1376" t="str">
        <f t="shared" si="26"/>
        <v>——</v>
      </c>
      <c r="I88" s="835">
        <v>0.06</v>
      </c>
      <c r="J88" s="1373">
        <f t="shared" si="27"/>
        <v>0</v>
      </c>
      <c r="K88" s="1373">
        <f t="shared" si="28"/>
        <v>0</v>
      </c>
      <c r="L88" s="1373">
        <v>0</v>
      </c>
      <c r="M88" s="1373">
        <f t="shared" si="29"/>
        <v>0</v>
      </c>
      <c r="N88" s="1373">
        <f t="shared" si="29"/>
        <v>0</v>
      </c>
      <c r="Z88" s="2503"/>
      <c r="AA88" s="2580"/>
      <c r="AG88" s="2656"/>
      <c r="AK88" s="2580"/>
    </row>
    <row r="90" spans="1:37">
      <c r="A90" s="3057" t="s">
        <v>2783</v>
      </c>
      <c r="B90" s="3057"/>
      <c r="C90" s="3057"/>
      <c r="D90" s="3057"/>
      <c r="E90" s="3057"/>
      <c r="F90" s="3057"/>
      <c r="G90" s="3057"/>
      <c r="H90" s="3057"/>
      <c r="I90" s="3057"/>
      <c r="J90" s="3057"/>
      <c r="K90" s="2683"/>
      <c r="L90" s="2683"/>
      <c r="M90" s="2683"/>
      <c r="N90" s="2683"/>
    </row>
    <row r="91" spans="1:37">
      <c r="A91" s="3059" t="s">
        <v>2784</v>
      </c>
      <c r="B91" s="3059" t="s">
        <v>2785</v>
      </c>
      <c r="C91" s="2631" t="s">
        <v>2786</v>
      </c>
      <c r="D91" s="2632"/>
      <c r="E91" s="2632"/>
      <c r="F91" s="2632"/>
      <c r="G91" s="2632"/>
      <c r="H91" s="2632"/>
      <c r="I91" s="2632"/>
      <c r="J91" s="2684"/>
      <c r="K91" s="2685"/>
      <c r="L91" s="2685"/>
      <c r="M91" s="2685"/>
      <c r="N91" s="2685"/>
    </row>
    <row r="92" spans="1:37">
      <c r="A92" s="3059"/>
      <c r="B92" s="3059"/>
      <c r="C92" s="970" t="s">
        <v>2637</v>
      </c>
      <c r="D92" s="970" t="s">
        <v>2638</v>
      </c>
      <c r="E92" s="970" t="s">
        <v>2639</v>
      </c>
      <c r="F92" s="970" t="s">
        <v>2640</v>
      </c>
      <c r="G92" s="970" t="s">
        <v>2641</v>
      </c>
      <c r="H92" s="970" t="s">
        <v>2642</v>
      </c>
      <c r="I92" s="970" t="s">
        <v>2643</v>
      </c>
      <c r="J92" s="970" t="s">
        <v>2644</v>
      </c>
      <c r="K92" s="970" t="s">
        <v>2645</v>
      </c>
      <c r="L92" s="970" t="s">
        <v>2646</v>
      </c>
      <c r="M92" s="970" t="s">
        <v>2647</v>
      </c>
      <c r="N92" s="970" t="s">
        <v>2648</v>
      </c>
    </row>
    <row r="93" spans="1:37">
      <c r="A93" s="3060" t="s">
        <v>2787</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1"/>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1"/>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1"/>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1"/>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1"/>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1"/>
      <c r="B99" s="2686" t="s">
        <v>2653</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2"/>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0" t="s">
        <v>2788</v>
      </c>
      <c r="B101" s="2690" t="s">
        <v>2789</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61"/>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61"/>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61"/>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61"/>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61"/>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61"/>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61"/>
      <c r="B108" s="3063" t="s">
        <v>2790</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2"/>
      <c r="B109" s="3064"/>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58" t="s">
        <v>2791</v>
      </c>
      <c r="B110" s="3058"/>
      <c r="C110" s="3058"/>
      <c r="D110" s="3058"/>
      <c r="E110" s="3058"/>
      <c r="F110" s="3058"/>
      <c r="G110" s="3058"/>
      <c r="H110" s="3058"/>
      <c r="I110" s="3058"/>
      <c r="J110" s="3058"/>
      <c r="K110" s="2692"/>
      <c r="L110" s="2692"/>
      <c r="M110" s="2692"/>
      <c r="N110" s="2692"/>
    </row>
    <row r="112" spans="1:14" ht="13.5" thickBot="1"/>
    <row r="113" spans="1:13" ht="25.5" thickBot="1">
      <c r="A113" s="926" t="s">
        <v>2792</v>
      </c>
      <c r="B113" s="1374">
        <f>G3</f>
        <v>0</v>
      </c>
      <c r="C113" s="927" t="s">
        <v>2793</v>
      </c>
      <c r="D113" s="928">
        <f>SUMPRODUCT((A115:A118=F113)*(B114:M114=H113)*B115:M118)</f>
        <v>0</v>
      </c>
      <c r="E113" s="2694" t="s">
        <v>2677</v>
      </c>
      <c r="F113" s="2695">
        <f>E2</f>
        <v>0</v>
      </c>
      <c r="G113" s="2694" t="s">
        <v>2611</v>
      </c>
      <c r="H113" s="2695">
        <f>G2</f>
        <v>0</v>
      </c>
      <c r="I113" s="2694"/>
      <c r="J113" s="2696"/>
      <c r="K113" s="2696"/>
      <c r="L113" s="2696"/>
      <c r="M113" s="2696"/>
    </row>
    <row r="114" spans="1:13">
      <c r="A114" s="931"/>
      <c r="B114" s="2697" t="s">
        <v>2794</v>
      </c>
      <c r="C114" s="2697" t="s">
        <v>2795</v>
      </c>
      <c r="D114" s="2697" t="s">
        <v>2796</v>
      </c>
      <c r="E114" s="2698" t="s">
        <v>2797</v>
      </c>
      <c r="F114" s="2698" t="s">
        <v>2798</v>
      </c>
      <c r="G114" s="2698" t="s">
        <v>2799</v>
      </c>
      <c r="H114" s="2699" t="s">
        <v>2800</v>
      </c>
      <c r="I114" s="2699" t="s">
        <v>2801</v>
      </c>
      <c r="J114" s="2700" t="s">
        <v>2802</v>
      </c>
      <c r="K114" s="2700" t="s">
        <v>2803</v>
      </c>
      <c r="L114" s="2700" t="s">
        <v>2804</v>
      </c>
      <c r="M114" s="2701" t="s">
        <v>2805</v>
      </c>
    </row>
    <row r="115" spans="1:13">
      <c r="A115" s="932" t="s">
        <v>2678</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2679</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2680</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2681</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1267</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1268</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估价对象为北京市房地产，为冯宁所有。根据《不动产权证书》[]，估价对象建筑面积为103.71平方米，（分摊）出让国有建设用地使用权面积为平方米。估价对象用途为。</v>
      </c>
      <c r="B6" s="1912"/>
      <c r="C6" s="1912"/>
      <c r="D6" s="1912"/>
      <c r="E6" s="1912"/>
      <c r="F6" s="1912"/>
      <c r="G6" s="1912"/>
    </row>
    <row r="7" spans="1:7" ht="18.75">
      <c r="A7" s="1913" t="s">
        <v>1269</v>
      </c>
    </row>
    <row r="8" spans="1:7" ht="36">
      <c r="A8" s="1915"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6"/>
      <c r="C8" s="1912"/>
      <c r="D8" s="1912"/>
      <c r="E8" s="1912"/>
      <c r="F8" s="1912"/>
      <c r="G8" s="1912"/>
    </row>
    <row r="9" spans="1:7" ht="18.75">
      <c r="A9" s="1910" t="s">
        <v>1270</v>
      </c>
      <c r="B9" s="1917"/>
    </row>
    <row r="10" spans="1:7" ht="18">
      <c r="A10" s="1918" t="str">
        <f>TEXT(项目基本情况!D2,"yyyy年m月d日;;")&amp;IF(项目基本情况!B2=项目基本情况!D2,"（评估专业人员实地查勘之日）","")</f>
        <v>2018年6月6日（评估专业人员实地查勘之日）</v>
      </c>
      <c r="B10" s="1919"/>
      <c r="C10" s="1919"/>
      <c r="D10" s="1919"/>
      <c r="E10" s="1919"/>
      <c r="F10" s="1919"/>
      <c r="G10" s="1919"/>
    </row>
    <row r="11" spans="1:7" ht="18.75">
      <c r="A11" s="1910" t="s">
        <v>1271</v>
      </c>
    </row>
    <row r="12" spans="1:7" ht="75">
      <c r="A12" s="1912" t="s">
        <v>1272</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1266</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1265</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77" t="s">
        <v>787</v>
      </c>
      <c r="B1" s="3077"/>
    </row>
    <row r="2" spans="1:6" ht="14.25" thickBot="1">
      <c r="A2" s="1090"/>
      <c r="B2" s="1090"/>
    </row>
    <row r="3" spans="1:6" ht="14.25" thickBot="1">
      <c r="A3" s="1090"/>
      <c r="B3" s="1090"/>
      <c r="C3" s="1093" t="s">
        <v>788</v>
      </c>
      <c r="D3" s="1093" t="s">
        <v>789</v>
      </c>
      <c r="E3" s="1093" t="s">
        <v>790</v>
      </c>
      <c r="F3" s="1093" t="s">
        <v>791</v>
      </c>
    </row>
    <row r="4" spans="1:6" ht="14.25" thickBot="1">
      <c r="A4" s="1094" t="s">
        <v>792</v>
      </c>
      <c r="B4" s="1095" t="s">
        <v>793</v>
      </c>
      <c r="C4" s="1093"/>
      <c r="D4" s="1093"/>
      <c r="E4" s="1093"/>
      <c r="F4" s="1093"/>
    </row>
    <row r="5" spans="1:6" ht="14.25" thickBot="1">
      <c r="A5" s="854" t="s">
        <v>794</v>
      </c>
      <c r="B5" s="855" t="s">
        <v>795</v>
      </c>
      <c r="C5" s="1096">
        <v>8.8999999999999996E-2</v>
      </c>
      <c r="D5" s="1096">
        <v>7.3999999999999996E-2</v>
      </c>
      <c r="E5" s="1096">
        <v>7.4999999999999997E-2</v>
      </c>
      <c r="F5" s="1097">
        <v>0.1</v>
      </c>
    </row>
    <row r="6" spans="1:6" ht="14.25" thickBot="1">
      <c r="A6" s="854" t="s">
        <v>161</v>
      </c>
      <c r="B6" s="848" t="s">
        <v>796</v>
      </c>
      <c r="C6" s="1098">
        <v>0.1</v>
      </c>
      <c r="D6" s="1098">
        <v>9.0999999999999998E-2</v>
      </c>
      <c r="E6" s="1098">
        <v>9.0999999999999998E-2</v>
      </c>
      <c r="F6" s="1099">
        <v>0.1</v>
      </c>
    </row>
    <row r="7" spans="1:6" ht="14.25" thickBot="1">
      <c r="A7" s="854" t="s">
        <v>161</v>
      </c>
      <c r="B7" s="862" t="s">
        <v>150</v>
      </c>
      <c r="C7" s="1098">
        <v>8.5999999999999993E-2</v>
      </c>
      <c r="D7" s="1098">
        <v>9.6000000000000002E-2</v>
      </c>
      <c r="E7" s="1098">
        <v>7.5999999999999998E-2</v>
      </c>
      <c r="F7" s="1099">
        <v>0.1</v>
      </c>
    </row>
    <row r="8" spans="1:6" ht="14.25" thickBot="1">
      <c r="A8" s="854" t="s">
        <v>161</v>
      </c>
      <c r="B8" s="848" t="s">
        <v>162</v>
      </c>
      <c r="C8" s="1098">
        <v>9.9000000000000005E-2</v>
      </c>
      <c r="D8" s="1098">
        <v>9.8000000000000004E-2</v>
      </c>
      <c r="E8" s="1098">
        <v>9.8000000000000004E-2</v>
      </c>
      <c r="F8" s="1099">
        <v>0.1</v>
      </c>
    </row>
    <row r="9" spans="1:6" ht="14.25" thickBot="1">
      <c r="A9" s="871" t="s">
        <v>161</v>
      </c>
      <c r="B9" s="863" t="s">
        <v>174</v>
      </c>
      <c r="C9" s="1100">
        <v>0.05</v>
      </c>
      <c r="D9" s="1101"/>
      <c r="E9" s="1101"/>
      <c r="F9" s="1102"/>
    </row>
    <row r="10" spans="1:6" ht="14.25" thickBot="1">
      <c r="A10" s="854" t="s">
        <v>221</v>
      </c>
      <c r="B10" s="855" t="s">
        <v>797</v>
      </c>
      <c r="C10" s="1096">
        <v>8.8999999999999996E-2</v>
      </c>
      <c r="D10" s="1096">
        <v>7.2999999999999995E-2</v>
      </c>
      <c r="E10" s="1096">
        <v>8.2000000000000003E-2</v>
      </c>
      <c r="F10" s="1097">
        <v>0.1</v>
      </c>
    </row>
    <row r="11" spans="1:6" ht="14.25" thickBot="1">
      <c r="A11" s="854" t="s">
        <v>221</v>
      </c>
      <c r="B11" s="862" t="s">
        <v>137</v>
      </c>
      <c r="C11" s="1098">
        <v>8.8999999999999996E-2</v>
      </c>
      <c r="D11" s="1098">
        <v>7.2999999999999995E-2</v>
      </c>
      <c r="E11" s="1098">
        <v>8.2000000000000003E-2</v>
      </c>
      <c r="F11" s="1099">
        <v>0.1</v>
      </c>
    </row>
    <row r="12" spans="1:6" ht="14.25" thickBot="1">
      <c r="A12" s="854" t="s">
        <v>221</v>
      </c>
      <c r="B12" s="862" t="s">
        <v>88</v>
      </c>
      <c r="C12" s="1098">
        <v>6.0999999999999999E-2</v>
      </c>
      <c r="D12" s="1098">
        <v>7.0999999999999994E-2</v>
      </c>
      <c r="E12" s="1098">
        <v>9.6000000000000002E-2</v>
      </c>
      <c r="F12" s="1099">
        <v>0.1</v>
      </c>
    </row>
    <row r="13" spans="1:6" ht="14.25" thickBot="1">
      <c r="A13" s="854" t="s">
        <v>221</v>
      </c>
      <c r="B13" s="862" t="s">
        <v>163</v>
      </c>
      <c r="C13" s="1098">
        <v>6.9000000000000006E-2</v>
      </c>
      <c r="D13" s="1098">
        <v>6.5000000000000002E-2</v>
      </c>
      <c r="E13" s="1098">
        <v>6.6000000000000003E-2</v>
      </c>
      <c r="F13" s="1099">
        <v>0.1</v>
      </c>
    </row>
    <row r="14" spans="1:6" ht="14.25" thickBot="1">
      <c r="A14" s="854" t="s">
        <v>221</v>
      </c>
      <c r="B14" s="862" t="s">
        <v>175</v>
      </c>
      <c r="C14" s="1098">
        <v>0.1</v>
      </c>
      <c r="D14" s="1098">
        <v>6.5000000000000002E-2</v>
      </c>
      <c r="E14" s="1098">
        <v>7.0000000000000007E-2</v>
      </c>
      <c r="F14" s="1099">
        <v>0.1</v>
      </c>
    </row>
    <row r="15" spans="1:6" ht="14.25" thickBot="1">
      <c r="A15" s="854" t="s">
        <v>221</v>
      </c>
      <c r="B15" s="862" t="s">
        <v>187</v>
      </c>
      <c r="C15" s="1098">
        <v>9.8000000000000004E-2</v>
      </c>
      <c r="D15" s="1098">
        <v>8.8999999999999996E-2</v>
      </c>
      <c r="E15" s="1098">
        <v>8.8999999999999996E-2</v>
      </c>
      <c r="F15" s="1099">
        <v>0.1</v>
      </c>
    </row>
    <row r="16" spans="1:6" ht="14.25" thickBot="1">
      <c r="A16" s="854" t="s">
        <v>221</v>
      </c>
      <c r="B16" s="862" t="s">
        <v>199</v>
      </c>
      <c r="C16" s="1098">
        <v>7.0000000000000007E-2</v>
      </c>
      <c r="D16" s="1098">
        <v>9.2999999999999999E-2</v>
      </c>
      <c r="E16" s="1098">
        <v>9.6000000000000002E-2</v>
      </c>
      <c r="F16" s="1099">
        <v>0.1</v>
      </c>
    </row>
    <row r="17" spans="1:6" ht="14.25" thickBot="1">
      <c r="A17" s="854" t="s">
        <v>221</v>
      </c>
      <c r="B17" s="862" t="s">
        <v>211</v>
      </c>
      <c r="C17" s="1098">
        <v>9.5000000000000001E-2</v>
      </c>
      <c r="D17" s="1098">
        <v>0.1</v>
      </c>
      <c r="E17" s="1098">
        <v>0.1</v>
      </c>
      <c r="F17" s="1103"/>
    </row>
    <row r="18" spans="1:6" ht="14.25" thickBot="1">
      <c r="A18" s="854" t="s">
        <v>221</v>
      </c>
      <c r="B18" s="862" t="s">
        <v>224</v>
      </c>
      <c r="C18" s="1098">
        <v>7.3999999999999996E-2</v>
      </c>
      <c r="D18" s="1098">
        <v>9.9000000000000005E-2</v>
      </c>
      <c r="E18" s="1098">
        <v>0.1</v>
      </c>
      <c r="F18" s="1103"/>
    </row>
    <row r="19" spans="1:6" ht="14.25" thickBot="1">
      <c r="A19" s="854" t="s">
        <v>221</v>
      </c>
      <c r="B19" s="862" t="s">
        <v>235</v>
      </c>
      <c r="C19" s="1098">
        <v>9.9000000000000005E-2</v>
      </c>
      <c r="D19" s="1098">
        <v>7.5999999999999998E-2</v>
      </c>
      <c r="E19" s="1098">
        <v>8.6999999999999994E-2</v>
      </c>
      <c r="F19" s="1103"/>
    </row>
    <row r="20" spans="1:6" ht="14.25" thickBot="1">
      <c r="A20" s="854" t="s">
        <v>221</v>
      </c>
      <c r="B20" s="862" t="s">
        <v>246</v>
      </c>
      <c r="C20" s="1098">
        <v>9.8000000000000004E-2</v>
      </c>
      <c r="D20" s="1098">
        <v>8.5000000000000006E-2</v>
      </c>
      <c r="E20" s="1098">
        <v>8.2000000000000003E-2</v>
      </c>
      <c r="F20" s="1103"/>
    </row>
    <row r="21" spans="1:6" ht="14.25" thickBot="1">
      <c r="A21" s="854" t="s">
        <v>221</v>
      </c>
      <c r="B21" s="862" t="s">
        <v>257</v>
      </c>
      <c r="C21" s="1098">
        <v>6.6000000000000003E-2</v>
      </c>
      <c r="D21" s="1098">
        <v>6.4000000000000001E-2</v>
      </c>
      <c r="E21" s="1098">
        <v>6.5000000000000002E-2</v>
      </c>
      <c r="F21" s="1103"/>
    </row>
    <row r="22" spans="1:6" ht="14.25" thickBot="1">
      <c r="A22" s="854" t="s">
        <v>221</v>
      </c>
      <c r="B22" s="862" t="s">
        <v>798</v>
      </c>
      <c r="C22" s="1098">
        <v>0.08</v>
      </c>
      <c r="D22" s="1098">
        <v>9.8000000000000004E-2</v>
      </c>
      <c r="E22" s="1098">
        <v>9.8000000000000004E-2</v>
      </c>
      <c r="F22" s="1103"/>
    </row>
    <row r="23" spans="1:6" ht="14.25" thickBot="1">
      <c r="A23" s="854" t="s">
        <v>221</v>
      </c>
      <c r="B23" s="862" t="s">
        <v>279</v>
      </c>
      <c r="C23" s="1098">
        <v>9.9000000000000005E-2</v>
      </c>
      <c r="D23" s="1098">
        <v>9.8000000000000004E-2</v>
      </c>
      <c r="E23" s="1098">
        <v>9.0999999999999998E-2</v>
      </c>
      <c r="F23" s="1103"/>
    </row>
    <row r="24" spans="1:6" ht="14.25" thickBot="1">
      <c r="A24" s="854" t="s">
        <v>221</v>
      </c>
      <c r="B24" s="862" t="s">
        <v>290</v>
      </c>
      <c r="C24" s="1098">
        <v>8.8999999999999996E-2</v>
      </c>
      <c r="D24" s="1098">
        <v>9.7000000000000003E-2</v>
      </c>
      <c r="E24" s="1098">
        <v>7.0000000000000007E-2</v>
      </c>
      <c r="F24" s="1103"/>
    </row>
    <row r="25" spans="1:6" ht="14.25" thickBot="1">
      <c r="A25" s="854" t="s">
        <v>221</v>
      </c>
      <c r="B25" s="862" t="s">
        <v>300</v>
      </c>
      <c r="C25" s="1098">
        <v>8.8999999999999996E-2</v>
      </c>
      <c r="D25" s="1098">
        <v>0.1</v>
      </c>
      <c r="E25" s="1098">
        <v>8.1000000000000003E-2</v>
      </c>
      <c r="F25" s="1103"/>
    </row>
    <row r="26" spans="1:6" ht="14.25" thickBot="1">
      <c r="A26" s="854" t="s">
        <v>221</v>
      </c>
      <c r="B26" s="862" t="s">
        <v>310</v>
      </c>
      <c r="C26" s="1104"/>
      <c r="D26" s="1098">
        <v>9.6000000000000002E-2</v>
      </c>
      <c r="E26" s="1098">
        <v>9.2999999999999999E-2</v>
      </c>
      <c r="F26" s="1103"/>
    </row>
    <row r="27" spans="1:6" ht="14.25" thickBot="1">
      <c r="A27" s="854" t="s">
        <v>221</v>
      </c>
      <c r="B27" s="862" t="s">
        <v>320</v>
      </c>
      <c r="C27" s="1104"/>
      <c r="D27" s="1098">
        <v>7.5999999999999998E-2</v>
      </c>
      <c r="E27" s="1098">
        <v>9.1999999999999998E-2</v>
      </c>
      <c r="F27" s="1103"/>
    </row>
    <row r="28" spans="1:6" ht="14.25" thickBot="1">
      <c r="A28" s="871" t="s">
        <v>221</v>
      </c>
      <c r="B28" s="863" t="s">
        <v>330</v>
      </c>
      <c r="C28" s="1101"/>
      <c r="D28" s="1100">
        <v>7.5999999999999998E-2</v>
      </c>
      <c r="E28" s="1100">
        <v>9.1999999999999998E-2</v>
      </c>
      <c r="F28" s="1102"/>
    </row>
    <row r="29" spans="1:6" ht="14.25" thickBot="1">
      <c r="A29" s="854" t="s">
        <v>399</v>
      </c>
      <c r="B29" s="855" t="s">
        <v>799</v>
      </c>
      <c r="C29" s="1096">
        <v>6.4000000000000001E-2</v>
      </c>
      <c r="D29" s="1096">
        <v>6.5000000000000002E-2</v>
      </c>
      <c r="E29" s="1096">
        <v>6.9000000000000006E-2</v>
      </c>
      <c r="F29" s="1097">
        <v>0.1</v>
      </c>
    </row>
    <row r="30" spans="1:6" ht="14.25" thickBot="1">
      <c r="A30" s="854" t="s">
        <v>399</v>
      </c>
      <c r="B30" s="862" t="s">
        <v>138</v>
      </c>
      <c r="C30" s="1098">
        <v>6.4000000000000001E-2</v>
      </c>
      <c r="D30" s="1098">
        <v>9.9000000000000005E-2</v>
      </c>
      <c r="E30" s="1098">
        <v>0.1</v>
      </c>
      <c r="F30" s="1099">
        <v>0.1</v>
      </c>
    </row>
    <row r="31" spans="1:6" ht="14.25" thickBot="1">
      <c r="A31" s="854" t="s">
        <v>399</v>
      </c>
      <c r="B31" s="862" t="s">
        <v>151</v>
      </c>
      <c r="C31" s="1098">
        <v>0.1</v>
      </c>
      <c r="D31" s="1098">
        <v>9.5000000000000001E-2</v>
      </c>
      <c r="E31" s="1098">
        <v>8.8999999999999996E-2</v>
      </c>
      <c r="F31" s="1099">
        <v>0.1</v>
      </c>
    </row>
    <row r="32" spans="1:6" ht="14.25" thickBot="1">
      <c r="A32" s="854" t="s">
        <v>399</v>
      </c>
      <c r="B32" s="862" t="s">
        <v>164</v>
      </c>
      <c r="C32" s="1098">
        <v>0.05</v>
      </c>
      <c r="D32" s="1098">
        <v>0.05</v>
      </c>
      <c r="E32" s="1098">
        <v>8.7999999999999995E-2</v>
      </c>
      <c r="F32" s="1099">
        <v>0.1</v>
      </c>
    </row>
    <row r="33" spans="1:6" ht="14.25" thickBot="1">
      <c r="A33" s="854" t="s">
        <v>399</v>
      </c>
      <c r="B33" s="862" t="s">
        <v>176</v>
      </c>
      <c r="C33" s="1098">
        <v>7.4999999999999997E-2</v>
      </c>
      <c r="D33" s="1098">
        <v>9.4E-2</v>
      </c>
      <c r="E33" s="1098">
        <v>9.7000000000000003E-2</v>
      </c>
      <c r="F33" s="1099">
        <v>0.1</v>
      </c>
    </row>
    <row r="34" spans="1:6" ht="14.25" thickBot="1">
      <c r="A34" s="854" t="s">
        <v>399</v>
      </c>
      <c r="B34" s="862" t="s">
        <v>188</v>
      </c>
      <c r="C34" s="1098">
        <v>9.8000000000000004E-2</v>
      </c>
      <c r="D34" s="1098">
        <v>8.5999999999999993E-2</v>
      </c>
      <c r="E34" s="1098">
        <v>9.7000000000000003E-2</v>
      </c>
      <c r="F34" s="1099">
        <v>0.1</v>
      </c>
    </row>
    <row r="35" spans="1:6" ht="14.25" thickBot="1">
      <c r="A35" s="854" t="s">
        <v>399</v>
      </c>
      <c r="B35" s="862" t="s">
        <v>200</v>
      </c>
      <c r="C35" s="1098">
        <v>5.8999999999999997E-2</v>
      </c>
      <c r="D35" s="1098">
        <v>6.5000000000000002E-2</v>
      </c>
      <c r="E35" s="1098">
        <v>7.0000000000000007E-2</v>
      </c>
      <c r="F35" s="1099">
        <v>0.1</v>
      </c>
    </row>
    <row r="36" spans="1:6" ht="14.25" thickBot="1">
      <c r="A36" s="854" t="s">
        <v>399</v>
      </c>
      <c r="B36" s="862" t="s">
        <v>212</v>
      </c>
      <c r="C36" s="1098">
        <v>6.3E-2</v>
      </c>
      <c r="D36" s="1098">
        <v>0.1</v>
      </c>
      <c r="E36" s="1098">
        <v>0.1</v>
      </c>
      <c r="F36" s="1099">
        <v>0.1</v>
      </c>
    </row>
    <row r="37" spans="1:6" ht="14.25" thickBot="1">
      <c r="A37" s="854" t="s">
        <v>399</v>
      </c>
      <c r="B37" s="862" t="s">
        <v>225</v>
      </c>
      <c r="C37" s="1098">
        <v>7.3999999999999996E-2</v>
      </c>
      <c r="D37" s="1098">
        <v>0.1</v>
      </c>
      <c r="E37" s="1098">
        <v>0.1</v>
      </c>
      <c r="F37" s="1099">
        <v>0.1</v>
      </c>
    </row>
    <row r="38" spans="1:6" ht="14.25" thickBot="1">
      <c r="A38" s="854" t="s">
        <v>399</v>
      </c>
      <c r="B38" s="862" t="s">
        <v>236</v>
      </c>
      <c r="C38" s="1098">
        <v>0.1</v>
      </c>
      <c r="D38" s="1098">
        <v>9.6000000000000002E-2</v>
      </c>
      <c r="E38" s="1098">
        <v>9.6000000000000002E-2</v>
      </c>
      <c r="F38" s="1103"/>
    </row>
    <row r="39" spans="1:6" ht="14.25" thickBot="1">
      <c r="A39" s="854" t="s">
        <v>399</v>
      </c>
      <c r="B39" s="862" t="s">
        <v>247</v>
      </c>
      <c r="C39" s="1098">
        <v>0.1</v>
      </c>
      <c r="D39" s="1098">
        <v>9.6000000000000002E-2</v>
      </c>
      <c r="E39" s="1098">
        <v>9.6000000000000002E-2</v>
      </c>
      <c r="F39" s="1103"/>
    </row>
    <row r="40" spans="1:6" ht="14.25" thickBot="1">
      <c r="A40" s="854" t="s">
        <v>399</v>
      </c>
      <c r="B40" s="862" t="s">
        <v>258</v>
      </c>
      <c r="C40" s="1098">
        <v>9.6000000000000002E-2</v>
      </c>
      <c r="D40" s="1098">
        <v>0.1</v>
      </c>
      <c r="E40" s="1098">
        <v>9.9000000000000005E-2</v>
      </c>
      <c r="F40" s="1103"/>
    </row>
    <row r="41" spans="1:6" ht="14.25" thickBot="1">
      <c r="A41" s="854" t="s">
        <v>399</v>
      </c>
      <c r="B41" s="862" t="s">
        <v>269</v>
      </c>
      <c r="C41" s="1098">
        <v>9.6000000000000002E-2</v>
      </c>
      <c r="D41" s="1098">
        <v>9.8000000000000004E-2</v>
      </c>
      <c r="E41" s="1098">
        <v>9.8000000000000004E-2</v>
      </c>
      <c r="F41" s="1103"/>
    </row>
    <row r="42" spans="1:6" ht="14.25" thickBot="1">
      <c r="A42" s="854" t="s">
        <v>399</v>
      </c>
      <c r="B42" s="862" t="s">
        <v>280</v>
      </c>
      <c r="C42" s="1098">
        <v>0.1</v>
      </c>
      <c r="D42" s="1098">
        <v>8.7999999999999995E-2</v>
      </c>
      <c r="E42" s="1098">
        <v>0.1</v>
      </c>
      <c r="F42" s="1103"/>
    </row>
    <row r="43" spans="1:6" ht="14.25" thickBot="1">
      <c r="A43" s="854" t="s">
        <v>399</v>
      </c>
      <c r="B43" s="862" t="s">
        <v>291</v>
      </c>
      <c r="C43" s="1098">
        <v>9.8000000000000004E-2</v>
      </c>
      <c r="D43" s="1098">
        <v>9.7000000000000003E-2</v>
      </c>
      <c r="E43" s="1098">
        <v>9.6000000000000002E-2</v>
      </c>
      <c r="F43" s="1103"/>
    </row>
    <row r="44" spans="1:6" ht="14.25" thickBot="1">
      <c r="A44" s="854" t="s">
        <v>399</v>
      </c>
      <c r="B44" s="862" t="s">
        <v>301</v>
      </c>
      <c r="C44" s="1098">
        <v>8.5999999999999993E-2</v>
      </c>
      <c r="D44" s="1098">
        <v>7.9000000000000001E-2</v>
      </c>
      <c r="E44" s="1098">
        <v>7.0999999999999994E-2</v>
      </c>
      <c r="F44" s="1103"/>
    </row>
    <row r="45" spans="1:6" ht="14.25" thickBot="1">
      <c r="A45" s="854" t="s">
        <v>399</v>
      </c>
      <c r="B45" s="862" t="s">
        <v>311</v>
      </c>
      <c r="C45" s="1098">
        <v>9.8000000000000004E-2</v>
      </c>
      <c r="D45" s="1098">
        <v>9.6000000000000002E-2</v>
      </c>
      <c r="E45" s="1098">
        <v>9.6000000000000002E-2</v>
      </c>
      <c r="F45" s="1103"/>
    </row>
    <row r="46" spans="1:6" ht="14.25" thickBot="1">
      <c r="A46" s="854" t="s">
        <v>399</v>
      </c>
      <c r="B46" s="862" t="s">
        <v>321</v>
      </c>
      <c r="C46" s="1098">
        <v>8.5999999999999993E-2</v>
      </c>
      <c r="D46" s="1098">
        <v>9.8000000000000004E-2</v>
      </c>
      <c r="E46" s="1098">
        <v>8.7999999999999995E-2</v>
      </c>
      <c r="F46" s="1103"/>
    </row>
    <row r="47" spans="1:6" ht="14.25" thickBot="1">
      <c r="A47" s="854" t="s">
        <v>399</v>
      </c>
      <c r="B47" s="862" t="s">
        <v>331</v>
      </c>
      <c r="C47" s="1098">
        <v>9.6000000000000002E-2</v>
      </c>
      <c r="D47" s="1104"/>
      <c r="E47" s="1098">
        <v>6.9000000000000006E-2</v>
      </c>
      <c r="F47" s="1103"/>
    </row>
    <row r="48" spans="1:6" ht="14.25" thickBot="1">
      <c r="A48" s="871" t="s">
        <v>399</v>
      </c>
      <c r="B48" s="863" t="s">
        <v>340</v>
      </c>
      <c r="C48" s="1100">
        <v>9.8000000000000004E-2</v>
      </c>
      <c r="D48" s="1101"/>
      <c r="E48" s="1100">
        <v>9.5000000000000001E-2</v>
      </c>
      <c r="F48" s="1102"/>
    </row>
    <row r="49" spans="1:6" ht="14.25" thickBot="1">
      <c r="A49" s="854" t="s">
        <v>87</v>
      </c>
      <c r="B49" s="855" t="s">
        <v>800</v>
      </c>
      <c r="C49" s="1096">
        <v>9.7000000000000003E-2</v>
      </c>
      <c r="D49" s="1096">
        <v>9.5000000000000001E-2</v>
      </c>
      <c r="E49" s="1096">
        <v>9.7000000000000003E-2</v>
      </c>
      <c r="F49" s="1097">
        <v>0.1</v>
      </c>
    </row>
    <row r="50" spans="1:6" ht="14.25" thickBot="1">
      <c r="A50" s="854" t="s">
        <v>87</v>
      </c>
      <c r="B50" s="848" t="s">
        <v>139</v>
      </c>
      <c r="C50" s="1098">
        <v>7.4999999999999997E-2</v>
      </c>
      <c r="D50" s="1098">
        <v>9.5000000000000001E-2</v>
      </c>
      <c r="E50" s="1098">
        <v>0.1</v>
      </c>
      <c r="F50" s="1099">
        <v>0.1</v>
      </c>
    </row>
    <row r="51" spans="1:6" ht="14.25" thickBot="1">
      <c r="A51" s="854" t="s">
        <v>87</v>
      </c>
      <c r="B51" s="848" t="s">
        <v>152</v>
      </c>
      <c r="C51" s="1098">
        <v>9.8000000000000004E-2</v>
      </c>
      <c r="D51" s="1098">
        <v>8.8999999999999996E-2</v>
      </c>
      <c r="E51" s="1098">
        <v>0.1</v>
      </c>
      <c r="F51" s="1099">
        <v>0.1</v>
      </c>
    </row>
    <row r="52" spans="1:6" ht="14.25" thickBot="1">
      <c r="A52" s="854" t="s">
        <v>87</v>
      </c>
      <c r="B52" s="848" t="s">
        <v>165</v>
      </c>
      <c r="C52" s="1098">
        <v>9.8000000000000004E-2</v>
      </c>
      <c r="D52" s="1098">
        <v>9.7000000000000003E-2</v>
      </c>
      <c r="E52" s="1098">
        <v>8.1000000000000003E-2</v>
      </c>
      <c r="F52" s="1099">
        <v>0.1</v>
      </c>
    </row>
    <row r="53" spans="1:6" ht="14.25" thickBot="1">
      <c r="A53" s="854" t="s">
        <v>87</v>
      </c>
      <c r="B53" s="848" t="s">
        <v>177</v>
      </c>
      <c r="C53" s="1098">
        <v>9.7000000000000003E-2</v>
      </c>
      <c r="D53" s="1098">
        <v>7.5999999999999998E-2</v>
      </c>
      <c r="E53" s="1098">
        <v>7.0999999999999994E-2</v>
      </c>
      <c r="F53" s="1099">
        <v>0.1</v>
      </c>
    </row>
    <row r="54" spans="1:6" ht="14.25" thickBot="1">
      <c r="A54" s="854" t="s">
        <v>87</v>
      </c>
      <c r="B54" s="848" t="s">
        <v>189</v>
      </c>
      <c r="C54" s="1098">
        <v>7.5999999999999998E-2</v>
      </c>
      <c r="D54" s="1098">
        <v>0.1</v>
      </c>
      <c r="E54" s="1098">
        <v>9.9000000000000005E-2</v>
      </c>
      <c r="F54" s="1099">
        <v>0.1</v>
      </c>
    </row>
    <row r="55" spans="1:6" ht="14.25" thickBot="1">
      <c r="A55" s="854" t="s">
        <v>87</v>
      </c>
      <c r="B55" s="848" t="s">
        <v>201</v>
      </c>
      <c r="C55" s="1098">
        <v>0.1</v>
      </c>
      <c r="D55" s="1098">
        <v>0.1</v>
      </c>
      <c r="E55" s="1098">
        <v>9.6000000000000002E-2</v>
      </c>
      <c r="F55" s="1099">
        <v>0.1</v>
      </c>
    </row>
    <row r="56" spans="1:6" ht="14.25" thickBot="1">
      <c r="A56" s="854" t="s">
        <v>87</v>
      </c>
      <c r="B56" s="848" t="s">
        <v>213</v>
      </c>
      <c r="C56" s="1098">
        <v>0.1</v>
      </c>
      <c r="D56" s="1098">
        <v>9.6000000000000002E-2</v>
      </c>
      <c r="E56" s="1098">
        <v>5.1999999999999998E-2</v>
      </c>
      <c r="F56" s="1099">
        <v>0.1</v>
      </c>
    </row>
    <row r="57" spans="1:6" ht="14.25" thickBot="1">
      <c r="A57" s="854" t="s">
        <v>87</v>
      </c>
      <c r="B57" s="848" t="s">
        <v>226</v>
      </c>
      <c r="C57" s="1098">
        <v>9.7000000000000003E-2</v>
      </c>
      <c r="D57" s="1098">
        <v>9.6000000000000002E-2</v>
      </c>
      <c r="E57" s="1098">
        <v>9.6000000000000002E-2</v>
      </c>
      <c r="F57" s="1099">
        <v>0.1</v>
      </c>
    </row>
    <row r="58" spans="1:6" ht="14.25" thickBot="1">
      <c r="A58" s="854" t="s">
        <v>87</v>
      </c>
      <c r="B58" s="848" t="s">
        <v>237</v>
      </c>
      <c r="C58" s="1098">
        <v>9.6000000000000002E-2</v>
      </c>
      <c r="D58" s="1098">
        <v>9.9000000000000005E-2</v>
      </c>
      <c r="E58" s="1098">
        <v>9.6000000000000002E-2</v>
      </c>
      <c r="F58" s="1099">
        <v>0.1</v>
      </c>
    </row>
    <row r="59" spans="1:6" ht="14.25" thickBot="1">
      <c r="A59" s="854" t="s">
        <v>87</v>
      </c>
      <c r="B59" s="848" t="s">
        <v>248</v>
      </c>
      <c r="C59" s="1098">
        <v>7.1999999999999995E-2</v>
      </c>
      <c r="D59" s="1098">
        <v>9.6000000000000002E-2</v>
      </c>
      <c r="E59" s="1098">
        <v>7.0999999999999994E-2</v>
      </c>
      <c r="F59" s="1099">
        <v>0.1</v>
      </c>
    </row>
    <row r="60" spans="1:6" ht="14.25" thickBot="1">
      <c r="A60" s="854" t="s">
        <v>87</v>
      </c>
      <c r="B60" s="848" t="s">
        <v>259</v>
      </c>
      <c r="C60" s="1098">
        <v>9.6000000000000002E-2</v>
      </c>
      <c r="D60" s="1098">
        <v>8.8999999999999996E-2</v>
      </c>
      <c r="E60" s="1098">
        <v>9.6000000000000002E-2</v>
      </c>
      <c r="F60" s="1099">
        <v>0.1</v>
      </c>
    </row>
    <row r="61" spans="1:6" ht="14.25" thickBot="1">
      <c r="A61" s="854" t="s">
        <v>87</v>
      </c>
      <c r="B61" s="848" t="s">
        <v>270</v>
      </c>
      <c r="C61" s="1098">
        <v>8.8999999999999996E-2</v>
      </c>
      <c r="D61" s="1098">
        <v>9.8000000000000004E-2</v>
      </c>
      <c r="E61" s="1098">
        <v>8.7999999999999995E-2</v>
      </c>
      <c r="F61" s="1103"/>
    </row>
    <row r="62" spans="1:6" ht="14.25" thickBot="1">
      <c r="A62" s="854" t="s">
        <v>87</v>
      </c>
      <c r="B62" s="848" t="s">
        <v>281</v>
      </c>
      <c r="C62" s="1098">
        <v>9.8000000000000004E-2</v>
      </c>
      <c r="D62" s="1098">
        <v>9.2999999999999999E-2</v>
      </c>
      <c r="E62" s="1098">
        <v>9.7000000000000003E-2</v>
      </c>
      <c r="F62" s="1103"/>
    </row>
    <row r="63" spans="1:6" ht="14.25" thickBot="1">
      <c r="A63" s="854" t="s">
        <v>87</v>
      </c>
      <c r="B63" s="848" t="s">
        <v>292</v>
      </c>
      <c r="C63" s="1098">
        <v>9.6000000000000002E-2</v>
      </c>
      <c r="D63" s="1098">
        <v>9.8000000000000004E-2</v>
      </c>
      <c r="E63" s="1098">
        <v>0.09</v>
      </c>
      <c r="F63" s="1103"/>
    </row>
    <row r="64" spans="1:6" ht="14.25" thickBot="1">
      <c r="A64" s="854" t="s">
        <v>87</v>
      </c>
      <c r="B64" s="848" t="s">
        <v>302</v>
      </c>
      <c r="C64" s="1098">
        <v>9.9000000000000005E-2</v>
      </c>
      <c r="D64" s="1098">
        <v>9.7000000000000003E-2</v>
      </c>
      <c r="E64" s="1098">
        <v>9.9000000000000005E-2</v>
      </c>
      <c r="F64" s="1103"/>
    </row>
    <row r="65" spans="1:6" ht="14.25" thickBot="1">
      <c r="A65" s="854" t="s">
        <v>87</v>
      </c>
      <c r="B65" s="848" t="s">
        <v>312</v>
      </c>
      <c r="C65" s="1098">
        <v>9.8000000000000004E-2</v>
      </c>
      <c r="D65" s="1098">
        <v>9.6000000000000002E-2</v>
      </c>
      <c r="E65" s="1098">
        <v>9.6000000000000002E-2</v>
      </c>
      <c r="F65" s="1103"/>
    </row>
    <row r="66" spans="1:6" ht="14.25" thickBot="1">
      <c r="A66" s="854" t="s">
        <v>87</v>
      </c>
      <c r="B66" s="848" t="s">
        <v>322</v>
      </c>
      <c r="C66" s="1098">
        <v>9.6000000000000002E-2</v>
      </c>
      <c r="D66" s="1098">
        <v>9.1999999999999998E-2</v>
      </c>
      <c r="E66" s="1098">
        <v>9.6000000000000002E-2</v>
      </c>
      <c r="F66" s="1103"/>
    </row>
    <row r="67" spans="1:6" ht="14.25" thickBot="1">
      <c r="A67" s="854" t="s">
        <v>87</v>
      </c>
      <c r="B67" s="848" t="s">
        <v>332</v>
      </c>
      <c r="C67" s="1098">
        <v>9.4E-2</v>
      </c>
      <c r="D67" s="1098">
        <v>0.1</v>
      </c>
      <c r="E67" s="1098">
        <v>8.7999999999999995E-2</v>
      </c>
      <c r="F67" s="1103"/>
    </row>
    <row r="68" spans="1:6" ht="14.25" thickBot="1">
      <c r="A68" s="854" t="s">
        <v>87</v>
      </c>
      <c r="B68" s="848" t="s">
        <v>341</v>
      </c>
      <c r="C68" s="1098">
        <v>0.1</v>
      </c>
      <c r="D68" s="1098">
        <v>8.7999999999999995E-2</v>
      </c>
      <c r="E68" s="1098">
        <v>9.7000000000000003E-2</v>
      </c>
      <c r="F68" s="1103"/>
    </row>
    <row r="69" spans="1:6" ht="14.25" thickBot="1">
      <c r="A69" s="854" t="s">
        <v>87</v>
      </c>
      <c r="B69" s="848" t="s">
        <v>350</v>
      </c>
      <c r="C69" s="1098">
        <v>6.4000000000000001E-2</v>
      </c>
      <c r="D69" s="1098">
        <v>0.1</v>
      </c>
      <c r="E69" s="1098">
        <v>0.1</v>
      </c>
      <c r="F69" s="1103"/>
    </row>
    <row r="70" spans="1:6" ht="14.25" thickBot="1">
      <c r="A70" s="854" t="s">
        <v>87</v>
      </c>
      <c r="B70" s="848" t="s">
        <v>358</v>
      </c>
      <c r="C70" s="1098">
        <v>9.0999999999999998E-2</v>
      </c>
      <c r="D70" s="1104"/>
      <c r="E70" s="1104"/>
      <c r="F70" s="1103"/>
    </row>
    <row r="71" spans="1:6" ht="14.25" thickBot="1">
      <c r="A71" s="854" t="s">
        <v>87</v>
      </c>
      <c r="B71" s="848" t="s">
        <v>365</v>
      </c>
      <c r="C71" s="1098">
        <v>0.1</v>
      </c>
      <c r="D71" s="1104"/>
      <c r="E71" s="1104"/>
      <c r="F71" s="1103"/>
    </row>
    <row r="72" spans="1:6" ht="14.25" thickBot="1">
      <c r="A72" s="854" t="s">
        <v>87</v>
      </c>
      <c r="B72" s="848" t="s">
        <v>801</v>
      </c>
      <c r="C72" s="1104"/>
      <c r="D72" s="1104"/>
      <c r="E72" s="1104"/>
      <c r="F72" s="1099">
        <v>0.05</v>
      </c>
    </row>
    <row r="73" spans="1:6" ht="14.25" thickBot="1">
      <c r="A73" s="854" t="s">
        <v>87</v>
      </c>
      <c r="B73" s="848" t="s">
        <v>802</v>
      </c>
      <c r="C73" s="1104"/>
      <c r="D73" s="1104"/>
      <c r="E73" s="1104"/>
      <c r="F73" s="1099">
        <v>0.05</v>
      </c>
    </row>
    <row r="74" spans="1:6" ht="14.25" thickBot="1">
      <c r="A74" s="854" t="s">
        <v>87</v>
      </c>
      <c r="B74" s="848" t="s">
        <v>803</v>
      </c>
      <c r="C74" s="1104"/>
      <c r="D74" s="1104"/>
      <c r="E74" s="1104"/>
      <c r="F74" s="1099">
        <v>0.05</v>
      </c>
    </row>
    <row r="75" spans="1:6" ht="14.25" thickBot="1">
      <c r="A75" s="871" t="s">
        <v>87</v>
      </c>
      <c r="B75" s="864" t="s">
        <v>804</v>
      </c>
      <c r="C75" s="1101"/>
      <c r="D75" s="1101"/>
      <c r="E75" s="1101"/>
      <c r="F75" s="1105">
        <v>0.05</v>
      </c>
    </row>
    <row r="76" spans="1:6" ht="14.25" thickBot="1">
      <c r="A76" s="854" t="s">
        <v>480</v>
      </c>
      <c r="B76" s="855" t="s">
        <v>805</v>
      </c>
      <c r="C76" s="1096">
        <v>0.1</v>
      </c>
      <c r="D76" s="1096">
        <v>0.1</v>
      </c>
      <c r="E76" s="1096">
        <v>0.1</v>
      </c>
      <c r="F76" s="1097">
        <v>0.1</v>
      </c>
    </row>
    <row r="77" spans="1:6" ht="14.25" thickBot="1">
      <c r="A77" s="854" t="s">
        <v>480</v>
      </c>
      <c r="B77" s="848" t="s">
        <v>140</v>
      </c>
      <c r="C77" s="1098">
        <v>8.7999999999999995E-2</v>
      </c>
      <c r="D77" s="1098">
        <v>8.6999999999999994E-2</v>
      </c>
      <c r="E77" s="1098">
        <v>7.9000000000000001E-2</v>
      </c>
      <c r="F77" s="1099">
        <v>0.1</v>
      </c>
    </row>
    <row r="78" spans="1:6" ht="14.25" thickBot="1">
      <c r="A78" s="854" t="s">
        <v>480</v>
      </c>
      <c r="B78" s="848" t="s">
        <v>153</v>
      </c>
      <c r="C78" s="1098">
        <v>8.6999999999999994E-2</v>
      </c>
      <c r="D78" s="1098">
        <v>8.4000000000000005E-2</v>
      </c>
      <c r="E78" s="1098">
        <v>9.6000000000000002E-2</v>
      </c>
      <c r="F78" s="1099">
        <v>0.1</v>
      </c>
    </row>
    <row r="79" spans="1:6" ht="14.25" thickBot="1">
      <c r="A79" s="854" t="s">
        <v>480</v>
      </c>
      <c r="B79" s="848" t="s">
        <v>166</v>
      </c>
      <c r="C79" s="1098">
        <v>9.8000000000000004E-2</v>
      </c>
      <c r="D79" s="1098">
        <v>9.8000000000000004E-2</v>
      </c>
      <c r="E79" s="1098">
        <v>9.0999999999999998E-2</v>
      </c>
      <c r="F79" s="1099">
        <v>0.1</v>
      </c>
    </row>
    <row r="80" spans="1:6" ht="14.25" thickBot="1">
      <c r="A80" s="854" t="s">
        <v>480</v>
      </c>
      <c r="B80" s="848" t="s">
        <v>178</v>
      </c>
      <c r="C80" s="1098">
        <v>9.6000000000000002E-2</v>
      </c>
      <c r="D80" s="1098">
        <v>9.6000000000000002E-2</v>
      </c>
      <c r="E80" s="1098">
        <v>0.1</v>
      </c>
      <c r="F80" s="1099">
        <v>0.1</v>
      </c>
    </row>
    <row r="81" spans="1:6" ht="14.25" thickBot="1">
      <c r="A81" s="854" t="s">
        <v>480</v>
      </c>
      <c r="B81" s="848" t="s">
        <v>190</v>
      </c>
      <c r="C81" s="1098">
        <v>9.9000000000000005E-2</v>
      </c>
      <c r="D81" s="1098">
        <v>9.9000000000000005E-2</v>
      </c>
      <c r="E81" s="1098">
        <v>9.8000000000000004E-2</v>
      </c>
      <c r="F81" s="1099">
        <v>0.1</v>
      </c>
    </row>
    <row r="82" spans="1:6" ht="14.25" thickBot="1">
      <c r="A82" s="854" t="s">
        <v>480</v>
      </c>
      <c r="B82" s="848" t="s">
        <v>202</v>
      </c>
      <c r="C82" s="1098">
        <v>9.9000000000000005E-2</v>
      </c>
      <c r="D82" s="1098">
        <v>9.9000000000000005E-2</v>
      </c>
      <c r="E82" s="1098">
        <v>9.7000000000000003E-2</v>
      </c>
      <c r="F82" s="1099">
        <v>0.1</v>
      </c>
    </row>
    <row r="83" spans="1:6" ht="14.25" thickBot="1">
      <c r="A83" s="854" t="s">
        <v>480</v>
      </c>
      <c r="B83" s="848" t="s">
        <v>214</v>
      </c>
      <c r="C83" s="1098">
        <v>9.8000000000000004E-2</v>
      </c>
      <c r="D83" s="1098">
        <v>9.8000000000000004E-2</v>
      </c>
      <c r="E83" s="1098">
        <v>9.8000000000000004E-2</v>
      </c>
      <c r="F83" s="1099">
        <v>0.1</v>
      </c>
    </row>
    <row r="84" spans="1:6" ht="14.25" thickBot="1">
      <c r="A84" s="854" t="s">
        <v>480</v>
      </c>
      <c r="B84" s="848" t="s">
        <v>227</v>
      </c>
      <c r="C84" s="1098">
        <v>9.9000000000000005E-2</v>
      </c>
      <c r="D84" s="1098">
        <v>9.9000000000000005E-2</v>
      </c>
      <c r="E84" s="1098">
        <v>9.9000000000000005E-2</v>
      </c>
      <c r="F84" s="1099">
        <v>0.1</v>
      </c>
    </row>
    <row r="85" spans="1:6" ht="14.25" thickBot="1">
      <c r="A85" s="854" t="s">
        <v>480</v>
      </c>
      <c r="B85" s="848" t="s">
        <v>238</v>
      </c>
      <c r="C85" s="1098">
        <v>9.9000000000000005E-2</v>
      </c>
      <c r="D85" s="1098">
        <v>9.9000000000000005E-2</v>
      </c>
      <c r="E85" s="1098">
        <v>9.9000000000000005E-2</v>
      </c>
      <c r="F85" s="1099">
        <v>0.1</v>
      </c>
    </row>
    <row r="86" spans="1:6" ht="14.25" thickBot="1">
      <c r="A86" s="854" t="s">
        <v>480</v>
      </c>
      <c r="B86" s="848" t="s">
        <v>249</v>
      </c>
      <c r="C86" s="1098">
        <v>0.1</v>
      </c>
      <c r="D86" s="1098">
        <v>0.1</v>
      </c>
      <c r="E86" s="1098">
        <v>7.6999999999999999E-2</v>
      </c>
      <c r="F86" s="1099">
        <v>0.1</v>
      </c>
    </row>
    <row r="87" spans="1:6" ht="14.25" thickBot="1">
      <c r="A87" s="854" t="s">
        <v>480</v>
      </c>
      <c r="B87" s="848" t="s">
        <v>260</v>
      </c>
      <c r="C87" s="1098">
        <v>0.1</v>
      </c>
      <c r="D87" s="1098">
        <v>0.1</v>
      </c>
      <c r="E87" s="1098">
        <v>9.8000000000000004E-2</v>
      </c>
      <c r="F87" s="1103"/>
    </row>
    <row r="88" spans="1:6" ht="14.25" thickBot="1">
      <c r="A88" s="854" t="s">
        <v>480</v>
      </c>
      <c r="B88" s="848" t="s">
        <v>271</v>
      </c>
      <c r="C88" s="1098">
        <v>9.1999999999999998E-2</v>
      </c>
      <c r="D88" s="1098">
        <v>8.5000000000000006E-2</v>
      </c>
      <c r="E88" s="1098">
        <v>9.6000000000000002E-2</v>
      </c>
      <c r="F88" s="1103"/>
    </row>
    <row r="89" spans="1:6" ht="14.25" thickBot="1">
      <c r="A89" s="854" t="s">
        <v>480</v>
      </c>
      <c r="B89" s="848" t="s">
        <v>282</v>
      </c>
      <c r="C89" s="1098">
        <v>0.1</v>
      </c>
      <c r="D89" s="1098">
        <v>0.1</v>
      </c>
      <c r="E89" s="1098">
        <v>9.7000000000000003E-2</v>
      </c>
      <c r="F89" s="1103"/>
    </row>
    <row r="90" spans="1:6" ht="14.25" thickBot="1">
      <c r="A90" s="854" t="s">
        <v>480</v>
      </c>
      <c r="B90" s="848" t="s">
        <v>293</v>
      </c>
      <c r="C90" s="1098">
        <v>9.8000000000000004E-2</v>
      </c>
      <c r="D90" s="1098">
        <v>9.8000000000000004E-2</v>
      </c>
      <c r="E90" s="1098">
        <v>8.7999999999999995E-2</v>
      </c>
      <c r="F90" s="1103"/>
    </row>
    <row r="91" spans="1:6" ht="14.25" thickBot="1">
      <c r="A91" s="854" t="s">
        <v>480</v>
      </c>
      <c r="B91" s="848" t="s">
        <v>303</v>
      </c>
      <c r="C91" s="1098">
        <v>9.9000000000000005E-2</v>
      </c>
      <c r="D91" s="1098">
        <v>9.9000000000000005E-2</v>
      </c>
      <c r="E91" s="1098">
        <v>9.0999999999999998E-2</v>
      </c>
      <c r="F91" s="1103"/>
    </row>
    <row r="92" spans="1:6" ht="14.25" thickBot="1">
      <c r="A92" s="854" t="s">
        <v>480</v>
      </c>
      <c r="B92" s="848" t="s">
        <v>313</v>
      </c>
      <c r="C92" s="1098">
        <v>9.6000000000000002E-2</v>
      </c>
      <c r="D92" s="1098">
        <v>9.6000000000000002E-2</v>
      </c>
      <c r="E92" s="1098">
        <v>7.2999999999999995E-2</v>
      </c>
      <c r="F92" s="1103"/>
    </row>
    <row r="93" spans="1:6" ht="14.25" thickBot="1">
      <c r="A93" s="854" t="s">
        <v>480</v>
      </c>
      <c r="B93" s="848" t="s">
        <v>323</v>
      </c>
      <c r="C93" s="1098">
        <v>9.6000000000000002E-2</v>
      </c>
      <c r="D93" s="1098">
        <v>9.6000000000000002E-2</v>
      </c>
      <c r="E93" s="1098">
        <v>9.9000000000000005E-2</v>
      </c>
      <c r="F93" s="1103"/>
    </row>
    <row r="94" spans="1:6" ht="14.25" thickBot="1">
      <c r="A94" s="854" t="s">
        <v>480</v>
      </c>
      <c r="B94" s="848" t="s">
        <v>333</v>
      </c>
      <c r="C94" s="1098">
        <v>7.5999999999999998E-2</v>
      </c>
      <c r="D94" s="1098">
        <v>7.3999999999999996E-2</v>
      </c>
      <c r="E94" s="1098">
        <v>9.7000000000000003E-2</v>
      </c>
      <c r="F94" s="1103"/>
    </row>
    <row r="95" spans="1:6" ht="14.25" thickBot="1">
      <c r="A95" s="854" t="s">
        <v>480</v>
      </c>
      <c r="B95" s="848" t="s">
        <v>342</v>
      </c>
      <c r="C95" s="1098">
        <v>9.9000000000000005E-2</v>
      </c>
      <c r="D95" s="1098">
        <v>9.4E-2</v>
      </c>
      <c r="E95" s="1098">
        <v>9.6000000000000002E-2</v>
      </c>
      <c r="F95" s="1103"/>
    </row>
    <row r="96" spans="1:6" ht="14.25" thickBot="1">
      <c r="A96" s="854" t="s">
        <v>480</v>
      </c>
      <c r="B96" s="848" t="s">
        <v>351</v>
      </c>
      <c r="C96" s="1098">
        <v>9.9000000000000005E-2</v>
      </c>
      <c r="D96" s="1098">
        <v>9.9000000000000005E-2</v>
      </c>
      <c r="E96" s="1098">
        <v>9.9000000000000005E-2</v>
      </c>
      <c r="F96" s="1103"/>
    </row>
    <row r="97" spans="1:6" ht="14.25" thickBot="1">
      <c r="A97" s="854" t="s">
        <v>480</v>
      </c>
      <c r="B97" s="848" t="s">
        <v>359</v>
      </c>
      <c r="C97" s="1098">
        <v>9.8000000000000004E-2</v>
      </c>
      <c r="D97" s="1098">
        <v>9.8000000000000004E-2</v>
      </c>
      <c r="E97" s="1098">
        <v>9.7000000000000003E-2</v>
      </c>
      <c r="F97" s="1103"/>
    </row>
    <row r="98" spans="1:6" ht="14.25" thickBot="1">
      <c r="A98" s="854" t="s">
        <v>480</v>
      </c>
      <c r="B98" s="848" t="s">
        <v>366</v>
      </c>
      <c r="C98" s="1098">
        <v>0.1</v>
      </c>
      <c r="D98" s="1098">
        <v>0.1</v>
      </c>
      <c r="E98" s="1098">
        <v>9.7000000000000003E-2</v>
      </c>
      <c r="F98" s="1103"/>
    </row>
    <row r="99" spans="1:6" ht="14.25" thickBot="1">
      <c r="A99" s="854" t="s">
        <v>480</v>
      </c>
      <c r="B99" s="848" t="s">
        <v>373</v>
      </c>
      <c r="C99" s="1098">
        <v>0.1</v>
      </c>
      <c r="D99" s="1098">
        <v>0.1</v>
      </c>
      <c r="E99" s="1104"/>
      <c r="F99" s="1103"/>
    </row>
    <row r="100" spans="1:6" ht="14.25" thickBot="1">
      <c r="A100" s="854" t="s">
        <v>480</v>
      </c>
      <c r="B100" s="848" t="s">
        <v>380</v>
      </c>
      <c r="C100" s="1098">
        <v>0.09</v>
      </c>
      <c r="D100" s="1098">
        <v>8.8999999999999996E-2</v>
      </c>
      <c r="E100" s="1104"/>
      <c r="F100" s="1103"/>
    </row>
    <row r="101" spans="1:6" ht="14.25" thickBot="1">
      <c r="A101" s="854" t="s">
        <v>480</v>
      </c>
      <c r="B101" s="848" t="s">
        <v>387</v>
      </c>
      <c r="C101" s="1098">
        <v>9.8000000000000004E-2</v>
      </c>
      <c r="D101" s="1098">
        <v>9.7000000000000003E-2</v>
      </c>
      <c r="E101" s="1104"/>
      <c r="F101" s="1103"/>
    </row>
    <row r="102" spans="1:6" ht="14.25" thickBot="1">
      <c r="A102" s="854" t="s">
        <v>480</v>
      </c>
      <c r="B102" s="848" t="s">
        <v>806</v>
      </c>
      <c r="C102" s="1104"/>
      <c r="D102" s="1104"/>
      <c r="E102" s="1104"/>
      <c r="F102" s="1099">
        <v>0.05</v>
      </c>
    </row>
    <row r="103" spans="1:6" ht="24.75" thickBot="1">
      <c r="A103" s="854" t="s">
        <v>480</v>
      </c>
      <c r="B103" s="848" t="s">
        <v>807</v>
      </c>
      <c r="C103" s="1104"/>
      <c r="D103" s="1104"/>
      <c r="E103" s="1104"/>
      <c r="F103" s="1099">
        <v>0.05</v>
      </c>
    </row>
    <row r="104" spans="1:6" ht="14.25" thickBot="1">
      <c r="A104" s="854" t="s">
        <v>480</v>
      </c>
      <c r="B104" s="848" t="s">
        <v>808</v>
      </c>
      <c r="C104" s="1104"/>
      <c r="D104" s="1104"/>
      <c r="E104" s="1104"/>
      <c r="F104" s="1099">
        <v>0.05</v>
      </c>
    </row>
    <row r="105" spans="1:6" ht="14.25" thickBot="1">
      <c r="A105" s="854" t="s">
        <v>480</v>
      </c>
      <c r="B105" s="848" t="s">
        <v>809</v>
      </c>
      <c r="C105" s="1104"/>
      <c r="D105" s="1104"/>
      <c r="E105" s="1104"/>
      <c r="F105" s="1099">
        <v>0.05</v>
      </c>
    </row>
    <row r="106" spans="1:6" ht="14.25" thickBot="1">
      <c r="A106" s="854" t="s">
        <v>480</v>
      </c>
      <c r="B106" s="848" t="s">
        <v>810</v>
      </c>
      <c r="C106" s="1104"/>
      <c r="D106" s="1104"/>
      <c r="E106" s="1104"/>
      <c r="F106" s="1099">
        <v>0.05</v>
      </c>
    </row>
    <row r="107" spans="1:6" ht="24.75" thickBot="1">
      <c r="A107" s="854" t="s">
        <v>480</v>
      </c>
      <c r="B107" s="848" t="s">
        <v>811</v>
      </c>
      <c r="C107" s="1104"/>
      <c r="D107" s="1104"/>
      <c r="E107" s="1104"/>
      <c r="F107" s="1099">
        <v>0.05</v>
      </c>
    </row>
    <row r="108" spans="1:6" ht="24.75" thickBot="1">
      <c r="A108" s="854" t="s">
        <v>480</v>
      </c>
      <c r="B108" s="848" t="s">
        <v>812</v>
      </c>
      <c r="C108" s="1104"/>
      <c r="D108" s="1104"/>
      <c r="E108" s="1104"/>
      <c r="F108" s="1099">
        <v>0.05</v>
      </c>
    </row>
    <row r="109" spans="1:6" ht="24.75" thickBot="1">
      <c r="A109" s="871" t="s">
        <v>480</v>
      </c>
      <c r="B109" s="864" t="s">
        <v>813</v>
      </c>
      <c r="C109" s="1101"/>
      <c r="D109" s="1101"/>
      <c r="E109" s="1101"/>
      <c r="F109" s="1105">
        <v>0.05</v>
      </c>
    </row>
    <row r="110" spans="1:6" ht="14.25" thickBot="1">
      <c r="A110" s="854" t="s">
        <v>70</v>
      </c>
      <c r="B110" s="855" t="s">
        <v>814</v>
      </c>
      <c r="C110" s="1096">
        <v>0.129</v>
      </c>
      <c r="D110" s="1096">
        <v>0.129</v>
      </c>
      <c r="E110" s="1096">
        <v>0.126</v>
      </c>
      <c r="F110" s="1097">
        <v>0.13</v>
      </c>
    </row>
    <row r="111" spans="1:6" ht="14.25" thickBot="1">
      <c r="A111" s="854" t="s">
        <v>70</v>
      </c>
      <c r="B111" s="848" t="s">
        <v>141</v>
      </c>
      <c r="C111" s="1098">
        <v>0.11</v>
      </c>
      <c r="D111" s="1098">
        <v>0.11</v>
      </c>
      <c r="E111" s="1098">
        <v>9.9000000000000005E-2</v>
      </c>
      <c r="F111" s="1099">
        <v>0.128</v>
      </c>
    </row>
    <row r="112" spans="1:6" ht="14.25" thickBot="1">
      <c r="A112" s="854" t="s">
        <v>70</v>
      </c>
      <c r="B112" s="848" t="s">
        <v>154</v>
      </c>
      <c r="C112" s="1098">
        <v>0.125</v>
      </c>
      <c r="D112" s="1098">
        <v>0.125</v>
      </c>
      <c r="E112" s="1098">
        <v>0.12</v>
      </c>
      <c r="F112" s="1099">
        <v>0.125</v>
      </c>
    </row>
    <row r="113" spans="1:6" ht="14.25" thickBot="1">
      <c r="A113" s="854" t="s">
        <v>70</v>
      </c>
      <c r="B113" s="848" t="s">
        <v>167</v>
      </c>
      <c r="C113" s="1098">
        <v>0.13</v>
      </c>
      <c r="D113" s="1098">
        <v>0.13</v>
      </c>
      <c r="E113" s="1098">
        <v>0.13</v>
      </c>
      <c r="F113" s="1099">
        <v>0.13</v>
      </c>
    </row>
    <row r="114" spans="1:6" ht="14.25" thickBot="1">
      <c r="A114" s="854" t="s">
        <v>70</v>
      </c>
      <c r="B114" s="848" t="s">
        <v>179</v>
      </c>
      <c r="C114" s="1098">
        <v>0.123</v>
      </c>
      <c r="D114" s="1098">
        <v>0.123</v>
      </c>
      <c r="E114" s="1098">
        <v>0.12</v>
      </c>
      <c r="F114" s="1099">
        <v>0.13</v>
      </c>
    </row>
    <row r="115" spans="1:6" ht="14.25" thickBot="1">
      <c r="A115" s="854" t="s">
        <v>70</v>
      </c>
      <c r="B115" s="848" t="s">
        <v>191</v>
      </c>
      <c r="C115" s="1098">
        <v>0.125</v>
      </c>
      <c r="D115" s="1098">
        <v>0.125</v>
      </c>
      <c r="E115" s="1098">
        <v>0.11700000000000001</v>
      </c>
      <c r="F115" s="1099">
        <v>0.13</v>
      </c>
    </row>
    <row r="116" spans="1:6" ht="14.25" thickBot="1">
      <c r="A116" s="854" t="s">
        <v>70</v>
      </c>
      <c r="B116" s="848" t="s">
        <v>203</v>
      </c>
      <c r="C116" s="1098">
        <v>0.11700000000000001</v>
      </c>
      <c r="D116" s="1098">
        <v>0.11700000000000001</v>
      </c>
      <c r="E116" s="1098">
        <v>8.7999999999999995E-2</v>
      </c>
      <c r="F116" s="1099">
        <v>0.13</v>
      </c>
    </row>
    <row r="117" spans="1:6" ht="14.25" thickBot="1">
      <c r="A117" s="854" t="s">
        <v>70</v>
      </c>
      <c r="B117" s="848" t="s">
        <v>215</v>
      </c>
      <c r="C117" s="1098">
        <v>0.13</v>
      </c>
      <c r="D117" s="1098">
        <v>0.13</v>
      </c>
      <c r="E117" s="1098">
        <v>0.129</v>
      </c>
      <c r="F117" s="1099">
        <v>0.13</v>
      </c>
    </row>
    <row r="118" spans="1:6" ht="14.25" thickBot="1">
      <c r="A118" s="854" t="s">
        <v>70</v>
      </c>
      <c r="B118" s="848" t="s">
        <v>228</v>
      </c>
      <c r="C118" s="1098">
        <v>0.123</v>
      </c>
      <c r="D118" s="1098">
        <v>0.123</v>
      </c>
      <c r="E118" s="1098">
        <v>0.11600000000000001</v>
      </c>
      <c r="F118" s="1099">
        <v>0.13</v>
      </c>
    </row>
    <row r="119" spans="1:6" ht="14.25" thickBot="1">
      <c r="A119" s="854" t="s">
        <v>70</v>
      </c>
      <c r="B119" s="848" t="s">
        <v>239</v>
      </c>
      <c r="C119" s="1098">
        <v>0.127</v>
      </c>
      <c r="D119" s="1098">
        <v>0.127</v>
      </c>
      <c r="E119" s="1098">
        <v>0.124</v>
      </c>
      <c r="F119" s="1099">
        <v>0.13</v>
      </c>
    </row>
    <row r="120" spans="1:6" ht="14.25" thickBot="1">
      <c r="A120" s="854" t="s">
        <v>70</v>
      </c>
      <c r="B120" s="848" t="s">
        <v>250</v>
      </c>
      <c r="C120" s="1098">
        <v>0.125</v>
      </c>
      <c r="D120" s="1098">
        <v>0.125</v>
      </c>
      <c r="E120" s="1098">
        <v>0.122</v>
      </c>
      <c r="F120" s="1099">
        <v>0.13</v>
      </c>
    </row>
    <row r="121" spans="1:6" ht="14.25" thickBot="1">
      <c r="A121" s="854" t="s">
        <v>70</v>
      </c>
      <c r="B121" s="848" t="s">
        <v>261</v>
      </c>
      <c r="C121" s="1098">
        <v>0.13</v>
      </c>
      <c r="D121" s="1098">
        <v>0.13</v>
      </c>
      <c r="E121" s="1098">
        <v>0.13</v>
      </c>
      <c r="F121" s="1099">
        <v>0.13</v>
      </c>
    </row>
    <row r="122" spans="1:6" ht="14.25" thickBot="1">
      <c r="A122" s="854" t="s">
        <v>70</v>
      </c>
      <c r="B122" s="848" t="s">
        <v>272</v>
      </c>
      <c r="C122" s="1098">
        <v>0.13</v>
      </c>
      <c r="D122" s="1098">
        <v>0.13</v>
      </c>
      <c r="E122" s="1098">
        <v>0.125</v>
      </c>
      <c r="F122" s="1099">
        <v>0.13</v>
      </c>
    </row>
    <row r="123" spans="1:6" ht="14.25" thickBot="1">
      <c r="A123" s="854" t="s">
        <v>70</v>
      </c>
      <c r="B123" s="848" t="s">
        <v>283</v>
      </c>
      <c r="C123" s="1098">
        <v>0.129</v>
      </c>
      <c r="D123" s="1098">
        <v>0.129</v>
      </c>
      <c r="E123" s="1098">
        <v>0.123</v>
      </c>
      <c r="F123" s="1099">
        <v>0.13</v>
      </c>
    </row>
    <row r="124" spans="1:6" ht="14.25" thickBot="1">
      <c r="A124" s="854" t="s">
        <v>70</v>
      </c>
      <c r="B124" s="848" t="s">
        <v>294</v>
      </c>
      <c r="C124" s="1098">
        <v>0.10199999999999999</v>
      </c>
      <c r="D124" s="1098">
        <v>0.10100000000000001</v>
      </c>
      <c r="E124" s="1098">
        <v>0.08</v>
      </c>
      <c r="F124" s="1103"/>
    </row>
    <row r="125" spans="1:6" ht="14.25" thickBot="1">
      <c r="A125" s="854" t="s">
        <v>70</v>
      </c>
      <c r="B125" s="848" t="s">
        <v>304</v>
      </c>
      <c r="C125" s="1098">
        <v>0.13</v>
      </c>
      <c r="D125" s="1098">
        <v>0.13</v>
      </c>
      <c r="E125" s="1098">
        <v>0.129</v>
      </c>
      <c r="F125" s="1103"/>
    </row>
    <row r="126" spans="1:6" ht="14.25" thickBot="1">
      <c r="A126" s="854" t="s">
        <v>70</v>
      </c>
      <c r="B126" s="848" t="s">
        <v>314</v>
      </c>
      <c r="C126" s="1098">
        <v>0.13</v>
      </c>
      <c r="D126" s="1098">
        <v>0.13</v>
      </c>
      <c r="E126" s="1098">
        <v>0.126</v>
      </c>
      <c r="F126" s="1103"/>
    </row>
    <row r="127" spans="1:6" ht="14.25" thickBot="1">
      <c r="A127" s="854" t="s">
        <v>70</v>
      </c>
      <c r="B127" s="848" t="s">
        <v>324</v>
      </c>
      <c r="C127" s="1098">
        <v>0.125</v>
      </c>
      <c r="D127" s="1098">
        <v>0.125</v>
      </c>
      <c r="E127" s="1098">
        <v>0.121</v>
      </c>
      <c r="F127" s="1103"/>
    </row>
    <row r="128" spans="1:6" ht="14.25" thickBot="1">
      <c r="A128" s="854" t="s">
        <v>70</v>
      </c>
      <c r="B128" s="848" t="s">
        <v>334</v>
      </c>
      <c r="C128" s="1098">
        <v>0.12</v>
      </c>
      <c r="D128" s="1098">
        <v>0.12</v>
      </c>
      <c r="E128" s="1098">
        <v>0.105</v>
      </c>
      <c r="F128" s="1103"/>
    </row>
    <row r="129" spans="1:6" ht="14.25" thickBot="1">
      <c r="A129" s="854" t="s">
        <v>70</v>
      </c>
      <c r="B129" s="848" t="s">
        <v>343</v>
      </c>
      <c r="C129" s="1098">
        <v>0.13</v>
      </c>
      <c r="D129" s="1098">
        <v>0.13</v>
      </c>
      <c r="E129" s="1098">
        <v>0.126</v>
      </c>
      <c r="F129" s="1103"/>
    </row>
    <row r="130" spans="1:6" ht="14.25" thickBot="1">
      <c r="A130" s="854" t="s">
        <v>70</v>
      </c>
      <c r="B130" s="848" t="s">
        <v>352</v>
      </c>
      <c r="C130" s="1098">
        <v>0.125</v>
      </c>
      <c r="D130" s="1098">
        <v>0.125</v>
      </c>
      <c r="E130" s="1098">
        <v>0.122</v>
      </c>
      <c r="F130" s="1103"/>
    </row>
    <row r="131" spans="1:6" ht="14.25" thickBot="1">
      <c r="A131" s="854" t="s">
        <v>70</v>
      </c>
      <c r="B131" s="848" t="s">
        <v>360</v>
      </c>
      <c r="C131" s="1098">
        <v>0.127</v>
      </c>
      <c r="D131" s="1098">
        <v>0.126</v>
      </c>
      <c r="E131" s="1098">
        <v>0.123</v>
      </c>
      <c r="F131" s="1103"/>
    </row>
    <row r="132" spans="1:6" ht="14.25" thickBot="1">
      <c r="A132" s="854" t="s">
        <v>70</v>
      </c>
      <c r="B132" s="848" t="s">
        <v>367</v>
      </c>
      <c r="C132" s="1098">
        <v>9.0999999999999998E-2</v>
      </c>
      <c r="D132" s="1098">
        <v>0.121</v>
      </c>
      <c r="E132" s="1098">
        <v>9.9000000000000005E-2</v>
      </c>
      <c r="F132" s="1103"/>
    </row>
    <row r="133" spans="1:6" ht="14.25" thickBot="1">
      <c r="A133" s="854" t="s">
        <v>70</v>
      </c>
      <c r="B133" s="848" t="s">
        <v>374</v>
      </c>
      <c r="C133" s="1098">
        <v>0.13</v>
      </c>
      <c r="D133" s="1098">
        <v>0.13</v>
      </c>
      <c r="E133" s="1098">
        <v>0.129</v>
      </c>
      <c r="F133" s="1103"/>
    </row>
    <row r="134" spans="1:6" ht="14.25" thickBot="1">
      <c r="A134" s="854" t="s">
        <v>70</v>
      </c>
      <c r="B134" s="848" t="s">
        <v>815</v>
      </c>
      <c r="C134" s="1098">
        <v>6.8000000000000005E-2</v>
      </c>
      <c r="D134" s="1098">
        <v>6.5000000000000002E-2</v>
      </c>
      <c r="E134" s="1098">
        <v>6.5000000000000002E-2</v>
      </c>
      <c r="F134" s="1099">
        <v>0.13</v>
      </c>
    </row>
    <row r="135" spans="1:6" ht="14.25" thickBot="1">
      <c r="A135" s="854" t="s">
        <v>70</v>
      </c>
      <c r="B135" s="848" t="s">
        <v>388</v>
      </c>
      <c r="C135" s="1098">
        <v>0.123</v>
      </c>
      <c r="D135" s="1098">
        <v>0.123</v>
      </c>
      <c r="E135" s="1098">
        <v>0.11</v>
      </c>
      <c r="F135" s="1103"/>
    </row>
    <row r="136" spans="1:6" ht="14.25" thickBot="1">
      <c r="A136" s="854" t="s">
        <v>70</v>
      </c>
      <c r="B136" s="848" t="s">
        <v>395</v>
      </c>
      <c r="C136" s="1098">
        <v>0.13</v>
      </c>
      <c r="D136" s="1098">
        <v>0.13</v>
      </c>
      <c r="E136" s="1098">
        <v>0.125</v>
      </c>
      <c r="F136" s="1103"/>
    </row>
    <row r="137" spans="1:6" ht="14.25" thickBot="1">
      <c r="A137" s="854" t="s">
        <v>70</v>
      </c>
      <c r="B137" s="848" t="s">
        <v>402</v>
      </c>
      <c r="C137" s="1098">
        <v>0.121</v>
      </c>
      <c r="D137" s="1098">
        <v>0.122</v>
      </c>
      <c r="E137" s="1098">
        <v>0.115</v>
      </c>
      <c r="F137" s="1103"/>
    </row>
    <row r="138" spans="1:6" ht="14.25" thickBot="1">
      <c r="A138" s="854" t="s">
        <v>70</v>
      </c>
      <c r="B138" s="848" t="s">
        <v>816</v>
      </c>
      <c r="C138" s="1098">
        <v>0.105</v>
      </c>
      <c r="D138" s="1098">
        <v>0.125</v>
      </c>
      <c r="E138" s="1098">
        <v>0.112</v>
      </c>
      <c r="F138" s="1103"/>
    </row>
    <row r="139" spans="1:6" ht="14.25" thickBot="1">
      <c r="A139" s="854" t="s">
        <v>70</v>
      </c>
      <c r="B139" s="848" t="s">
        <v>817</v>
      </c>
      <c r="C139" s="1098">
        <v>0.127</v>
      </c>
      <c r="D139" s="1098">
        <v>0.127</v>
      </c>
      <c r="E139" s="1098">
        <v>0.122</v>
      </c>
      <c r="F139" s="1099">
        <v>0.13</v>
      </c>
    </row>
    <row r="140" spans="1:6" ht="14.25" thickBot="1">
      <c r="A140" s="854" t="s">
        <v>70</v>
      </c>
      <c r="B140" s="848" t="s">
        <v>818</v>
      </c>
      <c r="C140" s="1098">
        <v>0.125</v>
      </c>
      <c r="D140" s="1098">
        <v>0.125</v>
      </c>
      <c r="E140" s="1098">
        <v>0.11899999999999999</v>
      </c>
      <c r="F140" s="1099">
        <v>0.13</v>
      </c>
    </row>
    <row r="141" spans="1:6" ht="14.25" thickBot="1">
      <c r="A141" s="854" t="s">
        <v>70</v>
      </c>
      <c r="B141" s="848" t="s">
        <v>421</v>
      </c>
      <c r="C141" s="1098">
        <v>0.125</v>
      </c>
      <c r="D141" s="1098">
        <v>0.125</v>
      </c>
      <c r="E141" s="1098">
        <v>0.11700000000000001</v>
      </c>
      <c r="F141" s="1103"/>
    </row>
    <row r="142" spans="1:6" ht="14.25" thickBot="1">
      <c r="A142" s="854" t="s">
        <v>70</v>
      </c>
      <c r="B142" s="848" t="s">
        <v>426</v>
      </c>
      <c r="C142" s="1098">
        <v>0.125</v>
      </c>
      <c r="D142" s="1098">
        <v>0.125</v>
      </c>
      <c r="E142" s="1098">
        <v>0.115</v>
      </c>
      <c r="F142" s="1103"/>
    </row>
    <row r="143" spans="1:6" ht="14.25" thickBot="1">
      <c r="A143" s="854" t="s">
        <v>70</v>
      </c>
      <c r="B143" s="848" t="s">
        <v>431</v>
      </c>
      <c r="C143" s="1098">
        <v>0.121</v>
      </c>
      <c r="D143" s="1098">
        <v>0.121</v>
      </c>
      <c r="E143" s="1098">
        <v>0.108</v>
      </c>
      <c r="F143" s="1103"/>
    </row>
    <row r="144" spans="1:6" ht="14.25" thickBot="1">
      <c r="A144" s="854" t="s">
        <v>70</v>
      </c>
      <c r="B144" s="1106" t="s">
        <v>819</v>
      </c>
      <c r="C144" s="1107">
        <v>0.126</v>
      </c>
      <c r="D144" s="1107">
        <v>0.126</v>
      </c>
      <c r="E144" s="1107">
        <v>0.121</v>
      </c>
      <c r="F144" s="1103"/>
    </row>
    <row r="145" spans="1:6" ht="14.25" thickBot="1">
      <c r="A145" s="871" t="s">
        <v>70</v>
      </c>
      <c r="B145" s="1108" t="s">
        <v>820</v>
      </c>
      <c r="C145" s="1109"/>
      <c r="D145" s="1109"/>
      <c r="E145" s="1109"/>
      <c r="F145" s="1110">
        <v>0.05</v>
      </c>
    </row>
    <row r="146" spans="1:6" ht="24.75" thickBot="1">
      <c r="A146" s="1111" t="s">
        <v>70</v>
      </c>
      <c r="B146" s="862" t="s">
        <v>821</v>
      </c>
      <c r="C146" s="1104"/>
      <c r="D146" s="1104"/>
      <c r="E146" s="1104"/>
      <c r="F146" s="1112">
        <v>0.05</v>
      </c>
    </row>
    <row r="147" spans="1:6" ht="24.75" thickBot="1">
      <c r="A147" s="854" t="s">
        <v>70</v>
      </c>
      <c r="B147" s="848" t="s">
        <v>822</v>
      </c>
      <c r="C147" s="1104"/>
      <c r="D147" s="1104"/>
      <c r="E147" s="1104"/>
      <c r="F147" s="1099">
        <v>0.05</v>
      </c>
    </row>
    <row r="148" spans="1:6" ht="24.75" thickBot="1">
      <c r="A148" s="854" t="s">
        <v>70</v>
      </c>
      <c r="B148" s="848" t="s">
        <v>823</v>
      </c>
      <c r="C148" s="1104"/>
      <c r="D148" s="1104"/>
      <c r="E148" s="1104"/>
      <c r="F148" s="1099">
        <v>0.05</v>
      </c>
    </row>
    <row r="149" spans="1:6" ht="24.75" thickBot="1">
      <c r="A149" s="854" t="s">
        <v>70</v>
      </c>
      <c r="B149" s="848" t="s">
        <v>824</v>
      </c>
      <c r="C149" s="1104"/>
      <c r="D149" s="1104"/>
      <c r="E149" s="1104"/>
      <c r="F149" s="1099">
        <v>0.05</v>
      </c>
    </row>
    <row r="150" spans="1:6" ht="24.75" thickBot="1">
      <c r="A150" s="854" t="s">
        <v>70</v>
      </c>
      <c r="B150" s="848" t="s">
        <v>825</v>
      </c>
      <c r="C150" s="1104"/>
      <c r="D150" s="1104"/>
      <c r="E150" s="1104"/>
      <c r="F150" s="1099">
        <v>0.05</v>
      </c>
    </row>
    <row r="151" spans="1:6" ht="24.75" thickBot="1">
      <c r="A151" s="854" t="s">
        <v>70</v>
      </c>
      <c r="B151" s="848" t="s">
        <v>826</v>
      </c>
      <c r="C151" s="1104"/>
      <c r="D151" s="1104"/>
      <c r="E151" s="1104"/>
      <c r="F151" s="1099">
        <v>0.05</v>
      </c>
    </row>
    <row r="152" spans="1:6" ht="24.75" thickBot="1">
      <c r="A152" s="854" t="s">
        <v>70</v>
      </c>
      <c r="B152" s="848" t="s">
        <v>464</v>
      </c>
      <c r="C152" s="1104"/>
      <c r="D152" s="1104"/>
      <c r="E152" s="1104"/>
      <c r="F152" s="1099">
        <v>0.05</v>
      </c>
    </row>
    <row r="153" spans="1:6" ht="14.25" thickBot="1">
      <c r="A153" s="854" t="s">
        <v>70</v>
      </c>
      <c r="B153" s="848" t="s">
        <v>827</v>
      </c>
      <c r="C153" s="1104"/>
      <c r="D153" s="1104"/>
      <c r="E153" s="1104"/>
      <c r="F153" s="1099">
        <v>0.05</v>
      </c>
    </row>
    <row r="154" spans="1:6" ht="14.25" thickBot="1">
      <c r="A154" s="854" t="s">
        <v>70</v>
      </c>
      <c r="B154" s="848" t="s">
        <v>828</v>
      </c>
      <c r="C154" s="1104"/>
      <c r="D154" s="1104"/>
      <c r="E154" s="1104"/>
      <c r="F154" s="1099">
        <v>0.05</v>
      </c>
    </row>
    <row r="155" spans="1:6" ht="24.75" thickBot="1">
      <c r="A155" s="854" t="s">
        <v>70</v>
      </c>
      <c r="B155" s="848" t="s">
        <v>829</v>
      </c>
      <c r="C155" s="1104"/>
      <c r="D155" s="1104"/>
      <c r="E155" s="1104"/>
      <c r="F155" s="1099">
        <v>0.05</v>
      </c>
    </row>
    <row r="156" spans="1:6" ht="24.75" thickBot="1">
      <c r="A156" s="854" t="s">
        <v>70</v>
      </c>
      <c r="B156" s="848" t="s">
        <v>830</v>
      </c>
      <c r="C156" s="1104"/>
      <c r="D156" s="1104"/>
      <c r="E156" s="1104"/>
      <c r="F156" s="1099">
        <v>0.05</v>
      </c>
    </row>
    <row r="157" spans="1:6" ht="14.25" thickBot="1">
      <c r="A157" s="871" t="s">
        <v>70</v>
      </c>
      <c r="B157" s="864" t="s">
        <v>831</v>
      </c>
      <c r="C157" s="1101"/>
      <c r="D157" s="1101"/>
      <c r="E157" s="1101"/>
      <c r="F157" s="1105">
        <v>0.05</v>
      </c>
    </row>
    <row r="158" spans="1:6" ht="14.25" thickBot="1">
      <c r="A158" s="854" t="s">
        <v>483</v>
      </c>
      <c r="B158" s="855" t="s">
        <v>832</v>
      </c>
      <c r="C158" s="1096">
        <v>0.13</v>
      </c>
      <c r="D158" s="1096">
        <v>0.13</v>
      </c>
      <c r="E158" s="1096">
        <v>0.13</v>
      </c>
      <c r="F158" s="1097">
        <v>0.13</v>
      </c>
    </row>
    <row r="159" spans="1:6" ht="14.25" thickBot="1">
      <c r="A159" s="854" t="s">
        <v>483</v>
      </c>
      <c r="B159" s="848" t="s">
        <v>142</v>
      </c>
      <c r="C159" s="1098">
        <v>0.13</v>
      </c>
      <c r="D159" s="1098">
        <v>0.13</v>
      </c>
      <c r="E159" s="1098">
        <v>0.13</v>
      </c>
      <c r="F159" s="1099">
        <v>0.13</v>
      </c>
    </row>
    <row r="160" spans="1:6" ht="14.25" thickBot="1">
      <c r="A160" s="854" t="s">
        <v>483</v>
      </c>
      <c r="B160" s="848" t="s">
        <v>155</v>
      </c>
      <c r="C160" s="1098">
        <v>0.13</v>
      </c>
      <c r="D160" s="1098">
        <v>0.13</v>
      </c>
      <c r="E160" s="1098">
        <v>0.129</v>
      </c>
      <c r="F160" s="1099">
        <v>0.13</v>
      </c>
    </row>
    <row r="161" spans="1:6" ht="14.25" thickBot="1">
      <c r="A161" s="854" t="s">
        <v>483</v>
      </c>
      <c r="B161" s="848" t="s">
        <v>168</v>
      </c>
      <c r="C161" s="1098">
        <v>0.128</v>
      </c>
      <c r="D161" s="1098">
        <v>0.128</v>
      </c>
      <c r="E161" s="1098">
        <v>0.125</v>
      </c>
      <c r="F161" s="1099">
        <v>0.13</v>
      </c>
    </row>
    <row r="162" spans="1:6" ht="14.25" thickBot="1">
      <c r="A162" s="854" t="s">
        <v>483</v>
      </c>
      <c r="B162" s="848" t="s">
        <v>180</v>
      </c>
      <c r="C162" s="1098">
        <v>0.122</v>
      </c>
      <c r="D162" s="1098">
        <v>0.122</v>
      </c>
      <c r="E162" s="1098">
        <v>0.126</v>
      </c>
      <c r="F162" s="1099">
        <v>0.122</v>
      </c>
    </row>
    <row r="163" spans="1:6" ht="14.25" thickBot="1">
      <c r="A163" s="854" t="s">
        <v>483</v>
      </c>
      <c r="B163" s="848" t="s">
        <v>192</v>
      </c>
      <c r="C163" s="1098">
        <v>0.13</v>
      </c>
      <c r="D163" s="1098">
        <v>0.13</v>
      </c>
      <c r="E163" s="1098">
        <v>0.125</v>
      </c>
      <c r="F163" s="1099">
        <v>0.13</v>
      </c>
    </row>
    <row r="164" spans="1:6" ht="14.25" thickBot="1">
      <c r="A164" s="854" t="s">
        <v>483</v>
      </c>
      <c r="B164" s="848" t="s">
        <v>204</v>
      </c>
      <c r="C164" s="1098">
        <v>0.13</v>
      </c>
      <c r="D164" s="1098">
        <v>0.13</v>
      </c>
      <c r="E164" s="1098">
        <v>0.13</v>
      </c>
      <c r="F164" s="1099">
        <v>0.13</v>
      </c>
    </row>
    <row r="165" spans="1:6" ht="14.25" thickBot="1">
      <c r="A165" s="854" t="s">
        <v>483</v>
      </c>
      <c r="B165" s="848" t="s">
        <v>216</v>
      </c>
      <c r="C165" s="1098">
        <v>0.13</v>
      </c>
      <c r="D165" s="1098">
        <v>0.13</v>
      </c>
      <c r="E165" s="1098">
        <v>0.124</v>
      </c>
      <c r="F165" s="1099">
        <v>0.13</v>
      </c>
    </row>
    <row r="166" spans="1:6" ht="14.25" thickBot="1">
      <c r="A166" s="854" t="s">
        <v>483</v>
      </c>
      <c r="B166" s="848" t="s">
        <v>229</v>
      </c>
      <c r="C166" s="1098">
        <v>0.13</v>
      </c>
      <c r="D166" s="1098">
        <v>0.13</v>
      </c>
      <c r="E166" s="1098">
        <v>0.13</v>
      </c>
      <c r="F166" s="1099">
        <v>0.13</v>
      </c>
    </row>
    <row r="167" spans="1:6" ht="14.25" thickBot="1">
      <c r="A167" s="854" t="s">
        <v>483</v>
      </c>
      <c r="B167" s="848" t="s">
        <v>240</v>
      </c>
      <c r="C167" s="1098">
        <v>0.125</v>
      </c>
      <c r="D167" s="1098">
        <v>0.125</v>
      </c>
      <c r="E167" s="1098">
        <v>0.121</v>
      </c>
      <c r="F167" s="1103"/>
    </row>
    <row r="168" spans="1:6" ht="14.25" thickBot="1">
      <c r="A168" s="854" t="s">
        <v>483</v>
      </c>
      <c r="B168" s="848" t="s">
        <v>251</v>
      </c>
      <c r="C168" s="1098">
        <v>0.13</v>
      </c>
      <c r="D168" s="1098">
        <v>0.13</v>
      </c>
      <c r="E168" s="1098">
        <v>0.126</v>
      </c>
      <c r="F168" s="1103"/>
    </row>
    <row r="169" spans="1:6" ht="14.25" thickBot="1">
      <c r="A169" s="854" t="s">
        <v>483</v>
      </c>
      <c r="B169" s="848" t="s">
        <v>262</v>
      </c>
      <c r="C169" s="1098">
        <v>0.128</v>
      </c>
      <c r="D169" s="1098">
        <v>0.129</v>
      </c>
      <c r="E169" s="1098">
        <v>0.13</v>
      </c>
      <c r="F169" s="1103"/>
    </row>
    <row r="170" spans="1:6" ht="14.25" thickBot="1">
      <c r="A170" s="854" t="s">
        <v>483</v>
      </c>
      <c r="B170" s="848" t="s">
        <v>273</v>
      </c>
      <c r="C170" s="1098">
        <v>0.14099999999999999</v>
      </c>
      <c r="D170" s="1098">
        <v>0.13</v>
      </c>
      <c r="E170" s="1098">
        <v>0.125</v>
      </c>
      <c r="F170" s="1103"/>
    </row>
    <row r="171" spans="1:6" ht="14.25" thickBot="1">
      <c r="A171" s="854" t="s">
        <v>483</v>
      </c>
      <c r="B171" s="848" t="s">
        <v>833</v>
      </c>
      <c r="C171" s="1098">
        <v>0.127</v>
      </c>
      <c r="D171" s="1098">
        <v>0.126</v>
      </c>
      <c r="E171" s="1098">
        <v>0.126</v>
      </c>
      <c r="F171" s="1099">
        <v>0.11799999999999999</v>
      </c>
    </row>
    <row r="172" spans="1:6" ht="14.25" thickBot="1">
      <c r="A172" s="854" t="s">
        <v>483</v>
      </c>
      <c r="B172" s="848" t="s">
        <v>834</v>
      </c>
      <c r="C172" s="1098">
        <v>0.13</v>
      </c>
      <c r="D172" s="1098">
        <v>0.13</v>
      </c>
      <c r="E172" s="1098">
        <v>0.13</v>
      </c>
      <c r="F172" s="1103"/>
    </row>
    <row r="173" spans="1:6" ht="14.25" thickBot="1">
      <c r="A173" s="854" t="s">
        <v>483</v>
      </c>
      <c r="B173" s="848" t="s">
        <v>305</v>
      </c>
      <c r="C173" s="1098">
        <v>0.13</v>
      </c>
      <c r="D173" s="1098">
        <v>0.13</v>
      </c>
      <c r="E173" s="1098">
        <v>0.13</v>
      </c>
      <c r="F173" s="1103"/>
    </row>
    <row r="174" spans="1:6" ht="14.25" thickBot="1">
      <c r="A174" s="854" t="s">
        <v>483</v>
      </c>
      <c r="B174" s="848" t="s">
        <v>835</v>
      </c>
      <c r="C174" s="1098">
        <v>0.13</v>
      </c>
      <c r="D174" s="1098">
        <v>0.13</v>
      </c>
      <c r="E174" s="1098">
        <v>0.13</v>
      </c>
      <c r="F174" s="1099">
        <v>0.13</v>
      </c>
    </row>
    <row r="175" spans="1:6" ht="14.25" thickBot="1">
      <c r="A175" s="854" t="s">
        <v>483</v>
      </c>
      <c r="B175" s="848" t="s">
        <v>836</v>
      </c>
      <c r="C175" s="1098">
        <v>0.13</v>
      </c>
      <c r="D175" s="1098">
        <v>0.13</v>
      </c>
      <c r="E175" s="1098">
        <v>0.13</v>
      </c>
      <c r="F175" s="1099">
        <v>0.13</v>
      </c>
    </row>
    <row r="176" spans="1:6" ht="14.25" thickBot="1">
      <c r="A176" s="854" t="s">
        <v>483</v>
      </c>
      <c r="B176" s="848" t="s">
        <v>335</v>
      </c>
      <c r="C176" s="1098">
        <v>0.13</v>
      </c>
      <c r="D176" s="1098">
        <v>0.13</v>
      </c>
      <c r="E176" s="1098">
        <v>0.13</v>
      </c>
      <c r="F176" s="1099">
        <v>0.13</v>
      </c>
    </row>
    <row r="177" spans="1:6" ht="14.25" thickBot="1">
      <c r="A177" s="854" t="s">
        <v>483</v>
      </c>
      <c r="B177" s="848" t="s">
        <v>837</v>
      </c>
      <c r="C177" s="1098">
        <v>0.13</v>
      </c>
      <c r="D177" s="1098">
        <v>0.13</v>
      </c>
      <c r="E177" s="1098">
        <v>0.13</v>
      </c>
      <c r="F177" s="1099">
        <v>0.13</v>
      </c>
    </row>
    <row r="178" spans="1:6" ht="14.25" thickBot="1">
      <c r="A178" s="854" t="s">
        <v>483</v>
      </c>
      <c r="B178" s="848" t="s">
        <v>353</v>
      </c>
      <c r="C178" s="1098">
        <v>0.13</v>
      </c>
      <c r="D178" s="1098">
        <v>0.13</v>
      </c>
      <c r="E178" s="1098">
        <v>0.13</v>
      </c>
      <c r="F178" s="1099">
        <v>0.127</v>
      </c>
    </row>
    <row r="179" spans="1:6" ht="14.25" thickBot="1">
      <c r="A179" s="854" t="s">
        <v>483</v>
      </c>
      <c r="B179" s="848" t="s">
        <v>361</v>
      </c>
      <c r="C179" s="1098">
        <v>0.13</v>
      </c>
      <c r="D179" s="1098">
        <v>0.13</v>
      </c>
      <c r="E179" s="1098">
        <v>0.13</v>
      </c>
      <c r="F179" s="1103"/>
    </row>
    <row r="180" spans="1:6" ht="14.25" thickBot="1">
      <c r="A180" s="854" t="s">
        <v>483</v>
      </c>
      <c r="B180" s="848" t="s">
        <v>838</v>
      </c>
      <c r="C180" s="1098">
        <v>0.13</v>
      </c>
      <c r="D180" s="1098">
        <v>0.13</v>
      </c>
      <c r="E180" s="1098">
        <v>0.125</v>
      </c>
      <c r="F180" s="1099">
        <v>0.13</v>
      </c>
    </row>
    <row r="181" spans="1:6" ht="14.25" thickBot="1">
      <c r="A181" s="854" t="s">
        <v>483</v>
      </c>
      <c r="B181" s="848" t="s">
        <v>375</v>
      </c>
      <c r="C181" s="1098">
        <v>0.122</v>
      </c>
      <c r="D181" s="1098">
        <v>0.123</v>
      </c>
      <c r="E181" s="1098">
        <v>0.126</v>
      </c>
      <c r="F181" s="1099">
        <v>0.121</v>
      </c>
    </row>
    <row r="182" spans="1:6" ht="14.25" thickBot="1">
      <c r="A182" s="854" t="s">
        <v>483</v>
      </c>
      <c r="B182" s="848" t="s">
        <v>382</v>
      </c>
      <c r="C182" s="1098">
        <v>0.125</v>
      </c>
      <c r="D182" s="1098">
        <v>0.125</v>
      </c>
      <c r="E182" s="1098">
        <v>0.11700000000000001</v>
      </c>
      <c r="F182" s="1099">
        <v>0.13</v>
      </c>
    </row>
    <row r="183" spans="1:6" ht="14.25" thickBot="1">
      <c r="A183" s="854" t="s">
        <v>483</v>
      </c>
      <c r="B183" s="848" t="s">
        <v>389</v>
      </c>
      <c r="C183" s="1098">
        <v>0.127</v>
      </c>
      <c r="D183" s="1098">
        <v>0.127</v>
      </c>
      <c r="E183" s="1098">
        <v>0.128</v>
      </c>
      <c r="F183" s="1103"/>
    </row>
    <row r="184" spans="1:6" ht="14.25" thickBot="1">
      <c r="A184" s="854" t="s">
        <v>483</v>
      </c>
      <c r="B184" s="848" t="s">
        <v>396</v>
      </c>
      <c r="C184" s="1098">
        <v>0.125</v>
      </c>
      <c r="D184" s="1098">
        <v>0.125</v>
      </c>
      <c r="E184" s="1098">
        <v>0.127</v>
      </c>
      <c r="F184" s="1103"/>
    </row>
    <row r="185" spans="1:6" ht="14.25" thickBot="1">
      <c r="A185" s="854" t="s">
        <v>483</v>
      </c>
      <c r="B185" s="848" t="s">
        <v>839</v>
      </c>
      <c r="C185" s="1098">
        <v>0.127</v>
      </c>
      <c r="D185" s="1098">
        <v>0.127</v>
      </c>
      <c r="E185" s="1098">
        <v>0.128</v>
      </c>
      <c r="F185" s="1099">
        <v>0.13</v>
      </c>
    </row>
    <row r="186" spans="1:6" ht="24.75" thickBot="1">
      <c r="A186" s="854" t="s">
        <v>483</v>
      </c>
      <c r="B186" s="848" t="s">
        <v>840</v>
      </c>
      <c r="C186" s="1104"/>
      <c r="D186" s="1104"/>
      <c r="E186" s="1104"/>
      <c r="F186" s="1099">
        <v>0.05</v>
      </c>
    </row>
    <row r="187" spans="1:6" ht="14.25" thickBot="1">
      <c r="A187" s="854" t="s">
        <v>483</v>
      </c>
      <c r="B187" s="848" t="s">
        <v>841</v>
      </c>
      <c r="C187" s="1104"/>
      <c r="D187" s="1104"/>
      <c r="E187" s="1104"/>
      <c r="F187" s="1099">
        <v>0.05</v>
      </c>
    </row>
    <row r="188" spans="1:6" ht="14.25" thickBot="1">
      <c r="A188" s="854" t="s">
        <v>483</v>
      </c>
      <c r="B188" s="848" t="s">
        <v>842</v>
      </c>
      <c r="C188" s="1104"/>
      <c r="D188" s="1104"/>
      <c r="E188" s="1104"/>
      <c r="F188" s="1099">
        <v>0.05</v>
      </c>
    </row>
    <row r="189" spans="1:6" ht="24.75" thickBot="1">
      <c r="A189" s="854" t="s">
        <v>483</v>
      </c>
      <c r="B189" s="848" t="s">
        <v>843</v>
      </c>
      <c r="C189" s="1104"/>
      <c r="D189" s="1104"/>
      <c r="E189" s="1104"/>
      <c r="F189" s="1099">
        <v>0.05</v>
      </c>
    </row>
    <row r="190" spans="1:6" ht="24.75" thickBot="1">
      <c r="A190" s="854" t="s">
        <v>483</v>
      </c>
      <c r="B190" s="848" t="s">
        <v>844</v>
      </c>
      <c r="C190" s="1104"/>
      <c r="D190" s="1104"/>
      <c r="E190" s="1104"/>
      <c r="F190" s="1099">
        <v>0.05</v>
      </c>
    </row>
    <row r="191" spans="1:6" ht="24.75" thickBot="1">
      <c r="A191" s="854" t="s">
        <v>483</v>
      </c>
      <c r="B191" s="848" t="s">
        <v>845</v>
      </c>
      <c r="C191" s="1104"/>
      <c r="D191" s="1104"/>
      <c r="E191" s="1104"/>
      <c r="F191" s="1099">
        <v>0.05</v>
      </c>
    </row>
    <row r="192" spans="1:6" ht="24.75" thickBot="1">
      <c r="A192" s="854" t="s">
        <v>483</v>
      </c>
      <c r="B192" s="848" t="s">
        <v>846</v>
      </c>
      <c r="C192" s="1104"/>
      <c r="D192" s="1104"/>
      <c r="E192" s="1104"/>
      <c r="F192" s="1099">
        <v>0.05</v>
      </c>
    </row>
    <row r="193" spans="1:6" ht="24.75" thickBot="1">
      <c r="A193" s="854" t="s">
        <v>483</v>
      </c>
      <c r="B193" s="848" t="s">
        <v>847</v>
      </c>
      <c r="C193" s="1104"/>
      <c r="D193" s="1104"/>
      <c r="E193" s="1104"/>
      <c r="F193" s="1099">
        <v>0.05</v>
      </c>
    </row>
    <row r="194" spans="1:6" ht="24.75" thickBot="1">
      <c r="A194" s="854" t="s">
        <v>483</v>
      </c>
      <c r="B194" s="848" t="s">
        <v>848</v>
      </c>
      <c r="C194" s="1104"/>
      <c r="D194" s="1104"/>
      <c r="E194" s="1104"/>
      <c r="F194" s="1099">
        <v>0.05</v>
      </c>
    </row>
    <row r="195" spans="1:6" ht="14.25" thickBot="1">
      <c r="A195" s="854" t="s">
        <v>483</v>
      </c>
      <c r="B195" s="848" t="s">
        <v>849</v>
      </c>
      <c r="C195" s="1104"/>
      <c r="D195" s="1104"/>
      <c r="E195" s="1104"/>
      <c r="F195" s="1099">
        <v>0.05</v>
      </c>
    </row>
    <row r="196" spans="1:6" ht="24.75" thickBot="1">
      <c r="A196" s="854" t="s">
        <v>483</v>
      </c>
      <c r="B196" s="848" t="s">
        <v>850</v>
      </c>
      <c r="C196" s="1104"/>
      <c r="D196" s="1104"/>
      <c r="E196" s="1104"/>
      <c r="F196" s="1099">
        <v>0.05</v>
      </c>
    </row>
    <row r="197" spans="1:6" ht="24.75" thickBot="1">
      <c r="A197" s="854" t="s">
        <v>483</v>
      </c>
      <c r="B197" s="848" t="s">
        <v>851</v>
      </c>
      <c r="C197" s="1104"/>
      <c r="D197" s="1104"/>
      <c r="E197" s="1104"/>
      <c r="F197" s="1099">
        <v>0.05</v>
      </c>
    </row>
    <row r="198" spans="1:6" ht="24.75" thickBot="1">
      <c r="A198" s="854" t="s">
        <v>483</v>
      </c>
      <c r="B198" s="848" t="s">
        <v>852</v>
      </c>
      <c r="C198" s="1104"/>
      <c r="D198" s="1104"/>
      <c r="E198" s="1104"/>
      <c r="F198" s="1099">
        <v>0.05</v>
      </c>
    </row>
    <row r="199" spans="1:6" ht="24.75" thickBot="1">
      <c r="A199" s="854" t="s">
        <v>483</v>
      </c>
      <c r="B199" s="848" t="s">
        <v>853</v>
      </c>
      <c r="C199" s="1104"/>
      <c r="D199" s="1104"/>
      <c r="E199" s="1104"/>
      <c r="F199" s="1099">
        <v>0.05</v>
      </c>
    </row>
    <row r="200" spans="1:6" ht="24.75" thickBot="1">
      <c r="A200" s="854" t="s">
        <v>483</v>
      </c>
      <c r="B200" s="848" t="s">
        <v>854</v>
      </c>
      <c r="C200" s="1104"/>
      <c r="D200" s="1104"/>
      <c r="E200" s="1104"/>
      <c r="F200" s="1099">
        <v>0.05</v>
      </c>
    </row>
    <row r="201" spans="1:6" ht="24.75" thickBot="1">
      <c r="A201" s="854" t="s">
        <v>483</v>
      </c>
      <c r="B201" s="848" t="s">
        <v>855</v>
      </c>
      <c r="C201" s="1104"/>
      <c r="D201" s="1104"/>
      <c r="E201" s="1104"/>
      <c r="F201" s="1099">
        <v>0.05</v>
      </c>
    </row>
    <row r="202" spans="1:6" ht="24.75" thickBot="1">
      <c r="A202" s="854" t="s">
        <v>483</v>
      </c>
      <c r="B202" s="848" t="s">
        <v>856</v>
      </c>
      <c r="C202" s="1104"/>
      <c r="D202" s="1104"/>
      <c r="E202" s="1104"/>
      <c r="F202" s="1099">
        <v>0.05</v>
      </c>
    </row>
    <row r="203" spans="1:6" ht="24.75" thickBot="1">
      <c r="A203" s="854" t="s">
        <v>483</v>
      </c>
      <c r="B203" s="848" t="s">
        <v>857</v>
      </c>
      <c r="C203" s="1104"/>
      <c r="D203" s="1104"/>
      <c r="E203" s="1104"/>
      <c r="F203" s="1099">
        <v>0.05</v>
      </c>
    </row>
    <row r="204" spans="1:6" ht="14.25" thickBot="1">
      <c r="A204" s="854" t="s">
        <v>483</v>
      </c>
      <c r="B204" s="848" t="s">
        <v>858</v>
      </c>
      <c r="C204" s="1104"/>
      <c r="D204" s="1104"/>
      <c r="E204" s="1104"/>
      <c r="F204" s="1099">
        <v>0.05</v>
      </c>
    </row>
    <row r="205" spans="1:6" ht="14.25" thickBot="1">
      <c r="A205" s="871" t="s">
        <v>483</v>
      </c>
      <c r="B205" s="864" t="s">
        <v>859</v>
      </c>
      <c r="C205" s="1101"/>
      <c r="D205" s="1101"/>
      <c r="E205" s="1101"/>
      <c r="F205" s="1105">
        <v>0.05</v>
      </c>
    </row>
    <row r="206" spans="1:6" ht="14.25" thickBot="1">
      <c r="A206" s="854" t="s">
        <v>485</v>
      </c>
      <c r="B206" s="855" t="s">
        <v>860</v>
      </c>
      <c r="C206" s="1096">
        <v>0.15</v>
      </c>
      <c r="D206" s="1096">
        <v>0.15</v>
      </c>
      <c r="E206" s="1096">
        <v>0.15</v>
      </c>
      <c r="F206" s="1097">
        <v>0.15</v>
      </c>
    </row>
    <row r="207" spans="1:6" ht="14.25" thickBot="1">
      <c r="A207" s="854" t="s">
        <v>485</v>
      </c>
      <c r="B207" s="848" t="s">
        <v>143</v>
      </c>
      <c r="C207" s="1098">
        <v>0.15</v>
      </c>
      <c r="D207" s="1098">
        <v>0.15</v>
      </c>
      <c r="E207" s="1098">
        <v>0.15</v>
      </c>
      <c r="F207" s="1099">
        <v>0.14399999999999999</v>
      </c>
    </row>
    <row r="208" spans="1:6" ht="14.25" thickBot="1">
      <c r="A208" s="854" t="s">
        <v>485</v>
      </c>
      <c r="B208" s="848" t="s">
        <v>156</v>
      </c>
      <c r="C208" s="1098">
        <v>0.15</v>
      </c>
      <c r="D208" s="1098">
        <v>0.15</v>
      </c>
      <c r="E208" s="1098">
        <v>0.15</v>
      </c>
      <c r="F208" s="1099">
        <v>0.15</v>
      </c>
    </row>
    <row r="209" spans="1:6" ht="14.25" thickBot="1">
      <c r="A209" s="854" t="s">
        <v>485</v>
      </c>
      <c r="B209" s="848" t="s">
        <v>169</v>
      </c>
      <c r="C209" s="1098">
        <v>0.13700000000000001</v>
      </c>
      <c r="D209" s="1098">
        <v>0.13700000000000001</v>
      </c>
      <c r="E209" s="1098">
        <v>0.14000000000000001</v>
      </c>
      <c r="F209" s="1099">
        <v>0.11700000000000001</v>
      </c>
    </row>
    <row r="210" spans="1:6" ht="14.25" thickBot="1">
      <c r="A210" s="854" t="s">
        <v>485</v>
      </c>
      <c r="B210" s="848" t="s">
        <v>861</v>
      </c>
      <c r="C210" s="1098">
        <v>0.15</v>
      </c>
      <c r="D210" s="1098">
        <v>0.15</v>
      </c>
      <c r="E210" s="1098">
        <v>0.15</v>
      </c>
      <c r="F210" s="1099">
        <v>0.13800000000000001</v>
      </c>
    </row>
    <row r="211" spans="1:6" ht="14.25" thickBot="1">
      <c r="A211" s="854" t="s">
        <v>485</v>
      </c>
      <c r="B211" s="848" t="s">
        <v>862</v>
      </c>
      <c r="C211" s="1098">
        <v>0.13700000000000001</v>
      </c>
      <c r="D211" s="1098">
        <v>0.13500000000000001</v>
      </c>
      <c r="E211" s="1098">
        <v>0.13600000000000001</v>
      </c>
      <c r="F211" s="1099">
        <v>0.1</v>
      </c>
    </row>
    <row r="212" spans="1:6" ht="14.25" thickBot="1">
      <c r="A212" s="854" t="s">
        <v>485</v>
      </c>
      <c r="B212" s="848" t="s">
        <v>863</v>
      </c>
      <c r="C212" s="1098">
        <v>0.15</v>
      </c>
      <c r="D212" s="1098">
        <v>0.15</v>
      </c>
      <c r="E212" s="1098">
        <v>0.14799999999999999</v>
      </c>
      <c r="F212" s="1099">
        <v>0.13600000000000001</v>
      </c>
    </row>
    <row r="213" spans="1:6" ht="14.25" thickBot="1">
      <c r="A213" s="854" t="s">
        <v>485</v>
      </c>
      <c r="B213" s="848" t="s">
        <v>217</v>
      </c>
      <c r="C213" s="1098">
        <v>0.15</v>
      </c>
      <c r="D213" s="1098">
        <v>0.15</v>
      </c>
      <c r="E213" s="1098">
        <v>0.15</v>
      </c>
      <c r="F213" s="1099">
        <v>0.13800000000000001</v>
      </c>
    </row>
    <row r="214" spans="1:6" ht="14.25" thickBot="1">
      <c r="A214" s="854" t="s">
        <v>485</v>
      </c>
      <c r="B214" s="848" t="s">
        <v>230</v>
      </c>
      <c r="C214" s="1098">
        <v>9.0999999999999998E-2</v>
      </c>
      <c r="D214" s="1098">
        <v>0.09</v>
      </c>
      <c r="E214" s="1098">
        <v>9.1999999999999998E-2</v>
      </c>
      <c r="F214" s="1103"/>
    </row>
    <row r="215" spans="1:6" ht="14.25" thickBot="1">
      <c r="A215" s="854" t="s">
        <v>485</v>
      </c>
      <c r="B215" s="848" t="s">
        <v>864</v>
      </c>
      <c r="C215" s="1098">
        <v>0.15</v>
      </c>
      <c r="D215" s="1098">
        <v>0.15</v>
      </c>
      <c r="E215" s="1098">
        <v>0.15</v>
      </c>
      <c r="F215" s="1099">
        <v>0.15</v>
      </c>
    </row>
    <row r="216" spans="1:6" ht="14.25" thickBot="1">
      <c r="A216" s="854" t="s">
        <v>485</v>
      </c>
      <c r="B216" s="848" t="s">
        <v>252</v>
      </c>
      <c r="C216" s="1098">
        <v>0.14699999999999999</v>
      </c>
      <c r="D216" s="1098">
        <v>0.14699999999999999</v>
      </c>
      <c r="E216" s="1098">
        <v>0.15</v>
      </c>
      <c r="F216" s="1099">
        <v>0.14000000000000001</v>
      </c>
    </row>
    <row r="217" spans="1:6" ht="14.25" thickBot="1">
      <c r="A217" s="854" t="s">
        <v>485</v>
      </c>
      <c r="B217" s="848" t="s">
        <v>263</v>
      </c>
      <c r="C217" s="1098">
        <v>0.15</v>
      </c>
      <c r="D217" s="1098">
        <v>0.15</v>
      </c>
      <c r="E217" s="1098">
        <v>0.15</v>
      </c>
      <c r="F217" s="1099">
        <v>0.15</v>
      </c>
    </row>
    <row r="218" spans="1:6" ht="14.25" thickBot="1">
      <c r="A218" s="854" t="s">
        <v>485</v>
      </c>
      <c r="B218" s="848" t="s">
        <v>865</v>
      </c>
      <c r="C218" s="1098">
        <v>0.15</v>
      </c>
      <c r="D218" s="1098">
        <v>0.15</v>
      </c>
      <c r="E218" s="1098">
        <v>0.15</v>
      </c>
      <c r="F218" s="1099">
        <v>0.15</v>
      </c>
    </row>
    <row r="219" spans="1:6" ht="14.25" thickBot="1">
      <c r="A219" s="854" t="s">
        <v>485</v>
      </c>
      <c r="B219" s="848" t="s">
        <v>285</v>
      </c>
      <c r="C219" s="1098">
        <v>0.15</v>
      </c>
      <c r="D219" s="1098">
        <v>0.15</v>
      </c>
      <c r="E219" s="1098">
        <v>0.15</v>
      </c>
      <c r="F219" s="1099">
        <v>0.14799999999999999</v>
      </c>
    </row>
    <row r="220" spans="1:6" ht="14.25" thickBot="1">
      <c r="A220" s="854" t="s">
        <v>485</v>
      </c>
      <c r="B220" s="848" t="s">
        <v>866</v>
      </c>
      <c r="C220" s="1098">
        <v>0.15</v>
      </c>
      <c r="D220" s="1098">
        <v>0.15</v>
      </c>
      <c r="E220" s="1098">
        <v>0.15</v>
      </c>
      <c r="F220" s="1099">
        <v>0.15</v>
      </c>
    </row>
    <row r="221" spans="1:6" ht="14.25" thickBot="1">
      <c r="A221" s="854" t="s">
        <v>485</v>
      </c>
      <c r="B221" s="848" t="s">
        <v>306</v>
      </c>
      <c r="C221" s="1098"/>
      <c r="D221" s="1104"/>
      <c r="E221" s="1104"/>
      <c r="F221" s="1099">
        <v>0.14799999999999999</v>
      </c>
    </row>
    <row r="222" spans="1:6" ht="14.25" thickBot="1">
      <c r="A222" s="854" t="s">
        <v>485</v>
      </c>
      <c r="B222" s="848" t="s">
        <v>316</v>
      </c>
      <c r="C222" s="1098"/>
      <c r="D222" s="1104"/>
      <c r="E222" s="1104"/>
      <c r="F222" s="1099">
        <v>0.1</v>
      </c>
    </row>
    <row r="223" spans="1:6" ht="14.25" thickBot="1">
      <c r="A223" s="854" t="s">
        <v>485</v>
      </c>
      <c r="B223" s="848" t="s">
        <v>326</v>
      </c>
      <c r="C223" s="1098"/>
      <c r="D223" s="1104"/>
      <c r="E223" s="1104"/>
      <c r="F223" s="1099">
        <v>0.15</v>
      </c>
    </row>
    <row r="224" spans="1:6" ht="14.25" thickBot="1">
      <c r="A224" s="854" t="s">
        <v>485</v>
      </c>
      <c r="B224" s="848" t="s">
        <v>336</v>
      </c>
      <c r="C224" s="1098"/>
      <c r="D224" s="1104"/>
      <c r="E224" s="1104"/>
      <c r="F224" s="1099">
        <v>0.15</v>
      </c>
    </row>
    <row r="225" spans="1:6" ht="14.25" thickBot="1">
      <c r="A225" s="854" t="s">
        <v>485</v>
      </c>
      <c r="B225" s="848" t="s">
        <v>867</v>
      </c>
      <c r="C225" s="1098">
        <v>0.15</v>
      </c>
      <c r="D225" s="1098">
        <v>0.15</v>
      </c>
      <c r="E225" s="1098">
        <v>0.15</v>
      </c>
      <c r="F225" s="1099">
        <v>0.15</v>
      </c>
    </row>
    <row r="226" spans="1:6" ht="14.25" thickBot="1">
      <c r="A226" s="854" t="s">
        <v>485</v>
      </c>
      <c r="B226" s="848" t="s">
        <v>354</v>
      </c>
      <c r="C226" s="1098">
        <v>0.15</v>
      </c>
      <c r="D226" s="1098">
        <v>0.15</v>
      </c>
      <c r="E226" s="1098">
        <v>0.15</v>
      </c>
      <c r="F226" s="1099">
        <v>0.14799999999999999</v>
      </c>
    </row>
    <row r="227" spans="1:6" ht="14.25" thickBot="1">
      <c r="A227" s="854" t="s">
        <v>485</v>
      </c>
      <c r="B227" s="848" t="s">
        <v>868</v>
      </c>
      <c r="C227" s="1098">
        <v>0.15</v>
      </c>
      <c r="D227" s="1098">
        <v>0.15</v>
      </c>
      <c r="E227" s="1098">
        <v>0.15</v>
      </c>
      <c r="F227" s="1099">
        <v>0.15</v>
      </c>
    </row>
    <row r="228" spans="1:6" ht="14.25" thickBot="1">
      <c r="A228" s="854" t="s">
        <v>485</v>
      </c>
      <c r="B228" s="848" t="s">
        <v>369</v>
      </c>
      <c r="C228" s="1098">
        <v>0.15</v>
      </c>
      <c r="D228" s="1098">
        <v>0.15</v>
      </c>
      <c r="E228" s="1098">
        <v>0.15</v>
      </c>
      <c r="F228" s="1099">
        <v>0.15</v>
      </c>
    </row>
    <row r="229" spans="1:6" ht="14.25" thickBot="1">
      <c r="A229" s="854" t="s">
        <v>485</v>
      </c>
      <c r="B229" s="848" t="s">
        <v>376</v>
      </c>
      <c r="C229" s="1098">
        <v>0.15</v>
      </c>
      <c r="D229" s="1098">
        <v>0.15</v>
      </c>
      <c r="E229" s="1098">
        <v>0.15</v>
      </c>
      <c r="F229" s="1103"/>
    </row>
    <row r="230" spans="1:6" ht="14.25" thickBot="1">
      <c r="A230" s="854" t="s">
        <v>485</v>
      </c>
      <c r="B230" s="848" t="s">
        <v>383</v>
      </c>
      <c r="C230" s="1098">
        <v>0.14499999999999999</v>
      </c>
      <c r="D230" s="1098">
        <v>0.14499999999999999</v>
      </c>
      <c r="E230" s="1098">
        <v>0.14399999999999999</v>
      </c>
      <c r="F230" s="1103"/>
    </row>
    <row r="231" spans="1:6" ht="14.25" thickBot="1">
      <c r="A231" s="854" t="s">
        <v>485</v>
      </c>
      <c r="B231" s="848" t="s">
        <v>869</v>
      </c>
      <c r="C231" s="1098">
        <v>0.128</v>
      </c>
      <c r="D231" s="1098">
        <v>0.125</v>
      </c>
      <c r="E231" s="1098">
        <v>0.13200000000000001</v>
      </c>
      <c r="F231" s="1103"/>
    </row>
    <row r="232" spans="1:6" ht="14.25" thickBot="1">
      <c r="A232" s="854" t="s">
        <v>485</v>
      </c>
      <c r="B232" s="848" t="s">
        <v>870</v>
      </c>
      <c r="C232" s="1098">
        <v>0.14499999999999999</v>
      </c>
      <c r="D232" s="1098">
        <v>0.14399999999999999</v>
      </c>
      <c r="E232" s="1098">
        <v>0.14599999999999999</v>
      </c>
      <c r="F232" s="1099">
        <v>0.13800000000000001</v>
      </c>
    </row>
    <row r="233" spans="1:6" ht="14.25" thickBot="1">
      <c r="A233" s="854" t="s">
        <v>485</v>
      </c>
      <c r="B233" s="848" t="s">
        <v>871</v>
      </c>
      <c r="C233" s="1098">
        <v>0.14499999999999999</v>
      </c>
      <c r="D233" s="1098">
        <v>0.14299999999999999</v>
      </c>
      <c r="E233" s="1098">
        <v>0.14199999999999999</v>
      </c>
      <c r="F233" s="1103"/>
    </row>
    <row r="234" spans="1:6" ht="14.25" thickBot="1">
      <c r="A234" s="854" t="s">
        <v>485</v>
      </c>
      <c r="B234" s="848" t="s">
        <v>872</v>
      </c>
      <c r="C234" s="1098">
        <v>0.14000000000000001</v>
      </c>
      <c r="D234" s="1098">
        <v>0.14000000000000001</v>
      </c>
      <c r="E234" s="1098">
        <v>0.14399999999999999</v>
      </c>
      <c r="F234" s="1103"/>
    </row>
    <row r="235" spans="1:6" ht="14.25" thickBot="1">
      <c r="A235" s="854" t="s">
        <v>485</v>
      </c>
      <c r="B235" s="848" t="s">
        <v>873</v>
      </c>
      <c r="C235" s="1098">
        <v>0.14099999999999999</v>
      </c>
      <c r="D235" s="1098">
        <v>0.14199999999999999</v>
      </c>
      <c r="E235" s="1098">
        <v>0.14499999999999999</v>
      </c>
      <c r="F235" s="1099">
        <v>0.15</v>
      </c>
    </row>
    <row r="236" spans="1:6" ht="14.25" thickBot="1">
      <c r="A236" s="854" t="s">
        <v>485</v>
      </c>
      <c r="B236" s="848" t="s">
        <v>418</v>
      </c>
      <c r="C236" s="1104"/>
      <c r="D236" s="1104"/>
      <c r="E236" s="1104"/>
      <c r="F236" s="1099">
        <v>0.14299999999999999</v>
      </c>
    </row>
    <row r="237" spans="1:6" ht="24.75" thickBot="1">
      <c r="A237" s="854" t="s">
        <v>485</v>
      </c>
      <c r="B237" s="848" t="s">
        <v>874</v>
      </c>
      <c r="C237" s="1104"/>
      <c r="D237" s="1104"/>
      <c r="E237" s="1104"/>
      <c r="F237" s="1099">
        <v>0.05</v>
      </c>
    </row>
    <row r="238" spans="1:6" ht="24.75" thickBot="1">
      <c r="A238" s="854" t="s">
        <v>485</v>
      </c>
      <c r="B238" s="848" t="s">
        <v>875</v>
      </c>
      <c r="C238" s="1104"/>
      <c r="D238" s="1104"/>
      <c r="E238" s="1104"/>
      <c r="F238" s="1099">
        <v>0.05</v>
      </c>
    </row>
    <row r="239" spans="1:6" ht="24.75" thickBot="1">
      <c r="A239" s="854" t="s">
        <v>485</v>
      </c>
      <c r="B239" s="848" t="s">
        <v>876</v>
      </c>
      <c r="C239" s="1104"/>
      <c r="D239" s="1104"/>
      <c r="E239" s="1104"/>
      <c r="F239" s="1099">
        <v>0.05</v>
      </c>
    </row>
    <row r="240" spans="1:6" ht="24.75" thickBot="1">
      <c r="A240" s="854" t="s">
        <v>485</v>
      </c>
      <c r="B240" s="848" t="s">
        <v>877</v>
      </c>
      <c r="C240" s="1104"/>
      <c r="D240" s="1104"/>
      <c r="E240" s="1104"/>
      <c r="F240" s="1099">
        <v>0.05</v>
      </c>
    </row>
    <row r="241" spans="1:6" ht="24.75" thickBot="1">
      <c r="A241" s="854" t="s">
        <v>485</v>
      </c>
      <c r="B241" s="848" t="s">
        <v>878</v>
      </c>
      <c r="C241" s="1104"/>
      <c r="D241" s="1104"/>
      <c r="E241" s="1104"/>
      <c r="F241" s="1099">
        <v>0.05</v>
      </c>
    </row>
    <row r="242" spans="1:6" ht="24.75" thickBot="1">
      <c r="A242" s="854" t="s">
        <v>485</v>
      </c>
      <c r="B242" s="848" t="s">
        <v>879</v>
      </c>
      <c r="C242" s="1104"/>
      <c r="D242" s="1104"/>
      <c r="E242" s="1104"/>
      <c r="F242" s="1099">
        <v>0.05</v>
      </c>
    </row>
    <row r="243" spans="1:6" ht="24.75" thickBot="1">
      <c r="A243" s="854" t="s">
        <v>485</v>
      </c>
      <c r="B243" s="848" t="s">
        <v>880</v>
      </c>
      <c r="C243" s="1104"/>
      <c r="D243" s="1104"/>
      <c r="E243" s="1104"/>
      <c r="F243" s="1099">
        <v>0.05</v>
      </c>
    </row>
    <row r="244" spans="1:6" ht="24.75" thickBot="1">
      <c r="A244" s="871" t="s">
        <v>485</v>
      </c>
      <c r="B244" s="864" t="s">
        <v>881</v>
      </c>
      <c r="C244" s="1101"/>
      <c r="D244" s="1101"/>
      <c r="E244" s="1101"/>
      <c r="F244" s="1105">
        <v>0.05</v>
      </c>
    </row>
    <row r="245" spans="1:6" ht="14.25" thickBot="1">
      <c r="A245" s="854" t="s">
        <v>487</v>
      </c>
      <c r="B245" s="855" t="s">
        <v>882</v>
      </c>
      <c r="C245" s="1096">
        <v>0.15</v>
      </c>
      <c r="D245" s="1096">
        <v>0.15</v>
      </c>
      <c r="E245" s="1096">
        <v>0.15</v>
      </c>
      <c r="F245" s="1097">
        <v>0.14299999999999999</v>
      </c>
    </row>
    <row r="246" spans="1:6" ht="14.25" thickBot="1">
      <c r="A246" s="854" t="s">
        <v>487</v>
      </c>
      <c r="B246" s="848" t="s">
        <v>144</v>
      </c>
      <c r="C246" s="1098">
        <v>0.15</v>
      </c>
      <c r="D246" s="1098">
        <v>0.15</v>
      </c>
      <c r="E246" s="1098">
        <v>0.15</v>
      </c>
      <c r="F246" s="1099">
        <v>0.114</v>
      </c>
    </row>
    <row r="247" spans="1:6" ht="14.25" thickBot="1">
      <c r="A247" s="854" t="s">
        <v>487</v>
      </c>
      <c r="B247" s="848" t="s">
        <v>883</v>
      </c>
      <c r="C247" s="1098">
        <v>0.15</v>
      </c>
      <c r="D247" s="1098">
        <v>0.15</v>
      </c>
      <c r="E247" s="1098">
        <v>0.15</v>
      </c>
      <c r="F247" s="1099">
        <v>0.15</v>
      </c>
    </row>
    <row r="248" spans="1:6" ht="14.25" thickBot="1">
      <c r="A248" s="854" t="s">
        <v>487</v>
      </c>
      <c r="B248" s="848" t="s">
        <v>884</v>
      </c>
      <c r="C248" s="1098">
        <v>0.15</v>
      </c>
      <c r="D248" s="1098">
        <v>0.15</v>
      </c>
      <c r="E248" s="1098">
        <v>0.15</v>
      </c>
      <c r="F248" s="1099">
        <v>0.14000000000000001</v>
      </c>
    </row>
    <row r="249" spans="1:6" ht="14.25" thickBot="1">
      <c r="A249" s="854" t="s">
        <v>487</v>
      </c>
      <c r="B249" s="848" t="s">
        <v>885</v>
      </c>
      <c r="C249" s="1098">
        <v>0.15</v>
      </c>
      <c r="D249" s="1098">
        <v>0.14899999999999999</v>
      </c>
      <c r="E249" s="1098">
        <v>0.15</v>
      </c>
      <c r="F249" s="1099">
        <v>0.1</v>
      </c>
    </row>
    <row r="250" spans="1:6" ht="14.25" thickBot="1">
      <c r="A250" s="854" t="s">
        <v>487</v>
      </c>
      <c r="B250" s="848" t="s">
        <v>886</v>
      </c>
      <c r="C250" s="1098">
        <v>0.15</v>
      </c>
      <c r="D250" s="1098">
        <v>0.15</v>
      </c>
      <c r="E250" s="1098">
        <v>0.15</v>
      </c>
      <c r="F250" s="1099">
        <v>0.14399999999999999</v>
      </c>
    </row>
    <row r="251" spans="1:6" ht="14.25" thickBot="1">
      <c r="A251" s="854" t="s">
        <v>487</v>
      </c>
      <c r="B251" s="848" t="s">
        <v>206</v>
      </c>
      <c r="C251" s="1098">
        <v>0.15</v>
      </c>
      <c r="D251" s="1098">
        <v>0.15</v>
      </c>
      <c r="E251" s="1098">
        <v>0.15</v>
      </c>
      <c r="F251" s="1099">
        <v>0.14299999999999999</v>
      </c>
    </row>
    <row r="252" spans="1:6" ht="14.25" thickBot="1">
      <c r="A252" s="854" t="s">
        <v>487</v>
      </c>
      <c r="B252" s="848" t="s">
        <v>218</v>
      </c>
      <c r="C252" s="1098">
        <v>0.15</v>
      </c>
      <c r="D252" s="1098">
        <v>0.15</v>
      </c>
      <c r="E252" s="1098">
        <v>0.15</v>
      </c>
      <c r="F252" s="1099">
        <v>0.1</v>
      </c>
    </row>
    <row r="253" spans="1:6" ht="14.25" thickBot="1">
      <c r="A253" s="854" t="s">
        <v>487</v>
      </c>
      <c r="B253" s="848" t="s">
        <v>231</v>
      </c>
      <c r="C253" s="1098">
        <v>0.15</v>
      </c>
      <c r="D253" s="1098">
        <v>0.15</v>
      </c>
      <c r="E253" s="1098">
        <v>0.15</v>
      </c>
      <c r="F253" s="1099">
        <v>0.1</v>
      </c>
    </row>
    <row r="254" spans="1:6" ht="14.25" thickBot="1">
      <c r="A254" s="854" t="s">
        <v>487</v>
      </c>
      <c r="B254" s="848" t="s">
        <v>242</v>
      </c>
      <c r="C254" s="1104"/>
      <c r="D254" s="1104"/>
      <c r="E254" s="1104"/>
      <c r="F254" s="1099">
        <v>0.15</v>
      </c>
    </row>
    <row r="255" spans="1:6" ht="14.25" thickBot="1">
      <c r="A255" s="854" t="s">
        <v>487</v>
      </c>
      <c r="B255" s="848" t="s">
        <v>253</v>
      </c>
      <c r="C255" s="1104"/>
      <c r="D255" s="1104"/>
      <c r="E255" s="1104"/>
      <c r="F255" s="1099">
        <v>0.14299999999999999</v>
      </c>
    </row>
    <row r="256" spans="1:6" ht="14.25" thickBot="1">
      <c r="A256" s="854" t="s">
        <v>487</v>
      </c>
      <c r="B256" s="848" t="s">
        <v>887</v>
      </c>
      <c r="C256" s="1098">
        <v>0.14599999999999999</v>
      </c>
      <c r="D256" s="1098">
        <v>0.14699999999999999</v>
      </c>
      <c r="E256" s="1098">
        <v>0.15</v>
      </c>
      <c r="F256" s="1099">
        <v>0.13200000000000001</v>
      </c>
    </row>
    <row r="257" spans="1:6" ht="14.25" thickBot="1">
      <c r="A257" s="854" t="s">
        <v>487</v>
      </c>
      <c r="B257" s="848" t="s">
        <v>275</v>
      </c>
      <c r="C257" s="1098">
        <v>0.15</v>
      </c>
      <c r="D257" s="1098">
        <v>0.15</v>
      </c>
      <c r="E257" s="1098">
        <v>0.15</v>
      </c>
      <c r="F257" s="1099">
        <v>0.13900000000000001</v>
      </c>
    </row>
    <row r="258" spans="1:6" ht="14.25" thickBot="1">
      <c r="A258" s="854" t="s">
        <v>487</v>
      </c>
      <c r="B258" s="848" t="s">
        <v>286</v>
      </c>
      <c r="C258" s="1098">
        <v>0.15</v>
      </c>
      <c r="D258" s="1098">
        <v>0.15</v>
      </c>
      <c r="E258" s="1098">
        <v>0.15</v>
      </c>
      <c r="F258" s="1099">
        <v>0.13</v>
      </c>
    </row>
    <row r="259" spans="1:6" ht="14.25" thickBot="1">
      <c r="A259" s="854" t="s">
        <v>487</v>
      </c>
      <c r="B259" s="848" t="s">
        <v>888</v>
      </c>
      <c r="C259" s="1098">
        <v>0.14799999999999999</v>
      </c>
      <c r="D259" s="1098">
        <v>0.14899999999999999</v>
      </c>
      <c r="E259" s="1098">
        <v>0.15</v>
      </c>
      <c r="F259" s="1099">
        <v>0.13700000000000001</v>
      </c>
    </row>
    <row r="260" spans="1:6" ht="14.25" thickBot="1">
      <c r="A260" s="854" t="s">
        <v>487</v>
      </c>
      <c r="B260" s="848" t="s">
        <v>307</v>
      </c>
      <c r="C260" s="1098">
        <v>0.15</v>
      </c>
      <c r="D260" s="1098">
        <v>0.15</v>
      </c>
      <c r="E260" s="1098">
        <v>0.15</v>
      </c>
      <c r="F260" s="1099">
        <v>0.14199999999999999</v>
      </c>
    </row>
    <row r="261" spans="1:6" ht="14.25" thickBot="1">
      <c r="A261" s="854" t="s">
        <v>487</v>
      </c>
      <c r="B261" s="848" t="s">
        <v>317</v>
      </c>
      <c r="C261" s="1098">
        <v>0.15</v>
      </c>
      <c r="D261" s="1098">
        <v>0.15</v>
      </c>
      <c r="E261" s="1098">
        <v>0.14899999999999999</v>
      </c>
      <c r="F261" s="1099">
        <v>0.14799999999999999</v>
      </c>
    </row>
    <row r="262" spans="1:6" ht="14.25" thickBot="1">
      <c r="A262" s="854" t="s">
        <v>487</v>
      </c>
      <c r="B262" s="848" t="s">
        <v>327</v>
      </c>
      <c r="C262" s="1098">
        <v>0.15</v>
      </c>
      <c r="D262" s="1098">
        <v>0.15</v>
      </c>
      <c r="E262" s="1098">
        <v>0.15</v>
      </c>
      <c r="F262" s="1103"/>
    </row>
    <row r="263" spans="1:6" ht="14.25" thickBot="1">
      <c r="A263" s="854" t="s">
        <v>487</v>
      </c>
      <c r="B263" s="848" t="s">
        <v>889</v>
      </c>
      <c r="C263" s="1098">
        <v>0.14899999999999999</v>
      </c>
      <c r="D263" s="1098">
        <v>0.14899999999999999</v>
      </c>
      <c r="E263" s="1098">
        <v>0.15</v>
      </c>
      <c r="F263" s="1099">
        <v>0.13</v>
      </c>
    </row>
    <row r="264" spans="1:6" ht="14.25" thickBot="1">
      <c r="A264" s="854" t="s">
        <v>487</v>
      </c>
      <c r="B264" s="848" t="s">
        <v>346</v>
      </c>
      <c r="C264" s="1098">
        <v>0.14799999999999999</v>
      </c>
      <c r="D264" s="1098">
        <v>0.14699999999999999</v>
      </c>
      <c r="E264" s="1098">
        <v>0.15</v>
      </c>
      <c r="F264" s="1099">
        <v>7.8E-2</v>
      </c>
    </row>
    <row r="265" spans="1:6" ht="14.25" thickBot="1">
      <c r="A265" s="854" t="s">
        <v>487</v>
      </c>
      <c r="B265" s="848" t="s">
        <v>355</v>
      </c>
      <c r="C265" s="1098">
        <v>0.15</v>
      </c>
      <c r="D265" s="1098">
        <v>0.15</v>
      </c>
      <c r="E265" s="1098">
        <v>0.15</v>
      </c>
      <c r="F265" s="1099">
        <v>7.3999999999999996E-2</v>
      </c>
    </row>
    <row r="266" spans="1:6" ht="14.25" thickBot="1">
      <c r="A266" s="854" t="s">
        <v>487</v>
      </c>
      <c r="B266" s="848" t="s">
        <v>363</v>
      </c>
      <c r="C266" s="1098">
        <v>0.14699999999999999</v>
      </c>
      <c r="D266" s="1098">
        <v>0.14699999999999999</v>
      </c>
      <c r="E266" s="1098">
        <v>0.15</v>
      </c>
      <c r="F266" s="1099">
        <v>0.14299999999999999</v>
      </c>
    </row>
    <row r="267" spans="1:6" ht="14.25" thickBot="1">
      <c r="A267" s="854" t="s">
        <v>487</v>
      </c>
      <c r="B267" s="848" t="s">
        <v>370</v>
      </c>
      <c r="C267" s="1098">
        <v>0.14199999999999999</v>
      </c>
      <c r="D267" s="1098">
        <v>0.14299999999999999</v>
      </c>
      <c r="E267" s="1098">
        <v>0.15</v>
      </c>
      <c r="F267" s="1103"/>
    </row>
    <row r="268" spans="1:6" ht="14.25" thickBot="1">
      <c r="A268" s="854" t="s">
        <v>487</v>
      </c>
      <c r="B268" s="848" t="s">
        <v>890</v>
      </c>
      <c r="C268" s="1098">
        <v>0.15</v>
      </c>
      <c r="D268" s="1098">
        <v>0.15</v>
      </c>
      <c r="E268" s="1098">
        <v>0.15</v>
      </c>
      <c r="F268" s="1099">
        <v>0.13</v>
      </c>
    </row>
    <row r="269" spans="1:6" ht="14.25" thickBot="1">
      <c r="A269" s="854" t="s">
        <v>487</v>
      </c>
      <c r="B269" s="848" t="s">
        <v>384</v>
      </c>
      <c r="C269" s="1098">
        <v>0.15</v>
      </c>
      <c r="D269" s="1098">
        <v>0.15</v>
      </c>
      <c r="E269" s="1098">
        <v>0.15</v>
      </c>
      <c r="F269" s="1099">
        <v>0.14299999999999999</v>
      </c>
    </row>
    <row r="270" spans="1:6" ht="14.25" thickBot="1">
      <c r="A270" s="854" t="s">
        <v>487</v>
      </c>
      <c r="B270" s="848" t="s">
        <v>391</v>
      </c>
      <c r="C270" s="1098">
        <v>0.14499999999999999</v>
      </c>
      <c r="D270" s="1098">
        <v>0.14499999999999999</v>
      </c>
      <c r="E270" s="1098">
        <v>0.15</v>
      </c>
      <c r="F270" s="1099">
        <v>0.14699999999999999</v>
      </c>
    </row>
    <row r="271" spans="1:6" ht="14.25" thickBot="1">
      <c r="A271" s="854" t="s">
        <v>487</v>
      </c>
      <c r="B271" s="848" t="s">
        <v>398</v>
      </c>
      <c r="C271" s="1098">
        <v>0.15</v>
      </c>
      <c r="D271" s="1098">
        <v>0.15</v>
      </c>
      <c r="E271" s="1098">
        <v>0.15</v>
      </c>
      <c r="F271" s="1099">
        <v>0.13800000000000001</v>
      </c>
    </row>
    <row r="272" spans="1:6" ht="14.25" thickBot="1">
      <c r="A272" s="854" t="s">
        <v>487</v>
      </c>
      <c r="B272" s="848" t="s">
        <v>405</v>
      </c>
      <c r="C272" s="1104"/>
      <c r="D272" s="1104"/>
      <c r="E272" s="1104"/>
      <c r="F272" s="1099">
        <v>0.14000000000000001</v>
      </c>
    </row>
    <row r="273" spans="1:6" ht="14.25" thickBot="1">
      <c r="A273" s="854" t="s">
        <v>487</v>
      </c>
      <c r="B273" s="848" t="s">
        <v>891</v>
      </c>
      <c r="C273" s="1098">
        <v>0.14199999999999999</v>
      </c>
      <c r="D273" s="1098">
        <v>0.14299999999999999</v>
      </c>
      <c r="E273" s="1098">
        <v>0.15</v>
      </c>
      <c r="F273" s="1099">
        <v>0.1</v>
      </c>
    </row>
    <row r="274" spans="1:6" ht="14.25" thickBot="1">
      <c r="A274" s="854" t="s">
        <v>487</v>
      </c>
      <c r="B274" s="848" t="s">
        <v>892</v>
      </c>
      <c r="C274" s="1098">
        <v>0.14799999999999999</v>
      </c>
      <c r="D274" s="1098">
        <v>0.14799999999999999</v>
      </c>
      <c r="E274" s="1098">
        <v>0.15</v>
      </c>
      <c r="F274" s="1099">
        <v>6.7000000000000004E-2</v>
      </c>
    </row>
    <row r="275" spans="1:6" ht="14.25" thickBot="1">
      <c r="A275" s="854" t="s">
        <v>487</v>
      </c>
      <c r="B275" s="848" t="s">
        <v>893</v>
      </c>
      <c r="C275" s="1098">
        <v>0.15</v>
      </c>
      <c r="D275" s="1098">
        <v>0.15</v>
      </c>
      <c r="E275" s="1098">
        <v>0.15</v>
      </c>
      <c r="F275" s="1099">
        <v>0.15</v>
      </c>
    </row>
    <row r="276" spans="1:6" ht="14.25" thickBot="1">
      <c r="A276" s="854" t="s">
        <v>487</v>
      </c>
      <c r="B276" s="848" t="s">
        <v>894</v>
      </c>
      <c r="C276" s="1098">
        <v>0.14499999999999999</v>
      </c>
      <c r="D276" s="1098">
        <v>0.14299999999999999</v>
      </c>
      <c r="E276" s="1098">
        <v>0.15</v>
      </c>
      <c r="F276" s="1099">
        <v>5.8999999999999997E-2</v>
      </c>
    </row>
    <row r="277" spans="1:6" ht="14.25" thickBot="1">
      <c r="A277" s="854" t="s">
        <v>487</v>
      </c>
      <c r="B277" s="848" t="s">
        <v>895</v>
      </c>
      <c r="C277" s="1098">
        <v>0.15</v>
      </c>
      <c r="D277" s="1098">
        <v>0.15</v>
      </c>
      <c r="E277" s="1098">
        <v>0.15</v>
      </c>
      <c r="F277" s="1099">
        <v>0.121</v>
      </c>
    </row>
    <row r="278" spans="1:6" ht="14.25" thickBot="1">
      <c r="A278" s="854" t="s">
        <v>487</v>
      </c>
      <c r="B278" s="848" t="s">
        <v>896</v>
      </c>
      <c r="C278" s="1098">
        <v>0.15</v>
      </c>
      <c r="D278" s="1098">
        <v>0.15</v>
      </c>
      <c r="E278" s="1098">
        <v>0.15</v>
      </c>
      <c r="F278" s="1099">
        <v>0.13800000000000001</v>
      </c>
    </row>
    <row r="279" spans="1:6" ht="24.75" thickBot="1">
      <c r="A279" s="854" t="s">
        <v>487</v>
      </c>
      <c r="B279" s="848" t="s">
        <v>897</v>
      </c>
      <c r="C279" s="1104"/>
      <c r="D279" s="1104"/>
      <c r="E279" s="1104"/>
      <c r="F279" s="1099">
        <v>0.05</v>
      </c>
    </row>
    <row r="280" spans="1:6" ht="24.75" thickBot="1">
      <c r="A280" s="854" t="s">
        <v>487</v>
      </c>
      <c r="B280" s="848" t="s">
        <v>898</v>
      </c>
      <c r="C280" s="1104"/>
      <c r="D280" s="1104"/>
      <c r="E280" s="1104"/>
      <c r="F280" s="1099">
        <v>0.05</v>
      </c>
    </row>
    <row r="281" spans="1:6" ht="24.75" thickBot="1">
      <c r="A281" s="854" t="s">
        <v>487</v>
      </c>
      <c r="B281" s="848" t="s">
        <v>899</v>
      </c>
      <c r="C281" s="1104"/>
      <c r="D281" s="1104"/>
      <c r="E281" s="1104"/>
      <c r="F281" s="1099">
        <v>0.05</v>
      </c>
    </row>
    <row r="282" spans="1:6" ht="24.75" thickBot="1">
      <c r="A282" s="854" t="s">
        <v>487</v>
      </c>
      <c r="B282" s="848" t="s">
        <v>900</v>
      </c>
      <c r="C282" s="1104"/>
      <c r="D282" s="1104"/>
      <c r="E282" s="1104"/>
      <c r="F282" s="1099">
        <v>0.05</v>
      </c>
    </row>
    <row r="283" spans="1:6" ht="24.75" thickBot="1">
      <c r="A283" s="854" t="s">
        <v>487</v>
      </c>
      <c r="B283" s="848" t="s">
        <v>901</v>
      </c>
      <c r="C283" s="1104"/>
      <c r="D283" s="1104"/>
      <c r="E283" s="1104"/>
      <c r="F283" s="1099">
        <v>0.05</v>
      </c>
    </row>
    <row r="284" spans="1:6" ht="24.75" thickBot="1">
      <c r="A284" s="854" t="s">
        <v>487</v>
      </c>
      <c r="B284" s="848" t="s">
        <v>902</v>
      </c>
      <c r="C284" s="1104"/>
      <c r="D284" s="1104"/>
      <c r="E284" s="1104"/>
      <c r="F284" s="1099">
        <v>0.05</v>
      </c>
    </row>
    <row r="285" spans="1:6" ht="24.75" thickBot="1">
      <c r="A285" s="854" t="s">
        <v>487</v>
      </c>
      <c r="B285" s="848" t="s">
        <v>903</v>
      </c>
      <c r="C285" s="1104"/>
      <c r="D285" s="1104"/>
      <c r="E285" s="1104"/>
      <c r="F285" s="1099">
        <v>0.05</v>
      </c>
    </row>
    <row r="286" spans="1:6" ht="24.75" thickBot="1">
      <c r="A286" s="854" t="s">
        <v>487</v>
      </c>
      <c r="B286" s="848" t="s">
        <v>904</v>
      </c>
      <c r="C286" s="1104"/>
      <c r="D286" s="1104"/>
      <c r="E286" s="1104"/>
      <c r="F286" s="1099">
        <v>0.05</v>
      </c>
    </row>
    <row r="287" spans="1:6" ht="24.75" thickBot="1">
      <c r="A287" s="854" t="s">
        <v>487</v>
      </c>
      <c r="B287" s="848" t="s">
        <v>905</v>
      </c>
      <c r="C287" s="1104"/>
      <c r="D287" s="1104"/>
      <c r="E287" s="1104"/>
      <c r="F287" s="1099">
        <v>0.05</v>
      </c>
    </row>
    <row r="288" spans="1:6" ht="24.75" thickBot="1">
      <c r="A288" s="854" t="s">
        <v>487</v>
      </c>
      <c r="B288" s="848" t="s">
        <v>906</v>
      </c>
      <c r="C288" s="1104"/>
      <c r="D288" s="1104"/>
      <c r="E288" s="1104"/>
      <c r="F288" s="1099">
        <v>0.05</v>
      </c>
    </row>
    <row r="289" spans="1:6" ht="24.75" thickBot="1">
      <c r="A289" s="871" t="s">
        <v>487</v>
      </c>
      <c r="B289" s="864" t="s">
        <v>907</v>
      </c>
      <c r="C289" s="1101"/>
      <c r="D289" s="1101"/>
      <c r="E289" s="1101"/>
      <c r="F289" s="1105">
        <v>0.05</v>
      </c>
    </row>
    <row r="290" spans="1:6" ht="14.25" thickBot="1">
      <c r="A290" s="854" t="s">
        <v>491</v>
      </c>
      <c r="B290" s="855" t="s">
        <v>908</v>
      </c>
      <c r="C290" s="1096">
        <v>0.15</v>
      </c>
      <c r="D290" s="1096">
        <v>0.15</v>
      </c>
      <c r="E290" s="1096">
        <v>0.15</v>
      </c>
      <c r="F290" s="1113"/>
    </row>
    <row r="291" spans="1:6" ht="14.25" thickBot="1">
      <c r="A291" s="854" t="s">
        <v>491</v>
      </c>
      <c r="B291" s="848" t="s">
        <v>145</v>
      </c>
      <c r="C291" s="1098">
        <v>0.15</v>
      </c>
      <c r="D291" s="1098">
        <v>0.15</v>
      </c>
      <c r="E291" s="1098">
        <v>0.15</v>
      </c>
      <c r="F291" s="1103"/>
    </row>
    <row r="292" spans="1:6" ht="14.25" thickBot="1">
      <c r="A292" s="854" t="s">
        <v>491</v>
      </c>
      <c r="B292" s="848" t="s">
        <v>909</v>
      </c>
      <c r="C292" s="1098">
        <v>0.15</v>
      </c>
      <c r="D292" s="1098">
        <v>0.15</v>
      </c>
      <c r="E292" s="1098">
        <v>0.15</v>
      </c>
      <c r="F292" s="1099">
        <v>0.14699999999999999</v>
      </c>
    </row>
    <row r="293" spans="1:6" ht="14.25" thickBot="1">
      <c r="A293" s="854" t="s">
        <v>491</v>
      </c>
      <c r="B293" s="848" t="s">
        <v>910</v>
      </c>
      <c r="C293" s="1104"/>
      <c r="D293" s="1104"/>
      <c r="E293" s="1104"/>
      <c r="F293" s="1099">
        <v>0.1</v>
      </c>
    </row>
    <row r="294" spans="1:6" ht="14.25" thickBot="1">
      <c r="A294" s="854" t="s">
        <v>491</v>
      </c>
      <c r="B294" s="848" t="s">
        <v>911</v>
      </c>
      <c r="C294" s="1098">
        <v>0.15</v>
      </c>
      <c r="D294" s="1098">
        <v>0.15</v>
      </c>
      <c r="E294" s="1098">
        <v>0.15</v>
      </c>
      <c r="F294" s="1099">
        <v>0.15</v>
      </c>
    </row>
    <row r="295" spans="1:6" ht="14.25" thickBot="1">
      <c r="A295" s="854" t="s">
        <v>491</v>
      </c>
      <c r="B295" s="848" t="s">
        <v>183</v>
      </c>
      <c r="C295" s="1098">
        <v>0.15</v>
      </c>
      <c r="D295" s="1098">
        <v>0.15</v>
      </c>
      <c r="E295" s="1098">
        <v>0.15</v>
      </c>
      <c r="F295" s="1099">
        <v>0.15</v>
      </c>
    </row>
    <row r="296" spans="1:6" ht="14.25" thickBot="1">
      <c r="A296" s="854" t="s">
        <v>491</v>
      </c>
      <c r="B296" s="848" t="s">
        <v>912</v>
      </c>
      <c r="C296" s="1098">
        <v>0.15</v>
      </c>
      <c r="D296" s="1098">
        <v>0.15</v>
      </c>
      <c r="E296" s="1098">
        <v>0.15</v>
      </c>
      <c r="F296" s="1099">
        <v>0.15</v>
      </c>
    </row>
    <row r="297" spans="1:6" ht="14.25" thickBot="1">
      <c r="A297" s="854" t="s">
        <v>491</v>
      </c>
      <c r="B297" s="848" t="s">
        <v>913</v>
      </c>
      <c r="C297" s="1098">
        <v>0.14799999999999999</v>
      </c>
      <c r="D297" s="1098">
        <v>0.14899999999999999</v>
      </c>
      <c r="E297" s="1098">
        <v>0.15</v>
      </c>
      <c r="F297" s="1099">
        <v>0.13700000000000001</v>
      </c>
    </row>
    <row r="298" spans="1:6" ht="14.25" thickBot="1">
      <c r="A298" s="854" t="s">
        <v>491</v>
      </c>
      <c r="B298" s="848" t="s">
        <v>219</v>
      </c>
      <c r="C298" s="1098">
        <v>0.13400000000000001</v>
      </c>
      <c r="D298" s="1098">
        <v>0.13400000000000001</v>
      </c>
      <c r="E298" s="1098">
        <v>0.14499999999999999</v>
      </c>
      <c r="F298" s="1099">
        <v>0.14799999999999999</v>
      </c>
    </row>
    <row r="299" spans="1:6" ht="14.25" thickBot="1">
      <c r="A299" s="854" t="s">
        <v>491</v>
      </c>
      <c r="B299" s="848" t="s">
        <v>232</v>
      </c>
      <c r="C299" s="1098">
        <v>0.15</v>
      </c>
      <c r="D299" s="1098">
        <v>0.15</v>
      </c>
      <c r="E299" s="1098">
        <v>0.15</v>
      </c>
      <c r="F299" s="1103"/>
    </row>
    <row r="300" spans="1:6" ht="14.25" thickBot="1">
      <c r="A300" s="854" t="s">
        <v>491</v>
      </c>
      <c r="B300" s="848" t="s">
        <v>914</v>
      </c>
      <c r="C300" s="1098">
        <v>0.15</v>
      </c>
      <c r="D300" s="1098">
        <v>0.15</v>
      </c>
      <c r="E300" s="1098">
        <v>0.15</v>
      </c>
      <c r="F300" s="1099">
        <v>0.15</v>
      </c>
    </row>
    <row r="301" spans="1:6" ht="14.25" thickBot="1">
      <c r="A301" s="854" t="s">
        <v>491</v>
      </c>
      <c r="B301" s="848" t="s">
        <v>254</v>
      </c>
      <c r="C301" s="1098">
        <v>0.15</v>
      </c>
      <c r="D301" s="1098">
        <v>0.15</v>
      </c>
      <c r="E301" s="1098">
        <v>0.15</v>
      </c>
      <c r="F301" s="1103"/>
    </row>
    <row r="302" spans="1:6" ht="14.25" thickBot="1">
      <c r="A302" s="854" t="s">
        <v>491</v>
      </c>
      <c r="B302" s="848" t="s">
        <v>915</v>
      </c>
      <c r="C302" s="1098">
        <v>0.15</v>
      </c>
      <c r="D302" s="1098">
        <v>0.15</v>
      </c>
      <c r="E302" s="1098">
        <v>0.15</v>
      </c>
      <c r="F302" s="1099">
        <v>0.15</v>
      </c>
    </row>
    <row r="303" spans="1:6" ht="14.25" thickBot="1">
      <c r="A303" s="854" t="s">
        <v>491</v>
      </c>
      <c r="B303" s="848" t="s">
        <v>276</v>
      </c>
      <c r="C303" s="1098">
        <v>0.15</v>
      </c>
      <c r="D303" s="1098">
        <v>0.15</v>
      </c>
      <c r="E303" s="1098">
        <v>0.15</v>
      </c>
      <c r="F303" s="1099">
        <v>0.15</v>
      </c>
    </row>
    <row r="304" spans="1:6" ht="14.25" thickBot="1">
      <c r="A304" s="854" t="s">
        <v>491</v>
      </c>
      <c r="B304" s="848" t="s">
        <v>287</v>
      </c>
      <c r="C304" s="1098">
        <v>0.15</v>
      </c>
      <c r="D304" s="1098">
        <v>0.15</v>
      </c>
      <c r="E304" s="1098">
        <v>0.15</v>
      </c>
      <c r="F304" s="1103"/>
    </row>
    <row r="305" spans="1:6" ht="14.25" thickBot="1">
      <c r="A305" s="854" t="s">
        <v>491</v>
      </c>
      <c r="B305" s="848" t="s">
        <v>916</v>
      </c>
      <c r="C305" s="1098">
        <v>0.15</v>
      </c>
      <c r="D305" s="1098">
        <v>0.15</v>
      </c>
      <c r="E305" s="1098">
        <v>0.15</v>
      </c>
      <c r="F305" s="1099">
        <v>0.14000000000000001</v>
      </c>
    </row>
    <row r="306" spans="1:6" ht="14.25" thickBot="1">
      <c r="A306" s="854" t="s">
        <v>491</v>
      </c>
      <c r="B306" s="848" t="s">
        <v>308</v>
      </c>
      <c r="C306" s="1098">
        <v>0.15</v>
      </c>
      <c r="D306" s="1098">
        <v>0.15</v>
      </c>
      <c r="E306" s="1098">
        <v>0.15</v>
      </c>
      <c r="F306" s="1103"/>
    </row>
    <row r="307" spans="1:6" ht="14.25" thickBot="1">
      <c r="A307" s="854" t="s">
        <v>491</v>
      </c>
      <c r="B307" s="848" t="s">
        <v>917</v>
      </c>
      <c r="C307" s="1098">
        <v>0.15</v>
      </c>
      <c r="D307" s="1098">
        <v>0.15</v>
      </c>
      <c r="E307" s="1098">
        <v>0.15</v>
      </c>
      <c r="F307" s="1099">
        <v>0.14299999999999999</v>
      </c>
    </row>
    <row r="308" spans="1:6" ht="14.25" thickBot="1">
      <c r="A308" s="854" t="s">
        <v>491</v>
      </c>
      <c r="B308" s="848" t="s">
        <v>328</v>
      </c>
      <c r="C308" s="1098">
        <v>0.15</v>
      </c>
      <c r="D308" s="1098">
        <v>0.15</v>
      </c>
      <c r="E308" s="1098">
        <v>0.15</v>
      </c>
      <c r="F308" s="1099">
        <v>0.15</v>
      </c>
    </row>
    <row r="309" spans="1:6" ht="14.25" thickBot="1">
      <c r="A309" s="854" t="s">
        <v>491</v>
      </c>
      <c r="B309" s="848" t="s">
        <v>338</v>
      </c>
      <c r="C309" s="1098">
        <v>0.15</v>
      </c>
      <c r="D309" s="1098">
        <v>0.15</v>
      </c>
      <c r="E309" s="1098">
        <v>0.15</v>
      </c>
      <c r="F309" s="1103"/>
    </row>
    <row r="310" spans="1:6" ht="14.25" thickBot="1">
      <c r="A310" s="854" t="s">
        <v>491</v>
      </c>
      <c r="B310" s="848" t="s">
        <v>918</v>
      </c>
      <c r="C310" s="1098">
        <v>0.15</v>
      </c>
      <c r="D310" s="1098">
        <v>0.15</v>
      </c>
      <c r="E310" s="1098">
        <v>0.15</v>
      </c>
      <c r="F310" s="1099">
        <v>0.13700000000000001</v>
      </c>
    </row>
    <row r="311" spans="1:6" ht="14.25" thickBot="1">
      <c r="A311" s="854" t="s">
        <v>491</v>
      </c>
      <c r="B311" s="848" t="s">
        <v>919</v>
      </c>
      <c r="C311" s="1098">
        <v>0.15</v>
      </c>
      <c r="D311" s="1098">
        <v>0.15</v>
      </c>
      <c r="E311" s="1098">
        <v>0.15</v>
      </c>
      <c r="F311" s="1099">
        <v>0.15</v>
      </c>
    </row>
    <row r="312" spans="1:6" ht="14.25" thickBot="1">
      <c r="A312" s="854" t="s">
        <v>491</v>
      </c>
      <c r="B312" s="848" t="s">
        <v>364</v>
      </c>
      <c r="C312" s="1098">
        <v>0.15</v>
      </c>
      <c r="D312" s="1098">
        <v>0.15</v>
      </c>
      <c r="E312" s="1098">
        <v>0.15</v>
      </c>
      <c r="F312" s="1099">
        <v>0.1</v>
      </c>
    </row>
    <row r="313" spans="1:6" ht="14.25" thickBot="1">
      <c r="A313" s="854" t="s">
        <v>491</v>
      </c>
      <c r="B313" s="848" t="s">
        <v>920</v>
      </c>
      <c r="C313" s="1098">
        <v>0.15</v>
      </c>
      <c r="D313" s="1098">
        <v>0.15</v>
      </c>
      <c r="E313" s="1098">
        <v>0.15</v>
      </c>
      <c r="F313" s="1099">
        <v>0.15</v>
      </c>
    </row>
    <row r="314" spans="1:6" ht="24.75" thickBot="1">
      <c r="A314" s="854" t="s">
        <v>491</v>
      </c>
      <c r="B314" s="848" t="s">
        <v>921</v>
      </c>
      <c r="C314" s="1104"/>
      <c r="D314" s="1104"/>
      <c r="E314" s="1104"/>
      <c r="F314" s="1099">
        <v>0.05</v>
      </c>
    </row>
    <row r="315" spans="1:6" ht="24.75" thickBot="1">
      <c r="A315" s="854" t="s">
        <v>491</v>
      </c>
      <c r="B315" s="848" t="s">
        <v>922</v>
      </c>
      <c r="C315" s="1104"/>
      <c r="D315" s="1104"/>
      <c r="E315" s="1104"/>
      <c r="F315" s="1099">
        <v>0.05</v>
      </c>
    </row>
    <row r="316" spans="1:6" ht="24.75" thickBot="1">
      <c r="A316" s="871" t="s">
        <v>491</v>
      </c>
      <c r="B316" s="864" t="s">
        <v>923</v>
      </c>
      <c r="C316" s="1101"/>
      <c r="D316" s="1101"/>
      <c r="E316" s="1101"/>
      <c r="F316" s="1105">
        <v>0.05</v>
      </c>
    </row>
    <row r="317" spans="1:6" ht="14.25" thickBot="1">
      <c r="A317" s="854" t="s">
        <v>924</v>
      </c>
      <c r="B317" s="855" t="s">
        <v>925</v>
      </c>
      <c r="C317" s="1096">
        <v>0.15</v>
      </c>
      <c r="D317" s="1096">
        <v>0.15</v>
      </c>
      <c r="E317" s="1096">
        <v>0.15</v>
      </c>
      <c r="F317" s="1097">
        <v>0.15</v>
      </c>
    </row>
    <row r="318" spans="1:6" ht="14.25" thickBot="1">
      <c r="A318" s="854" t="s">
        <v>924</v>
      </c>
      <c r="B318" s="848" t="s">
        <v>926</v>
      </c>
      <c r="C318" s="1098">
        <v>0.107</v>
      </c>
      <c r="D318" s="1098">
        <v>0.11</v>
      </c>
      <c r="E318" s="1098">
        <v>0.112</v>
      </c>
      <c r="F318" s="1103"/>
    </row>
    <row r="319" spans="1:6" ht="14.25" thickBot="1">
      <c r="A319" s="854" t="s">
        <v>924</v>
      </c>
      <c r="B319" s="848" t="s">
        <v>927</v>
      </c>
      <c r="C319" s="1098">
        <v>0.15</v>
      </c>
      <c r="D319" s="1098">
        <v>0.15</v>
      </c>
      <c r="E319" s="1098">
        <v>0.15</v>
      </c>
      <c r="F319" s="1099">
        <v>0.15</v>
      </c>
    </row>
    <row r="320" spans="1:6" ht="14.25" thickBot="1">
      <c r="A320" s="854" t="s">
        <v>924</v>
      </c>
      <c r="B320" s="848" t="s">
        <v>172</v>
      </c>
      <c r="C320" s="1098">
        <v>0.15</v>
      </c>
      <c r="D320" s="1098">
        <v>0.15</v>
      </c>
      <c r="E320" s="1098">
        <v>0.15</v>
      </c>
      <c r="F320" s="1103"/>
    </row>
    <row r="321" spans="1:6" ht="14.25" thickBot="1">
      <c r="A321" s="854" t="s">
        <v>924</v>
      </c>
      <c r="B321" s="848" t="s">
        <v>928</v>
      </c>
      <c r="C321" s="1098">
        <v>0.15</v>
      </c>
      <c r="D321" s="1098">
        <v>0.15</v>
      </c>
      <c r="E321" s="1098">
        <v>0.15</v>
      </c>
      <c r="F321" s="1103"/>
    </row>
    <row r="322" spans="1:6" ht="14.25" thickBot="1">
      <c r="A322" s="854" t="s">
        <v>924</v>
      </c>
      <c r="B322" s="848" t="s">
        <v>929</v>
      </c>
      <c r="C322" s="1098">
        <v>0.15</v>
      </c>
      <c r="D322" s="1098">
        <v>0.15</v>
      </c>
      <c r="E322" s="1098">
        <v>0.15</v>
      </c>
      <c r="F322" s="1099">
        <v>0.15</v>
      </c>
    </row>
    <row r="323" spans="1:6" ht="14.25" thickBot="1">
      <c r="A323" s="854" t="s">
        <v>924</v>
      </c>
      <c r="B323" s="848" t="s">
        <v>930</v>
      </c>
      <c r="C323" s="1098">
        <v>0.15</v>
      </c>
      <c r="D323" s="1098">
        <v>0.15</v>
      </c>
      <c r="E323" s="1098">
        <v>0.15</v>
      </c>
      <c r="F323" s="1103"/>
    </row>
    <row r="324" spans="1:6" ht="14.25" thickBot="1">
      <c r="A324" s="854" t="s">
        <v>924</v>
      </c>
      <c r="B324" s="848" t="s">
        <v>931</v>
      </c>
      <c r="C324" s="1098">
        <v>0.15</v>
      </c>
      <c r="D324" s="1098">
        <v>0.15</v>
      </c>
      <c r="E324" s="1098">
        <v>0.15</v>
      </c>
      <c r="F324" s="1103"/>
    </row>
    <row r="325" spans="1:6" ht="14.25" thickBot="1">
      <c r="A325" s="854" t="s">
        <v>924</v>
      </c>
      <c r="B325" s="848" t="s">
        <v>932</v>
      </c>
      <c r="C325" s="1098">
        <v>0.15</v>
      </c>
      <c r="D325" s="1098">
        <v>0.15</v>
      </c>
      <c r="E325" s="1098">
        <v>0.15</v>
      </c>
      <c r="F325" s="1099">
        <v>0.14699999999999999</v>
      </c>
    </row>
    <row r="326" spans="1:6" ht="14.25" thickBot="1">
      <c r="A326" s="854" t="s">
        <v>924</v>
      </c>
      <c r="B326" s="848" t="s">
        <v>244</v>
      </c>
      <c r="C326" s="1098">
        <v>0.15</v>
      </c>
      <c r="D326" s="1098">
        <v>0.15</v>
      </c>
      <c r="E326" s="1098">
        <v>0.15</v>
      </c>
      <c r="F326" s="1103"/>
    </row>
    <row r="327" spans="1:6" ht="14.25" thickBot="1">
      <c r="A327" s="854" t="s">
        <v>924</v>
      </c>
      <c r="B327" s="848" t="s">
        <v>933</v>
      </c>
      <c r="C327" s="1098">
        <v>0.15</v>
      </c>
      <c r="D327" s="1098">
        <v>0.15</v>
      </c>
      <c r="E327" s="1098">
        <v>0.15</v>
      </c>
      <c r="F327" s="1099">
        <v>0.15</v>
      </c>
    </row>
    <row r="328" spans="1:6" ht="14.25" thickBot="1">
      <c r="A328" s="854" t="s">
        <v>924</v>
      </c>
      <c r="B328" s="848" t="s">
        <v>266</v>
      </c>
      <c r="C328" s="1098">
        <v>0.15</v>
      </c>
      <c r="D328" s="1098">
        <v>0.15</v>
      </c>
      <c r="E328" s="1098">
        <v>0.15</v>
      </c>
      <c r="F328" s="1099">
        <v>0.14099999999999999</v>
      </c>
    </row>
    <row r="329" spans="1:6" ht="14.25" thickBot="1">
      <c r="A329" s="854" t="s">
        <v>924</v>
      </c>
      <c r="B329" s="848" t="s">
        <v>277</v>
      </c>
      <c r="C329" s="1098">
        <v>0.15</v>
      </c>
      <c r="D329" s="1098">
        <v>0.15</v>
      </c>
      <c r="E329" s="1098">
        <v>0.15</v>
      </c>
      <c r="F329" s="1099">
        <v>0.15</v>
      </c>
    </row>
    <row r="330" spans="1:6" ht="14.25" thickBot="1">
      <c r="A330" s="854" t="s">
        <v>924</v>
      </c>
      <c r="B330" s="848" t="s">
        <v>288</v>
      </c>
      <c r="C330" s="1098">
        <v>0.15</v>
      </c>
      <c r="D330" s="1098">
        <v>0.15</v>
      </c>
      <c r="E330" s="1098">
        <v>0.15</v>
      </c>
      <c r="F330" s="1103"/>
    </row>
    <row r="331" spans="1:6" ht="14.25" thickBot="1">
      <c r="A331" s="854" t="s">
        <v>924</v>
      </c>
      <c r="B331" s="848" t="s">
        <v>934</v>
      </c>
      <c r="C331" s="1098">
        <v>0.15</v>
      </c>
      <c r="D331" s="1098">
        <v>0.15</v>
      </c>
      <c r="E331" s="1098">
        <v>0.15</v>
      </c>
      <c r="F331" s="1099">
        <v>0.15</v>
      </c>
    </row>
    <row r="332" spans="1:6" ht="14.25" thickBot="1">
      <c r="A332" s="854" t="s">
        <v>924</v>
      </c>
      <c r="B332" s="848" t="s">
        <v>309</v>
      </c>
      <c r="C332" s="1098">
        <v>0.15</v>
      </c>
      <c r="D332" s="1098">
        <v>0.15</v>
      </c>
      <c r="E332" s="1098">
        <v>0.15</v>
      </c>
      <c r="F332" s="1099">
        <v>0.15</v>
      </c>
    </row>
    <row r="333" spans="1:6" ht="14.25" thickBot="1">
      <c r="A333" s="854" t="s">
        <v>924</v>
      </c>
      <c r="B333" s="848" t="s">
        <v>935</v>
      </c>
      <c r="C333" s="1098">
        <v>0.15</v>
      </c>
      <c r="D333" s="1098">
        <v>0.15</v>
      </c>
      <c r="E333" s="1098">
        <v>0.15</v>
      </c>
      <c r="F333" s="1099">
        <v>0.14099999999999999</v>
      </c>
    </row>
    <row r="334" spans="1:6" ht="14.25" thickBot="1">
      <c r="A334" s="854" t="s">
        <v>924</v>
      </c>
      <c r="B334" s="848" t="s">
        <v>329</v>
      </c>
      <c r="C334" s="1098">
        <v>0.15</v>
      </c>
      <c r="D334" s="1098">
        <v>0.15</v>
      </c>
      <c r="E334" s="1098">
        <v>0.15</v>
      </c>
      <c r="F334" s="1099">
        <v>0.15</v>
      </c>
    </row>
    <row r="335" spans="1:6" ht="14.25" thickBot="1">
      <c r="A335" s="854" t="s">
        <v>924</v>
      </c>
      <c r="B335" s="848" t="s">
        <v>339</v>
      </c>
      <c r="C335" s="1098">
        <v>0.15</v>
      </c>
      <c r="D335" s="1098">
        <v>0.15</v>
      </c>
      <c r="E335" s="1098">
        <v>0.15</v>
      </c>
      <c r="F335" s="1103"/>
    </row>
    <row r="336" spans="1:6" ht="14.25" thickBot="1">
      <c r="A336" s="854" t="s">
        <v>924</v>
      </c>
      <c r="B336" s="848" t="s">
        <v>936</v>
      </c>
      <c r="C336" s="1098">
        <v>0.15</v>
      </c>
      <c r="D336" s="1098">
        <v>0.15</v>
      </c>
      <c r="E336" s="1098">
        <v>0.15</v>
      </c>
      <c r="F336" s="1099">
        <v>0.11799999999999999</v>
      </c>
    </row>
    <row r="337" spans="1:6" ht="14.25" thickBot="1">
      <c r="A337" s="871" t="s">
        <v>924</v>
      </c>
      <c r="B337" s="864" t="s">
        <v>357</v>
      </c>
      <c r="C337" s="1101"/>
      <c r="D337" s="1101"/>
      <c r="E337" s="1101"/>
      <c r="F337" s="1105">
        <v>0.14299999999999999</v>
      </c>
    </row>
    <row r="338" spans="1:6" ht="14.25" thickBot="1">
      <c r="A338" s="854" t="s">
        <v>937</v>
      </c>
      <c r="B338" s="855" t="s">
        <v>938</v>
      </c>
      <c r="C338" s="1096">
        <v>0.15</v>
      </c>
      <c r="D338" s="1096">
        <v>0.15</v>
      </c>
      <c r="E338" s="1096">
        <v>0.15</v>
      </c>
      <c r="F338" s="1113"/>
    </row>
    <row r="339" spans="1:6" ht="14.25" thickBot="1">
      <c r="A339" s="854" t="s">
        <v>937</v>
      </c>
      <c r="B339" s="848" t="s">
        <v>939</v>
      </c>
      <c r="C339" s="1098">
        <v>0.15</v>
      </c>
      <c r="D339" s="1098">
        <v>0.15</v>
      </c>
      <c r="E339" s="1098">
        <v>0.15</v>
      </c>
      <c r="F339" s="1103"/>
    </row>
    <row r="340" spans="1:6" ht="14.25" thickBot="1">
      <c r="A340" s="854" t="s">
        <v>937</v>
      </c>
      <c r="B340" s="848" t="s">
        <v>940</v>
      </c>
      <c r="C340" s="1098">
        <v>0.15</v>
      </c>
      <c r="D340" s="1098">
        <v>0.15</v>
      </c>
      <c r="E340" s="1098">
        <v>0.15</v>
      </c>
      <c r="F340" s="1103"/>
    </row>
    <row r="341" spans="1:6" ht="14.25" thickBot="1">
      <c r="A341" s="854" t="s">
        <v>937</v>
      </c>
      <c r="B341" s="848" t="s">
        <v>941</v>
      </c>
      <c r="C341" s="1098">
        <v>0.15</v>
      </c>
      <c r="D341" s="1098">
        <v>0.15</v>
      </c>
      <c r="E341" s="1098">
        <v>0.15</v>
      </c>
      <c r="F341" s="1099">
        <v>0.15</v>
      </c>
    </row>
    <row r="342" spans="1:6" ht="14.25" thickBot="1">
      <c r="A342" s="854" t="s">
        <v>937</v>
      </c>
      <c r="B342" s="848" t="s">
        <v>942</v>
      </c>
      <c r="C342" s="1098">
        <v>0.15</v>
      </c>
      <c r="D342" s="1098">
        <v>0.15</v>
      </c>
      <c r="E342" s="1098">
        <v>0.15</v>
      </c>
      <c r="F342" s="1099">
        <v>0.15</v>
      </c>
    </row>
    <row r="343" spans="1:6" ht="14.25" thickBot="1">
      <c r="A343" s="854" t="s">
        <v>937</v>
      </c>
      <c r="B343" s="848" t="s">
        <v>943</v>
      </c>
      <c r="C343" s="1098">
        <v>0.15</v>
      </c>
      <c r="D343" s="1098">
        <v>0.15</v>
      </c>
      <c r="E343" s="1098">
        <v>0.15</v>
      </c>
      <c r="F343" s="1099">
        <v>0.15</v>
      </c>
    </row>
    <row r="344" spans="1:6" ht="14.25" thickBot="1">
      <c r="A344" s="871" t="s">
        <v>937</v>
      </c>
      <c r="B344" s="864" t="s">
        <v>944</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09" t="s">
        <v>708</v>
      </c>
      <c r="B1" s="810"/>
      <c r="C1" s="1270"/>
      <c r="D1" s="1271"/>
      <c r="E1" s="1271"/>
      <c r="F1" s="1272"/>
      <c r="G1" s="1273"/>
      <c r="H1" s="1272"/>
      <c r="I1" s="1273"/>
      <c r="J1" s="1273"/>
      <c r="K1" s="1273"/>
      <c r="L1" s="1273"/>
      <c r="M1" s="1273"/>
      <c r="N1" s="1274"/>
      <c r="O1" s="1274"/>
      <c r="P1" s="1274"/>
      <c r="Q1" s="1274"/>
      <c r="R1" s="1274"/>
      <c r="S1" s="1274"/>
      <c r="T1" s="1274"/>
    </row>
    <row r="2" spans="1:20" ht="18" customHeight="1">
      <c r="A2" s="812" t="s">
        <v>132</v>
      </c>
      <c r="B2" s="813">
        <f>1+F4</f>
        <v>1.0128999999999999</v>
      </c>
      <c r="C2" s="814"/>
      <c r="D2" s="815"/>
      <c r="E2" s="815"/>
      <c r="F2" s="816"/>
      <c r="G2" s="1276"/>
      <c r="H2" s="1272"/>
      <c r="I2" s="1273"/>
      <c r="J2" s="1273"/>
      <c r="K2" s="1273"/>
      <c r="L2" s="1273"/>
      <c r="M2" s="1273"/>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7"/>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7"/>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7"/>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7"/>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7"/>
      <c r="H9" s="967">
        <v>0.01</v>
      </c>
      <c r="I9" s="804">
        <f t="shared" si="2"/>
        <v>0.02</v>
      </c>
      <c r="J9" s="804">
        <f t="shared" si="3"/>
        <v>0.01</v>
      </c>
      <c r="K9" s="803">
        <v>0</v>
      </c>
      <c r="L9" s="804">
        <f t="shared" si="0"/>
        <v>-0.01</v>
      </c>
      <c r="M9" s="804">
        <f t="shared" si="0"/>
        <v>-0.02</v>
      </c>
    </row>
    <row r="10" spans="1:20" ht="14.25">
      <c r="A10" s="831" t="s">
        <v>719</v>
      </c>
      <c r="B10" s="1202" t="str">
        <f>估价对象房地状况!C7</f>
        <v>估价对象所在区域公共配套设施齐备情况</v>
      </c>
      <c r="C10" s="805" t="s">
        <v>29</v>
      </c>
      <c r="D10" s="825">
        <f t="shared" si="1"/>
        <v>0.04</v>
      </c>
      <c r="E10" s="826">
        <v>0.05</v>
      </c>
      <c r="F10" s="830"/>
      <c r="G10" s="1277"/>
      <c r="H10" s="967">
        <v>0.02</v>
      </c>
      <c r="I10" s="804">
        <f t="shared" si="2"/>
        <v>0.04</v>
      </c>
      <c r="J10" s="804">
        <f t="shared" si="3"/>
        <v>0.02</v>
      </c>
      <c r="K10" s="803">
        <v>0</v>
      </c>
      <c r="L10" s="804">
        <f t="shared" si="0"/>
        <v>-0.02</v>
      </c>
      <c r="M10" s="804">
        <f t="shared" si="0"/>
        <v>-0.04</v>
      </c>
    </row>
    <row r="11" spans="1:20" ht="14.25">
      <c r="A11" s="831" t="s">
        <v>720</v>
      </c>
      <c r="B11" s="1203"/>
      <c r="C11" s="805" t="s">
        <v>31</v>
      </c>
      <c r="D11" s="825">
        <f t="shared" si="1"/>
        <v>0</v>
      </c>
      <c r="E11" s="826">
        <v>0.1</v>
      </c>
      <c r="F11" s="830"/>
      <c r="G11" s="1277"/>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7"/>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8"/>
      <c r="D13" s="815"/>
      <c r="E13" s="815"/>
      <c r="F13" s="816"/>
      <c r="G13" s="1276"/>
      <c r="H13" s="1272"/>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7"/>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7"/>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7"/>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7"/>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7"/>
      <c r="H20" s="967">
        <v>0.01</v>
      </c>
      <c r="I20" s="804">
        <f t="shared" si="6"/>
        <v>0.02</v>
      </c>
      <c r="J20" s="804">
        <f t="shared" si="7"/>
        <v>0.01</v>
      </c>
      <c r="K20" s="803">
        <v>0</v>
      </c>
      <c r="L20" s="804">
        <f t="shared" si="5"/>
        <v>-0.01</v>
      </c>
      <c r="M20" s="804">
        <f t="shared" si="5"/>
        <v>-0.02</v>
      </c>
    </row>
    <row r="21" spans="1:20" ht="14.25">
      <c r="A21" s="818" t="s">
        <v>719</v>
      </c>
      <c r="B21" s="1202" t="str">
        <f>估价对象房地状况!C7</f>
        <v>估价对象所在区域公共配套设施齐备情况</v>
      </c>
      <c r="C21" s="805" t="s">
        <v>713</v>
      </c>
      <c r="D21" s="825">
        <f t="shared" si="4"/>
        <v>0.02</v>
      </c>
      <c r="E21" s="826">
        <v>0.06</v>
      </c>
      <c r="F21" s="830"/>
      <c r="G21" s="1277"/>
      <c r="H21" s="967">
        <v>0.02</v>
      </c>
      <c r="I21" s="804">
        <f t="shared" si="6"/>
        <v>0.04</v>
      </c>
      <c r="J21" s="804">
        <f t="shared" si="7"/>
        <v>0.02</v>
      </c>
      <c r="K21" s="803">
        <v>0</v>
      </c>
      <c r="L21" s="804">
        <f t="shared" si="5"/>
        <v>-0.02</v>
      </c>
      <c r="M21" s="804">
        <f t="shared" si="5"/>
        <v>-0.04</v>
      </c>
    </row>
    <row r="22" spans="1:20" ht="14.25">
      <c r="A22" s="818" t="s">
        <v>720</v>
      </c>
      <c r="B22" s="1203"/>
      <c r="C22" s="805" t="s">
        <v>713</v>
      </c>
      <c r="D22" s="825">
        <f t="shared" si="4"/>
        <v>0.01</v>
      </c>
      <c r="E22" s="826">
        <v>0.12</v>
      </c>
      <c r="F22" s="830"/>
      <c r="G22" s="1277"/>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7"/>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8"/>
      <c r="D24" s="815"/>
      <c r="E24" s="815"/>
      <c r="F24" s="816"/>
      <c r="G24" s="1276"/>
      <c r="H24" s="1272"/>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9"/>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9"/>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9"/>
      <c r="H29" s="967">
        <v>2.5000000000000001E-2</v>
      </c>
      <c r="I29" s="804">
        <f t="shared" si="10"/>
        <v>0.05</v>
      </c>
      <c r="J29" s="804">
        <f t="shared" si="11"/>
        <v>2.5000000000000001E-2</v>
      </c>
      <c r="K29" s="803">
        <v>0</v>
      </c>
      <c r="L29" s="804">
        <f t="shared" si="9"/>
        <v>-2.5000000000000001E-2</v>
      </c>
      <c r="M29" s="804">
        <f t="shared" si="9"/>
        <v>-0.05</v>
      </c>
    </row>
    <row r="30" spans="1:20" s="1275" customFormat="1" ht="14.25">
      <c r="A30" s="818" t="s">
        <v>719</v>
      </c>
      <c r="B30" s="1202" t="str">
        <f>估价对象房地状况!C7</f>
        <v>估价对象所在区域公共配套设施齐备情况</v>
      </c>
      <c r="C30" s="805" t="s">
        <v>713</v>
      </c>
      <c r="D30" s="825">
        <f t="shared" si="8"/>
        <v>0.03</v>
      </c>
      <c r="E30" s="826">
        <v>0.08</v>
      </c>
      <c r="F30" s="838"/>
      <c r="G30" s="1279"/>
      <c r="H30" s="967">
        <v>0.03</v>
      </c>
      <c r="I30" s="804">
        <f t="shared" si="10"/>
        <v>0.06</v>
      </c>
      <c r="J30" s="804">
        <f t="shared" si="11"/>
        <v>0.03</v>
      </c>
      <c r="K30" s="803">
        <v>0</v>
      </c>
      <c r="L30" s="804">
        <f t="shared" si="9"/>
        <v>-0.03</v>
      </c>
      <c r="M30" s="804">
        <f t="shared" si="9"/>
        <v>-0.06</v>
      </c>
      <c r="N30" s="1274"/>
      <c r="O30" s="1274"/>
      <c r="P30" s="1274"/>
      <c r="Q30" s="1274"/>
      <c r="R30" s="1274"/>
      <c r="S30" s="1274"/>
      <c r="T30" s="1274"/>
    </row>
    <row r="31" spans="1:20" ht="14.25">
      <c r="A31" s="818" t="s">
        <v>720</v>
      </c>
      <c r="B31" s="1203"/>
      <c r="C31" s="805" t="s">
        <v>29</v>
      </c>
      <c r="D31" s="825">
        <f t="shared" si="8"/>
        <v>0.06</v>
      </c>
      <c r="E31" s="826">
        <v>0.12</v>
      </c>
      <c r="F31" s="838"/>
      <c r="G31" s="1279"/>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9"/>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9"/>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9"/>
      <c r="H34" s="967">
        <v>0.03</v>
      </c>
      <c r="I34" s="804">
        <f t="shared" si="10"/>
        <v>0.06</v>
      </c>
      <c r="J34" s="804">
        <f t="shared" si="11"/>
        <v>0.03</v>
      </c>
      <c r="K34" s="803">
        <v>0</v>
      </c>
      <c r="L34" s="804">
        <f t="shared" si="9"/>
        <v>-0.03</v>
      </c>
      <c r="M34" s="804">
        <f t="shared" si="9"/>
        <v>-0.06</v>
      </c>
    </row>
    <row r="35" spans="1:13" ht="15">
      <c r="A35" s="812" t="s">
        <v>135</v>
      </c>
      <c r="B35" s="813">
        <f>1+F37</f>
        <v>1.0127999999999999</v>
      </c>
      <c r="C35" s="1278"/>
      <c r="D35" s="815"/>
      <c r="E35" s="815"/>
      <c r="F35" s="816"/>
      <c r="G35" s="1276"/>
      <c r="H35" s="1272"/>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9"/>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9"/>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9"/>
      <c r="H40" s="967">
        <v>0.01</v>
      </c>
      <c r="I40" s="804">
        <f t="shared" si="14"/>
        <v>0.02</v>
      </c>
      <c r="J40" s="804">
        <f t="shared" si="15"/>
        <v>0.01</v>
      </c>
      <c r="K40" s="803">
        <v>0</v>
      </c>
      <c r="L40" s="804">
        <f t="shared" si="13"/>
        <v>-0.01</v>
      </c>
      <c r="M40" s="804">
        <f t="shared" si="13"/>
        <v>-0.02</v>
      </c>
    </row>
    <row r="41" spans="1:13" ht="14.25">
      <c r="A41" s="818" t="s">
        <v>719</v>
      </c>
      <c r="B41" s="1202" t="str">
        <f>估价对象房地状况!G19</f>
        <v>估价对象所在区域公共配套设施齐备情况</v>
      </c>
      <c r="C41" s="805" t="s">
        <v>713</v>
      </c>
      <c r="D41" s="825">
        <f t="shared" si="12"/>
        <v>0.02</v>
      </c>
      <c r="E41" s="826">
        <v>0.06</v>
      </c>
      <c r="F41" s="838"/>
      <c r="G41" s="1279"/>
      <c r="H41" s="967">
        <v>0.02</v>
      </c>
      <c r="I41" s="804">
        <f t="shared" si="14"/>
        <v>0.04</v>
      </c>
      <c r="J41" s="804">
        <f t="shared" si="15"/>
        <v>0.02</v>
      </c>
      <c r="K41" s="803">
        <v>0</v>
      </c>
      <c r="L41" s="804">
        <f t="shared" si="13"/>
        <v>-0.02</v>
      </c>
      <c r="M41" s="804">
        <f t="shared" si="13"/>
        <v>-0.04</v>
      </c>
    </row>
    <row r="42" spans="1:13" ht="14.25">
      <c r="A42" s="818" t="s">
        <v>720</v>
      </c>
      <c r="B42" s="1203"/>
      <c r="C42" s="805" t="s">
        <v>713</v>
      </c>
      <c r="D42" s="825">
        <f t="shared" si="12"/>
        <v>0.01</v>
      </c>
      <c r="E42" s="826">
        <v>0.15</v>
      </c>
      <c r="F42" s="838"/>
      <c r="G42" s="1279"/>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9"/>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9"/>
      <c r="H44" s="967">
        <v>0.01</v>
      </c>
      <c r="I44" s="804">
        <f t="shared" si="14"/>
        <v>0.02</v>
      </c>
      <c r="J44" s="804">
        <f t="shared" si="15"/>
        <v>0.01</v>
      </c>
      <c r="K44" s="803">
        <v>0</v>
      </c>
      <c r="L44" s="804">
        <f t="shared" si="13"/>
        <v>-0.01</v>
      </c>
      <c r="M44" s="804">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77" t="s">
        <v>105</v>
      </c>
      <c r="B1" s="3077"/>
      <c r="C1" s="3077"/>
      <c r="D1" s="3077"/>
      <c r="E1" s="3077"/>
      <c r="F1" s="307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78" t="s">
        <v>118</v>
      </c>
      <c r="B2" s="3078"/>
      <c r="C2" s="3078"/>
      <c r="D2" s="3078"/>
      <c r="E2" s="3078"/>
      <c r="F2" s="307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7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8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81" t="s">
        <v>132</v>
      </c>
      <c r="B18" s="905" t="s">
        <v>517</v>
      </c>
      <c r="C18" s="906" t="s">
        <v>518</v>
      </c>
      <c r="D18" s="907"/>
      <c r="E18" s="905">
        <v>1</v>
      </c>
      <c r="F18" s="908" t="s">
        <v>519</v>
      </c>
      <c r="G18" s="909"/>
      <c r="H18" s="901"/>
      <c r="I18" s="901"/>
    </row>
    <row r="19" spans="1:9" s="910" customFormat="1" ht="19.5" customHeight="1">
      <c r="A19" s="3081"/>
      <c r="B19" s="3081" t="s">
        <v>520</v>
      </c>
      <c r="C19" s="906" t="s">
        <v>521</v>
      </c>
      <c r="D19" s="907"/>
      <c r="E19" s="905">
        <v>0.9</v>
      </c>
      <c r="F19" s="908" t="s">
        <v>522</v>
      </c>
      <c r="G19" s="909"/>
      <c r="H19" s="901"/>
      <c r="I19" s="901"/>
    </row>
    <row r="20" spans="1:9" s="910" customFormat="1" ht="19.5" customHeight="1">
      <c r="A20" s="3081"/>
      <c r="B20" s="3081"/>
      <c r="C20" s="906" t="s">
        <v>523</v>
      </c>
      <c r="D20" s="907"/>
      <c r="E20" s="905">
        <v>1.1000000000000001</v>
      </c>
      <c r="F20" s="908" t="s">
        <v>524</v>
      </c>
      <c r="G20" s="909"/>
      <c r="H20" s="901"/>
      <c r="I20" s="901"/>
    </row>
    <row r="21" spans="1:9" s="910" customFormat="1" ht="19.5" customHeight="1">
      <c r="A21" s="3081"/>
      <c r="B21" s="3081"/>
      <c r="C21" s="906" t="s">
        <v>525</v>
      </c>
      <c r="D21" s="907"/>
      <c r="E21" s="905">
        <v>0.8</v>
      </c>
      <c r="F21" s="908" t="s">
        <v>526</v>
      </c>
      <c r="G21" s="909"/>
      <c r="H21" s="901"/>
      <c r="I21" s="901"/>
    </row>
    <row r="22" spans="1:9" s="910" customFormat="1" ht="19.5" customHeight="1">
      <c r="A22" s="3081"/>
      <c r="B22" s="3081"/>
      <c r="C22" s="906" t="s">
        <v>527</v>
      </c>
      <c r="D22" s="907"/>
      <c r="E22" s="905">
        <v>0.5</v>
      </c>
      <c r="F22" s="908"/>
      <c r="G22" s="909"/>
      <c r="H22" s="901"/>
      <c r="I22" s="901"/>
    </row>
    <row r="23" spans="1:9" s="910" customFormat="1" ht="19.5" customHeight="1">
      <c r="A23" s="3081" t="s">
        <v>133</v>
      </c>
      <c r="B23" s="905" t="s">
        <v>517</v>
      </c>
      <c r="C23" s="906" t="s">
        <v>528</v>
      </c>
      <c r="D23" s="907"/>
      <c r="E23" s="905">
        <v>1</v>
      </c>
      <c r="F23" s="908" t="s">
        <v>529</v>
      </c>
      <c r="G23" s="909"/>
      <c r="H23" s="901"/>
      <c r="I23" s="901"/>
    </row>
    <row r="24" spans="1:9" s="910" customFormat="1" ht="19.5" customHeight="1">
      <c r="A24" s="3081"/>
      <c r="B24" s="3081" t="s">
        <v>520</v>
      </c>
      <c r="C24" s="906" t="s">
        <v>530</v>
      </c>
      <c r="D24" s="907"/>
      <c r="E24" s="905">
        <v>0.5</v>
      </c>
      <c r="F24" s="908"/>
      <c r="G24" s="909"/>
      <c r="H24" s="901"/>
      <c r="I24" s="901"/>
    </row>
    <row r="25" spans="1:9" s="910" customFormat="1" ht="19.5" customHeight="1">
      <c r="A25" s="3081"/>
      <c r="B25" s="3081"/>
      <c r="C25" s="906" t="s">
        <v>531</v>
      </c>
      <c r="D25" s="907"/>
      <c r="E25" s="905">
        <v>1.1000000000000001</v>
      </c>
      <c r="F25" s="908"/>
      <c r="G25" s="909"/>
      <c r="H25" s="901"/>
      <c r="I25" s="901"/>
    </row>
    <row r="26" spans="1:9" s="910" customFormat="1" ht="19.5" customHeight="1">
      <c r="A26" s="3081"/>
      <c r="B26" s="3081"/>
      <c r="C26" s="906" t="s">
        <v>532</v>
      </c>
      <c r="D26" s="907"/>
      <c r="E26" s="905">
        <v>1.1000000000000001</v>
      </c>
      <c r="F26" s="908"/>
      <c r="G26" s="909"/>
      <c r="H26" s="901"/>
      <c r="I26" s="901"/>
    </row>
    <row r="27" spans="1:9" s="910" customFormat="1" ht="19.5" customHeight="1">
      <c r="A27" s="3081"/>
      <c r="B27" s="3081"/>
      <c r="C27" s="906" t="s">
        <v>533</v>
      </c>
      <c r="D27" s="907"/>
      <c r="E27" s="905">
        <v>0.9</v>
      </c>
      <c r="F27" s="908" t="s">
        <v>534</v>
      </c>
      <c r="G27" s="909"/>
      <c r="H27" s="901"/>
      <c r="I27" s="901"/>
    </row>
    <row r="28" spans="1:9" s="910" customFormat="1" ht="19.5" customHeight="1">
      <c r="A28" s="3081"/>
      <c r="B28" s="3081"/>
      <c r="C28" s="906" t="s">
        <v>535</v>
      </c>
      <c r="D28" s="907"/>
      <c r="E28" s="905">
        <v>0.9</v>
      </c>
      <c r="F28" s="908" t="s">
        <v>536</v>
      </c>
      <c r="G28" s="909"/>
      <c r="H28" s="901"/>
      <c r="I28" s="901"/>
    </row>
    <row r="29" spans="1:9" s="910" customFormat="1" ht="19.5" customHeight="1">
      <c r="A29" s="3081"/>
      <c r="B29" s="3081"/>
      <c r="C29" s="906" t="s">
        <v>537</v>
      </c>
      <c r="D29" s="907"/>
      <c r="E29" s="905">
        <v>0.9</v>
      </c>
      <c r="F29" s="908" t="s">
        <v>538</v>
      </c>
      <c r="G29" s="909"/>
      <c r="H29" s="901"/>
      <c r="I29" s="901"/>
    </row>
    <row r="30" spans="1:9" s="910" customFormat="1" ht="19.5" customHeight="1">
      <c r="A30" s="3081"/>
      <c r="B30" s="3081"/>
      <c r="C30" s="906" t="s">
        <v>539</v>
      </c>
      <c r="D30" s="907"/>
      <c r="E30" s="905">
        <v>0.9</v>
      </c>
      <c r="F30" s="908" t="s">
        <v>540</v>
      </c>
      <c r="G30" s="909"/>
      <c r="H30" s="901"/>
      <c r="I30" s="901"/>
    </row>
    <row r="31" spans="1:9" s="910" customFormat="1" ht="19.5" customHeight="1">
      <c r="A31" s="3081"/>
      <c r="B31" s="3081"/>
      <c r="C31" s="906" t="s">
        <v>541</v>
      </c>
      <c r="D31" s="907"/>
      <c r="E31" s="905">
        <v>0.8</v>
      </c>
      <c r="F31" s="908" t="s">
        <v>542</v>
      </c>
      <c r="G31" s="909"/>
      <c r="H31" s="901"/>
      <c r="I31" s="901"/>
    </row>
    <row r="32" spans="1:9" s="910" customFormat="1" ht="19.5" customHeight="1">
      <c r="A32" s="3081"/>
      <c r="B32" s="3081"/>
      <c r="C32" s="906" t="s">
        <v>543</v>
      </c>
      <c r="D32" s="907"/>
      <c r="E32" s="905">
        <v>0.8</v>
      </c>
      <c r="F32" s="908" t="s">
        <v>544</v>
      </c>
      <c r="G32" s="909"/>
      <c r="H32" s="901"/>
      <c r="I32" s="901"/>
    </row>
    <row r="33" spans="1:9" s="910" customFormat="1" ht="19.5" customHeight="1">
      <c r="A33" s="3081" t="s">
        <v>134</v>
      </c>
      <c r="B33" s="905" t="s">
        <v>517</v>
      </c>
      <c r="C33" s="906" t="s">
        <v>545</v>
      </c>
      <c r="D33" s="907"/>
      <c r="E33" s="905">
        <v>1</v>
      </c>
      <c r="F33" s="908" t="s">
        <v>546</v>
      </c>
      <c r="G33" s="909"/>
      <c r="H33" s="901"/>
      <c r="I33" s="901"/>
    </row>
    <row r="34" spans="1:9" s="910" customFormat="1" ht="19.5" customHeight="1">
      <c r="A34" s="3081"/>
      <c r="B34" s="905" t="s">
        <v>520</v>
      </c>
      <c r="C34" s="906" t="s">
        <v>547</v>
      </c>
      <c r="D34" s="907"/>
      <c r="E34" s="905">
        <v>1.5</v>
      </c>
      <c r="F34" s="908" t="s">
        <v>548</v>
      </c>
      <c r="G34" s="909"/>
      <c r="H34" s="901"/>
      <c r="I34" s="901"/>
    </row>
    <row r="35" spans="1:9" s="910" customFormat="1" ht="19.5" customHeight="1">
      <c r="A35" s="3081" t="s">
        <v>135</v>
      </c>
      <c r="B35" s="905" t="s">
        <v>517</v>
      </c>
      <c r="C35" s="906" t="s">
        <v>549</v>
      </c>
      <c r="D35" s="907"/>
      <c r="E35" s="905">
        <v>1</v>
      </c>
      <c r="F35" s="908" t="s">
        <v>550</v>
      </c>
      <c r="G35" s="909"/>
      <c r="H35" s="901"/>
      <c r="I35" s="901"/>
    </row>
    <row r="36" spans="1:9" s="910" customFormat="1" ht="19.5" customHeight="1">
      <c r="A36" s="3081"/>
      <c r="B36" s="3081" t="s">
        <v>520</v>
      </c>
      <c r="C36" s="906" t="s">
        <v>551</v>
      </c>
      <c r="D36" s="907"/>
      <c r="E36" s="905">
        <v>1</v>
      </c>
      <c r="F36" s="908" t="s">
        <v>552</v>
      </c>
      <c r="G36" s="909"/>
      <c r="H36" s="901"/>
      <c r="I36" s="901"/>
    </row>
    <row r="37" spans="1:9" s="910" customFormat="1" ht="19.5" customHeight="1">
      <c r="A37" s="3081"/>
      <c r="B37" s="3081"/>
      <c r="C37" s="906" t="s">
        <v>553</v>
      </c>
      <c r="D37" s="907"/>
      <c r="E37" s="905">
        <v>1.5</v>
      </c>
      <c r="F37" s="908" t="s">
        <v>554</v>
      </c>
      <c r="G37" s="909"/>
      <c r="H37" s="901"/>
      <c r="I37" s="901"/>
    </row>
    <row r="38" spans="1:9" s="910" customFormat="1" ht="19.5" customHeight="1">
      <c r="A38" s="3081"/>
      <c r="B38" s="3081"/>
      <c r="C38" s="906" t="s">
        <v>555</v>
      </c>
      <c r="D38" s="907"/>
      <c r="E38" s="905">
        <v>1</v>
      </c>
      <c r="F38" s="908" t="s">
        <v>556</v>
      </c>
      <c r="G38" s="909"/>
      <c r="H38" s="901"/>
      <c r="I38" s="901"/>
    </row>
    <row r="39" spans="1:9" s="910" customFormat="1" ht="19.5" customHeight="1">
      <c r="A39" s="3081"/>
      <c r="B39" s="308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81" t="s">
        <v>571</v>
      </c>
      <c r="C61" s="819" t="s">
        <v>572</v>
      </c>
      <c r="D61" s="819" t="s">
        <v>573</v>
      </c>
      <c r="E61" s="918">
        <v>0.5</v>
      </c>
      <c r="F61" s="905">
        <v>80</v>
      </c>
    </row>
    <row r="62" spans="1:8" s="901" customFormat="1" ht="24">
      <c r="A62" s="905">
        <v>2</v>
      </c>
      <c r="B62" s="3081"/>
      <c r="C62" s="819" t="s">
        <v>574</v>
      </c>
      <c r="D62" s="819" t="s">
        <v>575</v>
      </c>
      <c r="E62" s="918">
        <v>0.5</v>
      </c>
      <c r="F62" s="905">
        <v>80</v>
      </c>
    </row>
    <row r="63" spans="1:8" s="901" customFormat="1" ht="36">
      <c r="A63" s="905">
        <v>3</v>
      </c>
      <c r="B63" s="3081"/>
      <c r="C63" s="819" t="s">
        <v>576</v>
      </c>
      <c r="D63" s="819" t="s">
        <v>577</v>
      </c>
      <c r="E63" s="918">
        <v>0.5</v>
      </c>
      <c r="F63" s="905">
        <v>80</v>
      </c>
    </row>
    <row r="64" spans="1:8" s="901" customFormat="1" ht="36">
      <c r="A64" s="905">
        <v>4</v>
      </c>
      <c r="B64" s="3081"/>
      <c r="C64" s="819" t="s">
        <v>578</v>
      </c>
      <c r="D64" s="819" t="s">
        <v>579</v>
      </c>
      <c r="E64" s="918">
        <v>0.4</v>
      </c>
      <c r="F64" s="905">
        <v>60</v>
      </c>
    </row>
    <row r="65" spans="1:6" s="901" customFormat="1" ht="36">
      <c r="A65" s="905">
        <v>5</v>
      </c>
      <c r="B65" s="3081"/>
      <c r="C65" s="819" t="s">
        <v>580</v>
      </c>
      <c r="D65" s="819" t="s">
        <v>581</v>
      </c>
      <c r="E65" s="918">
        <v>0.2</v>
      </c>
      <c r="F65" s="905">
        <v>30</v>
      </c>
    </row>
    <row r="66" spans="1:6" s="901" customFormat="1" ht="36">
      <c r="A66" s="905">
        <v>6</v>
      </c>
      <c r="B66" s="3081"/>
      <c r="C66" s="819" t="s">
        <v>582</v>
      </c>
      <c r="D66" s="819" t="s">
        <v>583</v>
      </c>
      <c r="E66" s="918">
        <v>0.3</v>
      </c>
      <c r="F66" s="905">
        <v>50</v>
      </c>
    </row>
    <row r="67" spans="1:6" s="901" customFormat="1" ht="36">
      <c r="A67" s="905">
        <v>7</v>
      </c>
      <c r="B67" s="3081"/>
      <c r="C67" s="819" t="s">
        <v>584</v>
      </c>
      <c r="D67" s="819" t="s">
        <v>585</v>
      </c>
      <c r="E67" s="918">
        <v>0.2</v>
      </c>
      <c r="F67" s="905">
        <v>30</v>
      </c>
    </row>
    <row r="68" spans="1:6" s="901" customFormat="1" ht="36">
      <c r="A68" s="905">
        <v>8</v>
      </c>
      <c r="B68" s="3081"/>
      <c r="C68" s="819" t="s">
        <v>586</v>
      </c>
      <c r="D68" s="819" t="s">
        <v>587</v>
      </c>
      <c r="E68" s="918">
        <v>0.2</v>
      </c>
      <c r="F68" s="905">
        <v>30</v>
      </c>
    </row>
    <row r="69" spans="1:6" s="901" customFormat="1" ht="36">
      <c r="A69" s="905">
        <v>9</v>
      </c>
      <c r="B69" s="3081"/>
      <c r="C69" s="819" t="s">
        <v>588</v>
      </c>
      <c r="D69" s="819" t="s">
        <v>589</v>
      </c>
      <c r="E69" s="918">
        <v>0.2</v>
      </c>
      <c r="F69" s="905">
        <v>30</v>
      </c>
    </row>
    <row r="70" spans="1:6" s="901" customFormat="1" ht="48">
      <c r="A70" s="905">
        <v>10</v>
      </c>
      <c r="B70" s="3081"/>
      <c r="C70" s="819" t="s">
        <v>590</v>
      </c>
      <c r="D70" s="819" t="s">
        <v>591</v>
      </c>
      <c r="E70" s="918">
        <v>0.2</v>
      </c>
      <c r="F70" s="905">
        <v>30</v>
      </c>
    </row>
    <row r="71" spans="1:6" s="901" customFormat="1" ht="48">
      <c r="A71" s="905">
        <v>11</v>
      </c>
      <c r="B71" s="3081"/>
      <c r="C71" s="819" t="s">
        <v>592</v>
      </c>
      <c r="D71" s="819" t="s">
        <v>593</v>
      </c>
      <c r="E71" s="918">
        <v>0.2</v>
      </c>
      <c r="F71" s="905">
        <v>30</v>
      </c>
    </row>
    <row r="72" spans="1:6" s="901" customFormat="1" ht="36">
      <c r="A72" s="905">
        <v>12</v>
      </c>
      <c r="B72" s="3081"/>
      <c r="C72" s="819" t="s">
        <v>594</v>
      </c>
      <c r="D72" s="819" t="s">
        <v>595</v>
      </c>
      <c r="E72" s="918">
        <v>0.5</v>
      </c>
      <c r="F72" s="905">
        <v>80</v>
      </c>
    </row>
    <row r="73" spans="1:6" s="901" customFormat="1" ht="24">
      <c r="A73" s="905">
        <v>13</v>
      </c>
      <c r="B73" s="3081"/>
      <c r="C73" s="819" t="s">
        <v>596</v>
      </c>
      <c r="D73" s="819" t="s">
        <v>597</v>
      </c>
      <c r="E73" s="918">
        <v>0.4</v>
      </c>
      <c r="F73" s="905">
        <v>60</v>
      </c>
    </row>
    <row r="74" spans="1:6" s="901" customFormat="1" ht="24">
      <c r="A74" s="905">
        <v>14</v>
      </c>
      <c r="B74" s="3081"/>
      <c r="C74" s="819" t="s">
        <v>598</v>
      </c>
      <c r="D74" s="819" t="s">
        <v>599</v>
      </c>
      <c r="E74" s="918">
        <v>0.2</v>
      </c>
      <c r="F74" s="905">
        <v>30</v>
      </c>
    </row>
    <row r="75" spans="1:6" s="901" customFormat="1" ht="24">
      <c r="A75" s="905">
        <v>15</v>
      </c>
      <c r="B75" s="3081"/>
      <c r="C75" s="819" t="s">
        <v>600</v>
      </c>
      <c r="D75" s="819" t="s">
        <v>601</v>
      </c>
      <c r="E75" s="918">
        <v>0.2</v>
      </c>
      <c r="F75" s="905">
        <v>30</v>
      </c>
    </row>
    <row r="76" spans="1:6" s="901" customFormat="1" ht="24">
      <c r="A76" s="905">
        <v>16</v>
      </c>
      <c r="B76" s="3081" t="s">
        <v>602</v>
      </c>
      <c r="C76" s="819" t="s">
        <v>603</v>
      </c>
      <c r="D76" s="819" t="s">
        <v>604</v>
      </c>
      <c r="E76" s="918">
        <v>0.5</v>
      </c>
      <c r="F76" s="905">
        <v>80</v>
      </c>
    </row>
    <row r="77" spans="1:6" s="901" customFormat="1" ht="24">
      <c r="A77" s="905">
        <v>17</v>
      </c>
      <c r="B77" s="3081"/>
      <c r="C77" s="819" t="s">
        <v>605</v>
      </c>
      <c r="D77" s="819" t="s">
        <v>606</v>
      </c>
      <c r="E77" s="918">
        <v>0.5</v>
      </c>
      <c r="F77" s="905">
        <v>80</v>
      </c>
    </row>
    <row r="78" spans="1:6" s="901" customFormat="1" ht="24">
      <c r="A78" s="905">
        <v>18</v>
      </c>
      <c r="B78" s="3081"/>
      <c r="C78" s="819" t="s">
        <v>607</v>
      </c>
      <c r="D78" s="819" t="s">
        <v>608</v>
      </c>
      <c r="E78" s="918">
        <v>0.2</v>
      </c>
      <c r="F78" s="905">
        <v>30</v>
      </c>
    </row>
    <row r="79" spans="1:6" s="901" customFormat="1" ht="24">
      <c r="A79" s="905">
        <v>19</v>
      </c>
      <c r="B79" s="3081"/>
      <c r="C79" s="819" t="s">
        <v>609</v>
      </c>
      <c r="D79" s="819" t="s">
        <v>610</v>
      </c>
      <c r="E79" s="918">
        <v>0.5</v>
      </c>
      <c r="F79" s="905">
        <v>80</v>
      </c>
    </row>
    <row r="80" spans="1:6" s="901" customFormat="1" ht="36">
      <c r="A80" s="905">
        <v>20</v>
      </c>
      <c r="B80" s="3081"/>
      <c r="C80" s="819" t="s">
        <v>611</v>
      </c>
      <c r="D80" s="819" t="s">
        <v>612</v>
      </c>
      <c r="E80" s="918">
        <v>0.2</v>
      </c>
      <c r="F80" s="905">
        <v>30</v>
      </c>
    </row>
    <row r="81" spans="1:6" s="901" customFormat="1" ht="36">
      <c r="A81" s="905">
        <v>21</v>
      </c>
      <c r="B81" s="3081"/>
      <c r="C81" s="819" t="s">
        <v>613</v>
      </c>
      <c r="D81" s="819" t="s">
        <v>614</v>
      </c>
      <c r="E81" s="918">
        <v>0.2</v>
      </c>
      <c r="F81" s="905">
        <v>30</v>
      </c>
    </row>
    <row r="82" spans="1:6" s="901" customFormat="1" ht="48">
      <c r="A82" s="905">
        <v>22</v>
      </c>
      <c r="B82" s="3081"/>
      <c r="C82" s="819" t="s">
        <v>615</v>
      </c>
      <c r="D82" s="819" t="s">
        <v>616</v>
      </c>
      <c r="E82" s="918">
        <v>0.2</v>
      </c>
      <c r="F82" s="905">
        <v>30</v>
      </c>
    </row>
    <row r="83" spans="1:6" s="901" customFormat="1" ht="48">
      <c r="A83" s="905">
        <v>23</v>
      </c>
      <c r="B83" s="3081"/>
      <c r="C83" s="819" t="s">
        <v>617</v>
      </c>
      <c r="D83" s="819" t="s">
        <v>618</v>
      </c>
      <c r="E83" s="918">
        <v>0.2</v>
      </c>
      <c r="F83" s="905">
        <v>30</v>
      </c>
    </row>
    <row r="84" spans="1:6" s="901" customFormat="1" ht="36">
      <c r="A84" s="905">
        <v>24</v>
      </c>
      <c r="B84" s="3081"/>
      <c r="C84" s="819" t="s">
        <v>619</v>
      </c>
      <c r="D84" s="819" t="s">
        <v>620</v>
      </c>
      <c r="E84" s="918">
        <v>0.2</v>
      </c>
      <c r="F84" s="905">
        <v>30</v>
      </c>
    </row>
    <row r="85" spans="1:6" s="901" customFormat="1" ht="36">
      <c r="A85" s="905">
        <v>25</v>
      </c>
      <c r="B85" s="3081"/>
      <c r="C85" s="819" t="s">
        <v>621</v>
      </c>
      <c r="D85" s="819" t="s">
        <v>622</v>
      </c>
      <c r="E85" s="918">
        <v>0.5</v>
      </c>
      <c r="F85" s="905">
        <v>80</v>
      </c>
    </row>
    <row r="86" spans="1:6" s="901" customFormat="1" ht="36">
      <c r="A86" s="905">
        <v>26</v>
      </c>
      <c r="B86" s="3081"/>
      <c r="C86" s="819" t="s">
        <v>623</v>
      </c>
      <c r="D86" s="819" t="s">
        <v>624</v>
      </c>
      <c r="E86" s="918">
        <v>0.2</v>
      </c>
      <c r="F86" s="905">
        <v>30</v>
      </c>
    </row>
    <row r="87" spans="1:6" s="901" customFormat="1" ht="36">
      <c r="A87" s="905">
        <v>27</v>
      </c>
      <c r="B87" s="3081"/>
      <c r="C87" s="819" t="s">
        <v>625</v>
      </c>
      <c r="D87" s="819" t="s">
        <v>626</v>
      </c>
      <c r="E87" s="918">
        <v>0.2</v>
      </c>
      <c r="F87" s="905">
        <v>30</v>
      </c>
    </row>
    <row r="88" spans="1:6" s="901" customFormat="1" ht="36">
      <c r="A88" s="905">
        <v>28</v>
      </c>
      <c r="B88" s="3081"/>
      <c r="C88" s="819" t="s">
        <v>627</v>
      </c>
      <c r="D88" s="819" t="s">
        <v>628</v>
      </c>
      <c r="E88" s="918">
        <v>0.2</v>
      </c>
      <c r="F88" s="905">
        <v>30</v>
      </c>
    </row>
    <row r="89" spans="1:6" s="901" customFormat="1" ht="24">
      <c r="A89" s="905">
        <v>29</v>
      </c>
      <c r="B89" s="3081"/>
      <c r="C89" s="819" t="s">
        <v>629</v>
      </c>
      <c r="D89" s="819" t="s">
        <v>630</v>
      </c>
      <c r="E89" s="918">
        <v>0.2</v>
      </c>
      <c r="F89" s="905">
        <v>30</v>
      </c>
    </row>
    <row r="90" spans="1:6" s="901" customFormat="1" ht="24">
      <c r="A90" s="905">
        <v>30</v>
      </c>
      <c r="B90" s="3081"/>
      <c r="C90" s="819" t="s">
        <v>631</v>
      </c>
      <c r="D90" s="819" t="s">
        <v>632</v>
      </c>
      <c r="E90" s="918">
        <v>0.2</v>
      </c>
      <c r="F90" s="905">
        <v>30</v>
      </c>
    </row>
    <row r="91" spans="1:6" s="901" customFormat="1" ht="36">
      <c r="A91" s="905">
        <v>31</v>
      </c>
      <c r="B91" s="3081"/>
      <c r="C91" s="819" t="s">
        <v>633</v>
      </c>
      <c r="D91" s="819" t="s">
        <v>634</v>
      </c>
      <c r="E91" s="918">
        <v>0.2</v>
      </c>
      <c r="F91" s="905">
        <v>30</v>
      </c>
    </row>
    <row r="92" spans="1:6" s="901" customFormat="1" ht="24">
      <c r="A92" s="905">
        <v>32</v>
      </c>
      <c r="B92" s="3081" t="s">
        <v>635</v>
      </c>
      <c r="C92" s="905" t="s">
        <v>636</v>
      </c>
      <c r="D92" s="819" t="s">
        <v>637</v>
      </c>
      <c r="E92" s="918">
        <v>0.2</v>
      </c>
      <c r="F92" s="905">
        <v>30</v>
      </c>
    </row>
    <row r="93" spans="1:6" s="901" customFormat="1" ht="36">
      <c r="A93" s="905">
        <v>33</v>
      </c>
      <c r="B93" s="3081"/>
      <c r="C93" s="905" t="s">
        <v>638</v>
      </c>
      <c r="D93" s="819" t="s">
        <v>639</v>
      </c>
      <c r="E93" s="918">
        <v>0.2</v>
      </c>
      <c r="F93" s="905">
        <v>30</v>
      </c>
    </row>
    <row r="94" spans="1:6" s="901" customFormat="1" ht="48">
      <c r="A94" s="905">
        <v>34</v>
      </c>
      <c r="B94" s="3081"/>
      <c r="C94" s="905" t="s">
        <v>640</v>
      </c>
      <c r="D94" s="819" t="s">
        <v>641</v>
      </c>
      <c r="E94" s="918">
        <v>0.2</v>
      </c>
      <c r="F94" s="905">
        <v>30</v>
      </c>
    </row>
    <row r="95" spans="1:6" s="901" customFormat="1" ht="36">
      <c r="A95" s="905">
        <v>35</v>
      </c>
      <c r="B95" s="3081"/>
      <c r="C95" s="905" t="s">
        <v>642</v>
      </c>
      <c r="D95" s="819" t="s">
        <v>643</v>
      </c>
      <c r="E95" s="918">
        <v>0.2</v>
      </c>
      <c r="F95" s="905">
        <v>30</v>
      </c>
    </row>
    <row r="96" spans="1:6" s="901" customFormat="1" ht="48">
      <c r="A96" s="905">
        <v>36</v>
      </c>
      <c r="B96" s="3081"/>
      <c r="C96" s="819" t="s">
        <v>644</v>
      </c>
      <c r="D96" s="819" t="s">
        <v>645</v>
      </c>
      <c r="E96" s="918">
        <v>0.2</v>
      </c>
      <c r="F96" s="905">
        <v>30</v>
      </c>
    </row>
    <row r="97" spans="1:6" s="901" customFormat="1" ht="36">
      <c r="A97" s="905">
        <v>37</v>
      </c>
      <c r="B97" s="3081"/>
      <c r="C97" s="905" t="s">
        <v>646</v>
      </c>
      <c r="D97" s="819" t="s">
        <v>647</v>
      </c>
      <c r="E97" s="918">
        <v>0.2</v>
      </c>
      <c r="F97" s="905">
        <v>30</v>
      </c>
    </row>
    <row r="98" spans="1:6" s="901" customFormat="1" ht="36">
      <c r="A98" s="905">
        <v>38</v>
      </c>
      <c r="B98" s="3081"/>
      <c r="C98" s="905" t="s">
        <v>648</v>
      </c>
      <c r="D98" s="819" t="s">
        <v>649</v>
      </c>
      <c r="E98" s="918">
        <v>0.2</v>
      </c>
      <c r="F98" s="905">
        <v>30</v>
      </c>
    </row>
    <row r="99" spans="1:6" s="901" customFormat="1" ht="36">
      <c r="A99" s="905">
        <v>39</v>
      </c>
      <c r="B99" s="3081" t="s">
        <v>650</v>
      </c>
      <c r="C99" s="905" t="s">
        <v>651</v>
      </c>
      <c r="D99" s="819" t="s">
        <v>652</v>
      </c>
      <c r="E99" s="918">
        <v>0.3</v>
      </c>
      <c r="F99" s="905">
        <v>50</v>
      </c>
    </row>
    <row r="100" spans="1:6" s="901" customFormat="1" ht="24">
      <c r="A100" s="905">
        <v>40</v>
      </c>
      <c r="B100" s="3081"/>
      <c r="C100" s="905" t="s">
        <v>653</v>
      </c>
      <c r="D100" s="819" t="s">
        <v>654</v>
      </c>
      <c r="E100" s="918">
        <v>0.2</v>
      </c>
      <c r="F100" s="905">
        <v>30</v>
      </c>
    </row>
    <row r="101" spans="1:6" s="901" customFormat="1" ht="36">
      <c r="A101" s="905">
        <v>41</v>
      </c>
      <c r="B101" s="3081"/>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81" t="s">
        <v>665</v>
      </c>
      <c r="C105" s="905" t="s">
        <v>666</v>
      </c>
      <c r="D105" s="819" t="s">
        <v>667</v>
      </c>
      <c r="E105" s="918">
        <v>0.2</v>
      </c>
      <c r="F105" s="905">
        <v>30</v>
      </c>
    </row>
    <row r="106" spans="1:6" s="901" customFormat="1" ht="36">
      <c r="A106" s="905">
        <v>46</v>
      </c>
      <c r="B106" s="3081"/>
      <c r="C106" s="905" t="s">
        <v>668</v>
      </c>
      <c r="D106" s="819" t="s">
        <v>669</v>
      </c>
      <c r="E106" s="918">
        <v>0.2</v>
      </c>
      <c r="F106" s="905">
        <v>30</v>
      </c>
    </row>
    <row r="107" spans="1:6" s="901" customFormat="1" ht="36">
      <c r="A107" s="905">
        <v>47</v>
      </c>
      <c r="B107" s="3081" t="s">
        <v>670</v>
      </c>
      <c r="C107" s="905" t="s">
        <v>671</v>
      </c>
      <c r="D107" s="819" t="s">
        <v>672</v>
      </c>
      <c r="E107" s="918">
        <v>0.3</v>
      </c>
      <c r="F107" s="905">
        <v>50</v>
      </c>
    </row>
    <row r="108" spans="1:6" s="901" customFormat="1" ht="36">
      <c r="A108" s="905">
        <v>48</v>
      </c>
      <c r="B108" s="308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81" t="s">
        <v>681</v>
      </c>
      <c r="C111" s="905" t="s">
        <v>682</v>
      </c>
      <c r="D111" s="819" t="s">
        <v>683</v>
      </c>
      <c r="E111" s="918">
        <v>0.2</v>
      </c>
      <c r="F111" s="905">
        <v>30</v>
      </c>
    </row>
    <row r="112" spans="1:6" s="901" customFormat="1" ht="24">
      <c r="A112" s="905">
        <v>52</v>
      </c>
      <c r="B112" s="3081"/>
      <c r="C112" s="905" t="s">
        <v>684</v>
      </c>
      <c r="D112" s="819" t="s">
        <v>685</v>
      </c>
      <c r="E112" s="918">
        <v>0.2</v>
      </c>
      <c r="F112" s="905">
        <v>30</v>
      </c>
    </row>
    <row r="113" spans="1:6" s="901" customFormat="1" ht="24">
      <c r="A113" s="905">
        <v>53</v>
      </c>
      <c r="B113" s="3081"/>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81" t="s">
        <v>694</v>
      </c>
      <c r="C116" s="905" t="s">
        <v>695</v>
      </c>
      <c r="D116" s="819" t="s">
        <v>696</v>
      </c>
      <c r="E116" s="918">
        <v>0.2</v>
      </c>
      <c r="F116" s="905">
        <v>30</v>
      </c>
    </row>
    <row r="117" spans="1:6" ht="36">
      <c r="A117" s="905">
        <v>57</v>
      </c>
      <c r="B117" s="3081"/>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087" t="s">
        <v>1033</v>
      </c>
      <c r="C1" s="3087"/>
      <c r="D1" s="3087"/>
      <c r="E1" s="3087"/>
      <c r="F1" s="3087"/>
      <c r="G1" s="3086" t="s">
        <v>1034</v>
      </c>
      <c r="H1" s="3086"/>
      <c r="I1" s="3086"/>
      <c r="J1" s="3086"/>
      <c r="K1" s="3086"/>
      <c r="L1" s="3086"/>
      <c r="N1" s="3086" t="s">
        <v>1035</v>
      </c>
      <c r="O1" s="3086"/>
      <c r="P1" s="3086"/>
      <c r="Q1" s="3086"/>
      <c r="R1" s="1543"/>
      <c r="S1" s="3086" t="s">
        <v>1036</v>
      </c>
      <c r="T1" s="3086"/>
      <c r="U1" s="3086"/>
      <c r="V1" s="3086"/>
      <c r="X1" s="3085" t="s">
        <v>1037</v>
      </c>
      <c r="Y1" s="3086"/>
      <c r="Z1" s="3086"/>
      <c r="AA1" s="3086"/>
      <c r="AB1" s="3086"/>
      <c r="AD1" s="3085" t="s">
        <v>1038</v>
      </c>
      <c r="AE1" s="3086"/>
      <c r="AF1" s="3086"/>
      <c r="AG1" s="3086"/>
      <c r="AH1" s="3086"/>
    </row>
    <row r="2" spans="1:34" s="1544" customFormat="1" ht="14.25" thickBot="1">
      <c r="B2" s="1545" t="s">
        <v>1039</v>
      </c>
      <c r="C2" s="1545" t="s">
        <v>1040</v>
      </c>
      <c r="D2" s="1546" t="s">
        <v>1041</v>
      </c>
      <c r="E2" s="1546" t="s">
        <v>1042</v>
      </c>
      <c r="F2" s="1545" t="s">
        <v>1043</v>
      </c>
      <c r="G2" s="1547"/>
      <c r="H2" s="1548"/>
      <c r="I2" s="1545" t="s">
        <v>1260</v>
      </c>
      <c r="J2" s="1546" t="s">
        <v>1261</v>
      </c>
      <c r="K2" s="1546" t="s">
        <v>1262</v>
      </c>
      <c r="L2" s="1545" t="s">
        <v>1263</v>
      </c>
      <c r="N2" s="1545" t="s">
        <v>1039</v>
      </c>
      <c r="O2" s="1546" t="s">
        <v>1264</v>
      </c>
      <c r="P2" s="1546" t="s">
        <v>728</v>
      </c>
      <c r="Q2" s="1545" t="s">
        <v>1043</v>
      </c>
      <c r="R2" s="1549"/>
      <c r="S2" s="1545" t="s">
        <v>1039</v>
      </c>
      <c r="T2" s="1546" t="s">
        <v>1264</v>
      </c>
      <c r="U2" s="1546" t="s">
        <v>728</v>
      </c>
      <c r="V2" s="1545" t="s">
        <v>1043</v>
      </c>
      <c r="X2" s="1545" t="s">
        <v>1044</v>
      </c>
      <c r="Y2" s="1545" t="s">
        <v>1045</v>
      </c>
      <c r="Z2" s="1546" t="s">
        <v>1046</v>
      </c>
      <c r="AA2" s="1546" t="s">
        <v>1047</v>
      </c>
      <c r="AB2" s="1545" t="s">
        <v>1048</v>
      </c>
      <c r="AD2" s="1545" t="s">
        <v>1044</v>
      </c>
      <c r="AE2" s="1545" t="s">
        <v>1045</v>
      </c>
      <c r="AF2" s="1546" t="s">
        <v>1046</v>
      </c>
      <c r="AG2" s="1546" t="s">
        <v>1047</v>
      </c>
      <c r="AH2" s="1545" t="s">
        <v>1048</v>
      </c>
    </row>
    <row r="3" spans="1:34" s="2716" customFormat="1" ht="14.25">
      <c r="A3" s="2727" t="s">
        <v>2813</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0" customFormat="1" ht="14.25">
      <c r="B4" s="1551"/>
      <c r="C4" s="1551"/>
      <c r="D4" s="1552"/>
      <c r="E4" s="1552"/>
      <c r="F4" s="1551"/>
      <c r="G4" s="1553"/>
      <c r="H4" s="1554"/>
      <c r="I4" s="2708"/>
      <c r="J4" s="2708"/>
      <c r="K4" s="2708"/>
      <c r="L4" s="2708"/>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2817</v>
      </c>
      <c r="B5" s="1563">
        <f t="shared" ref="B5:B10" si="2">B6*(1+N5)</f>
        <v>446.46299999999997</v>
      </c>
      <c r="C5" s="1563">
        <f>C6*(1+O5)</f>
        <v>333.27840000000003</v>
      </c>
      <c r="D5" s="1812">
        <f>C5</f>
        <v>333.27840000000003</v>
      </c>
      <c r="E5" s="1563">
        <f>E6*(1+P5)</f>
        <v>637.28279999999995</v>
      </c>
      <c r="F5" s="1563">
        <f>F6*(1+Q5)</f>
        <v>288.68830000000003</v>
      </c>
      <c r="G5" s="2728">
        <v>2018</v>
      </c>
      <c r="H5" s="1816">
        <v>2</v>
      </c>
      <c r="I5" s="2709">
        <v>0</v>
      </c>
      <c r="J5" s="2709">
        <v>0</v>
      </c>
      <c r="K5" s="2709">
        <v>0</v>
      </c>
      <c r="L5" s="2710">
        <v>0</v>
      </c>
      <c r="N5" s="1565">
        <f>I5/100</f>
        <v>0</v>
      </c>
      <c r="O5" s="1565">
        <f>J5/100</f>
        <v>0</v>
      </c>
      <c r="P5" s="1565">
        <f>K5/100</f>
        <v>0</v>
      </c>
      <c r="Q5" s="1565">
        <f>L5/100</f>
        <v>0</v>
      </c>
      <c r="R5" s="1818"/>
      <c r="S5" s="1819"/>
      <c r="T5" s="1818"/>
      <c r="U5" s="1818"/>
      <c r="V5" s="1818"/>
      <c r="W5" s="2715" t="s">
        <v>2812</v>
      </c>
      <c r="X5" s="1811">
        <f>ROUND(SUMPRODUCT(PRODUCT(1+N5:N$21)),4)</f>
        <v>1.4517</v>
      </c>
      <c r="Y5" s="1811">
        <f>ROUND(SUMPRODUCT(PRODUCT(1+O5:O$21)),4)</f>
        <v>1.2928999999999999</v>
      </c>
      <c r="Z5" s="1811">
        <f>Y5</f>
        <v>1.2928999999999999</v>
      </c>
      <c r="AA5" s="1811">
        <f>ROUND(SUMPRODUCT(PRODUCT(1+P5:P$21)),4)</f>
        <v>1.5068999999999999</v>
      </c>
      <c r="AB5" s="1811">
        <f>ROUND(SUMPRODUCT(PRODUCT(1+Q5:Q$21)),4)</f>
        <v>1.2557</v>
      </c>
      <c r="AD5" s="1566">
        <f>ROUND(AVERAGE(I5:I$22)/100,4)</f>
        <v>2.2700000000000001E-2</v>
      </c>
      <c r="AE5" s="1566">
        <f>ROUND(AVERAGE(J5:J$22)/100,4)</f>
        <v>1.5699999999999999E-2</v>
      </c>
      <c r="AF5" s="1566">
        <f>AE5</f>
        <v>1.5699999999999999E-2</v>
      </c>
      <c r="AG5" s="1566">
        <f>ROUND(AVERAGE(K5:K$22)/100,4)</f>
        <v>2.5000000000000001E-2</v>
      </c>
      <c r="AH5" s="1566">
        <f>ROUND(AVERAGE(L5:L$22)/100,4)</f>
        <v>1.35E-2</v>
      </c>
    </row>
    <row r="6" spans="1:34" s="1564" customFormat="1" ht="13.5" thickBot="1">
      <c r="A6" s="1558" t="s">
        <v>2818</v>
      </c>
      <c r="B6" s="1575">
        <f t="shared" si="2"/>
        <v>446.46299999999997</v>
      </c>
      <c r="C6" s="1575">
        <f>C7*(1+O6)</f>
        <v>333.27840000000003</v>
      </c>
      <c r="D6" s="1575">
        <f t="shared" ref="D6:D11" si="3">C6</f>
        <v>333.27840000000003</v>
      </c>
      <c r="E6" s="1575">
        <f>E7*(1+P6)</f>
        <v>637.28279999999995</v>
      </c>
      <c r="F6" s="1575">
        <f>F7*(1+Q6)</f>
        <v>288.68830000000003</v>
      </c>
      <c r="G6" s="2707">
        <v>2018</v>
      </c>
      <c r="H6" s="1561">
        <v>1</v>
      </c>
      <c r="I6" s="1561">
        <v>1.7</v>
      </c>
      <c r="J6" s="1561">
        <v>1.92</v>
      </c>
      <c r="K6" s="1561">
        <v>1.64</v>
      </c>
      <c r="L6" s="1576">
        <v>2.0099999999999998</v>
      </c>
      <c r="M6" s="1569"/>
      <c r="N6" s="1570">
        <f t="shared" ref="N6:N11" si="4">I6/100</f>
        <v>1.7000000000000001E-2</v>
      </c>
      <c r="O6" s="1571">
        <f t="shared" ref="O6:Q9" si="5">J6/100</f>
        <v>1.9199999999999998E-2</v>
      </c>
      <c r="P6" s="1571">
        <f t="shared" si="5"/>
        <v>1.6399999999999998E-2</v>
      </c>
      <c r="Q6" s="1571">
        <f t="shared" si="5"/>
        <v>2.0099999999999996E-2</v>
      </c>
      <c r="R6" s="1569"/>
      <c r="S6" s="1578">
        <f>B6/B7-1</f>
        <v>1.6999999999999904E-2</v>
      </c>
      <c r="T6" s="1579">
        <f>C6/C7-1</f>
        <v>1.9200000000000106E-2</v>
      </c>
      <c r="U6" s="1579">
        <f>E6/E7-1</f>
        <v>1.639999999999997E-2</v>
      </c>
      <c r="V6" s="1579">
        <f>F6/F7-1</f>
        <v>2.0100000000000007E-2</v>
      </c>
      <c r="W6" s="1569"/>
      <c r="X6" s="1556">
        <f>ROUND(SUMPRODUCT(PRODUCT(1+N6:N$21)),4)</f>
        <v>1.4517</v>
      </c>
      <c r="Y6" s="1556">
        <f>ROUND(SUMPRODUCT(PRODUCT(1+O6:O$21)),4)</f>
        <v>1.2928999999999999</v>
      </c>
      <c r="Z6" s="1556">
        <f>Y6</f>
        <v>1.2928999999999999</v>
      </c>
      <c r="AA6" s="1556">
        <f>ROUND(SUMPRODUCT(PRODUCT(1+P6:P$21)),4)</f>
        <v>1.5068999999999999</v>
      </c>
      <c r="AB6" s="1556">
        <f>ROUND(SUMPRODUCT(PRODUCT(1+Q6:Q$21)),4)</f>
        <v>1.2557</v>
      </c>
      <c r="AC6" s="1569"/>
      <c r="AD6" s="1557">
        <f>ROUND(AVERAGE(I6:I$22)/100,4)</f>
        <v>2.4E-2</v>
      </c>
      <c r="AE6" s="1557">
        <f>ROUND(AVERAGE(J6:J$22)/100,4)</f>
        <v>1.66E-2</v>
      </c>
      <c r="AF6" s="1557">
        <f>AE6</f>
        <v>1.66E-2</v>
      </c>
      <c r="AG6" s="1557">
        <f>ROUND(AVERAGE(K6:K$22)/100,4)</f>
        <v>2.6499999999999999E-2</v>
      </c>
      <c r="AH6" s="1557">
        <f>ROUND(AVERAGE(L6:L$22)/100,4)</f>
        <v>1.43E-2</v>
      </c>
    </row>
    <row r="7" spans="1:34">
      <c r="A7" s="1558" t="s">
        <v>2814</v>
      </c>
      <c r="B7" s="1567">
        <v>439</v>
      </c>
      <c r="C7" s="1567">
        <v>327</v>
      </c>
      <c r="D7" s="1567">
        <f t="shared" si="3"/>
        <v>327</v>
      </c>
      <c r="E7" s="1567">
        <v>627</v>
      </c>
      <c r="F7" s="1568">
        <v>283</v>
      </c>
      <c r="G7" s="2714">
        <v>2017</v>
      </c>
      <c r="H7" s="1559">
        <v>4</v>
      </c>
      <c r="I7" s="1559">
        <v>1.71</v>
      </c>
      <c r="J7" s="1559">
        <v>1.78</v>
      </c>
      <c r="K7" s="1559">
        <v>1.71</v>
      </c>
      <c r="L7" s="1560">
        <v>1.43</v>
      </c>
      <c r="N7" s="1570">
        <f t="shared" si="4"/>
        <v>1.7100000000000001E-2</v>
      </c>
      <c r="O7" s="1571">
        <f t="shared" si="5"/>
        <v>1.78E-2</v>
      </c>
      <c r="P7" s="1571">
        <f t="shared" si="5"/>
        <v>1.7100000000000001E-2</v>
      </c>
      <c r="Q7" s="1571">
        <f t="shared" si="5"/>
        <v>1.43E-2</v>
      </c>
      <c r="R7" s="1572"/>
      <c r="S7" s="1573"/>
      <c r="T7" s="1574"/>
      <c r="U7" s="1574"/>
      <c r="V7" s="1574"/>
      <c r="X7" s="1556">
        <f>ROUND(SUMPRODUCT(PRODUCT(1+N7:N$21)),4)</f>
        <v>1.4274</v>
      </c>
      <c r="Y7" s="1556">
        <f>ROUND(SUMPRODUCT(PRODUCT(1+O7:O$21)),4)</f>
        <v>1.2685</v>
      </c>
      <c r="Z7" s="1556">
        <f t="shared" si="0"/>
        <v>1.2685</v>
      </c>
      <c r="AA7" s="1556">
        <f>ROUND(SUMPRODUCT(PRODUCT(1+P7:P$21)),4)</f>
        <v>1.4825999999999999</v>
      </c>
      <c r="AB7" s="1556">
        <f>ROUND(SUMPRODUCT(PRODUCT(1+Q7:Q$21)),4)</f>
        <v>1.2309000000000001</v>
      </c>
      <c r="AD7" s="1557">
        <f>ROUND(AVERAGE(I7:I$22)/100,4)</f>
        <v>2.4500000000000001E-2</v>
      </c>
      <c r="AE7" s="1557">
        <f>ROUND(AVERAGE(J7:J$22)/100,4)</f>
        <v>1.6500000000000001E-2</v>
      </c>
      <c r="AF7" s="1557">
        <f t="shared" si="1"/>
        <v>1.6500000000000001E-2</v>
      </c>
      <c r="AG7" s="1557">
        <f>ROUND(AVERAGE(K7:K$22)/100,4)</f>
        <v>2.7099999999999999E-2</v>
      </c>
      <c r="AH7" s="1557">
        <f>ROUND(AVERAGE(L7:L$22)/100,4)</f>
        <v>1.3899999999999999E-2</v>
      </c>
    </row>
    <row r="8" spans="1:34" s="1564" customFormat="1" ht="13.5" thickBot="1">
      <c r="A8" s="1558" t="s">
        <v>2809</v>
      </c>
      <c r="B8" s="1575">
        <f t="shared" si="2"/>
        <v>431.80730811680002</v>
      </c>
      <c r="C8" s="1575">
        <f>C9*(1+O8)</f>
        <v>320.57880516480003</v>
      </c>
      <c r="D8" s="1575">
        <f t="shared" si="3"/>
        <v>320.57880516480003</v>
      </c>
      <c r="E8" s="1575">
        <f t="shared" ref="E8:F10" si="6">E9*(1+P8)</f>
        <v>615.96110553196797</v>
      </c>
      <c r="F8" s="1575">
        <f t="shared" si="6"/>
        <v>279.46777300108801</v>
      </c>
      <c r="G8" s="2707"/>
      <c r="H8" s="1561">
        <v>3</v>
      </c>
      <c r="I8" s="1561">
        <v>2.98</v>
      </c>
      <c r="J8" s="1561">
        <v>2.11</v>
      </c>
      <c r="K8" s="1561">
        <v>3.24</v>
      </c>
      <c r="L8" s="1576">
        <v>1.72</v>
      </c>
      <c r="M8" s="1569"/>
      <c r="N8" s="1570">
        <f t="shared" si="4"/>
        <v>2.98E-2</v>
      </c>
      <c r="O8" s="1571">
        <f t="shared" si="5"/>
        <v>2.1099999999999997E-2</v>
      </c>
      <c r="P8" s="1571">
        <f t="shared" si="5"/>
        <v>3.2400000000000005E-2</v>
      </c>
      <c r="Q8" s="1571">
        <f t="shared" si="5"/>
        <v>1.72E-2</v>
      </c>
      <c r="R8" s="1569"/>
      <c r="S8" s="1578"/>
      <c r="T8" s="1579"/>
      <c r="U8" s="1579"/>
      <c r="V8" s="1579"/>
      <c r="X8" s="1556">
        <f>ROUND(SUMPRODUCT(PRODUCT(1+N8:N$21)),4)</f>
        <v>1.4034</v>
      </c>
      <c r="Y8" s="1556">
        <f>ROUND(SUMPRODUCT(PRODUCT(1+O8:O$21)),4)</f>
        <v>1.2463</v>
      </c>
      <c r="Z8" s="1556">
        <f t="shared" si="0"/>
        <v>1.2463</v>
      </c>
      <c r="AA8" s="1556">
        <f>ROUND(SUMPRODUCT(PRODUCT(1+P8:P$21)),4)</f>
        <v>1.4577</v>
      </c>
      <c r="AB8" s="1556">
        <f>ROUND(SUMPRODUCT(PRODUCT(1+Q8:Q$21)),4)</f>
        <v>1.2136</v>
      </c>
      <c r="AC8" s="1569"/>
      <c r="AD8" s="1557">
        <f>ROUND(AVERAGE(I8:I$22)/100,4)</f>
        <v>2.4899999999999999E-2</v>
      </c>
      <c r="AE8" s="1557">
        <f>ROUND(AVERAGE(J8:J$22)/100,4)</f>
        <v>1.6400000000000001E-2</v>
      </c>
      <c r="AF8" s="1557">
        <f t="shared" si="1"/>
        <v>1.6400000000000001E-2</v>
      </c>
      <c r="AG8" s="1557">
        <f>ROUND(AVERAGE(K8:K$22)/100,4)</f>
        <v>2.7799999999999998E-2</v>
      </c>
      <c r="AH8" s="1557">
        <f>ROUND(AVERAGE(L8:L$22)/100,4)</f>
        <v>1.3899999999999999E-2</v>
      </c>
    </row>
    <row r="9" spans="1:34" s="1817" customFormat="1">
      <c r="A9" s="1558" t="s">
        <v>1259</v>
      </c>
      <c r="B9" s="1575">
        <f t="shared" si="2"/>
        <v>419.31181600000002</v>
      </c>
      <c r="C9" s="1575">
        <f>C10*(1+O9)</f>
        <v>313.95436800000004</v>
      </c>
      <c r="D9" s="1575">
        <f t="shared" si="3"/>
        <v>313.95436800000004</v>
      </c>
      <c r="E9" s="1575">
        <f t="shared" si="6"/>
        <v>596.63028431999999</v>
      </c>
      <c r="F9" s="1575">
        <f t="shared" si="6"/>
        <v>274.74220703999998</v>
      </c>
      <c r="G9" s="2706"/>
      <c r="H9" s="1562">
        <v>2</v>
      </c>
      <c r="I9" s="1562">
        <v>3.4</v>
      </c>
      <c r="J9" s="1562">
        <v>2</v>
      </c>
      <c r="K9" s="1562">
        <v>3.82</v>
      </c>
      <c r="L9" s="1577">
        <v>1.68</v>
      </c>
      <c r="M9" s="1569"/>
      <c r="N9" s="1570">
        <f t="shared" si="4"/>
        <v>3.4000000000000002E-2</v>
      </c>
      <c r="O9" s="1571">
        <f t="shared" si="5"/>
        <v>0.02</v>
      </c>
      <c r="P9" s="1571">
        <f t="shared" si="5"/>
        <v>3.8199999999999998E-2</v>
      </c>
      <c r="Q9" s="1571">
        <f t="shared" si="5"/>
        <v>1.6799999999999999E-2</v>
      </c>
      <c r="R9" s="1569"/>
      <c r="S9" s="1553"/>
      <c r="T9" s="1555"/>
      <c r="U9" s="1555"/>
      <c r="V9" s="1555"/>
      <c r="W9" s="1550"/>
      <c r="X9" s="1870">
        <f>ROUND(SUMPRODUCT(PRODUCT(1+N9:N$21)),4)</f>
        <v>1.3628</v>
      </c>
      <c r="Y9" s="1870">
        <f>ROUND(SUMPRODUCT(PRODUCT(1+O9:O$21)),4)</f>
        <v>1.2205999999999999</v>
      </c>
      <c r="Z9" s="1870">
        <f t="shared" si="0"/>
        <v>1.2205999999999999</v>
      </c>
      <c r="AA9" s="1870">
        <f>ROUND(SUMPRODUCT(PRODUCT(1+P9:P$21)),4)</f>
        <v>1.4118999999999999</v>
      </c>
      <c r="AB9" s="1870">
        <f>ROUND(SUMPRODUCT(PRODUCT(1+Q9:Q$21)),4)</f>
        <v>1.1930000000000001</v>
      </c>
      <c r="AC9" s="1550"/>
      <c r="AD9" s="1871">
        <f>ROUND(AVERAGE(I9:I$22)/100,4)</f>
        <v>2.46E-2</v>
      </c>
      <c r="AE9" s="1871">
        <f>ROUND(AVERAGE(J9:J$22)/100,4)</f>
        <v>1.6E-2</v>
      </c>
      <c r="AF9" s="1871">
        <f t="shared" si="1"/>
        <v>1.6E-2</v>
      </c>
      <c r="AG9" s="1871">
        <f>ROUND(AVERAGE(K9:K$22)/100,4)</f>
        <v>2.75E-2</v>
      </c>
      <c r="AH9" s="1871">
        <f>ROUND(AVERAGE(L9:L$22)/100,4)</f>
        <v>1.37E-2</v>
      </c>
    </row>
    <row r="10" spans="1:34" s="1564" customFormat="1" ht="13.5" thickBot="1">
      <c r="A10" s="1558" t="s">
        <v>1049</v>
      </c>
      <c r="B10" s="1575">
        <f t="shared" si="2"/>
        <v>405.524</v>
      </c>
      <c r="C10" s="1575">
        <f>C11*(1+O10)</f>
        <v>307.79840000000002</v>
      </c>
      <c r="D10" s="1575">
        <f t="shared" si="3"/>
        <v>307.79840000000002</v>
      </c>
      <c r="E10" s="1575">
        <f t="shared" si="6"/>
        <v>574.67759999999998</v>
      </c>
      <c r="F10" s="1575">
        <f t="shared" si="6"/>
        <v>270.20280000000002</v>
      </c>
      <c r="G10" s="2707"/>
      <c r="H10" s="1561">
        <v>1</v>
      </c>
      <c r="I10" s="1561">
        <v>3.45</v>
      </c>
      <c r="J10" s="1561">
        <v>1.92</v>
      </c>
      <c r="K10" s="1561">
        <v>3.92</v>
      </c>
      <c r="L10" s="1576">
        <v>1.58</v>
      </c>
      <c r="M10" s="1569"/>
      <c r="N10" s="1570">
        <f t="shared" si="4"/>
        <v>3.4500000000000003E-2</v>
      </c>
      <c r="O10" s="1571">
        <f t="shared" ref="O10:Q25" si="7">J10/100</f>
        <v>1.9199999999999998E-2</v>
      </c>
      <c r="P10" s="1571">
        <f t="shared" si="7"/>
        <v>3.9199999999999999E-2</v>
      </c>
      <c r="Q10" s="1571">
        <f t="shared" si="7"/>
        <v>1.5800000000000002E-2</v>
      </c>
      <c r="R10" s="1569"/>
      <c r="S10" s="1578">
        <f>B10/B11-1</f>
        <v>3.4499999999999975E-2</v>
      </c>
      <c r="T10" s="1579">
        <f>C10/C11-1</f>
        <v>1.9200000000000106E-2</v>
      </c>
      <c r="U10" s="1579">
        <f>E10/E11-1</f>
        <v>3.9199999999999902E-2</v>
      </c>
      <c r="V10" s="1579">
        <f>F10/F11-1</f>
        <v>1.5800000000000036E-2</v>
      </c>
      <c r="W10" s="1569"/>
      <c r="X10" s="1556">
        <f>ROUND(SUMPRODUCT(PRODUCT(1+N10:N$21)),4)</f>
        <v>1.3180000000000001</v>
      </c>
      <c r="Y10" s="1556">
        <f>ROUND(SUMPRODUCT(PRODUCT(1+O10:O$21)),4)</f>
        <v>1.1966000000000001</v>
      </c>
      <c r="Z10" s="1556">
        <f t="shared" si="0"/>
        <v>1.1966000000000001</v>
      </c>
      <c r="AA10" s="1556">
        <f>ROUND(SUMPRODUCT(PRODUCT(1+P10:P$21)),4)</f>
        <v>1.36</v>
      </c>
      <c r="AB10" s="1556">
        <f>ROUND(SUMPRODUCT(PRODUCT(1+Q10:Q$21)),4)</f>
        <v>1.1733</v>
      </c>
      <c r="AC10" s="1569"/>
      <c r="AD10" s="1557">
        <f>ROUND(AVERAGE(I10:I$22)/100,4)</f>
        <v>2.3900000000000001E-2</v>
      </c>
      <c r="AE10" s="1557">
        <f>ROUND(AVERAGE(J10:J$22)/100,4)</f>
        <v>1.5699999999999999E-2</v>
      </c>
      <c r="AF10" s="1557">
        <f t="shared" si="1"/>
        <v>1.5699999999999999E-2</v>
      </c>
      <c r="AG10" s="1557">
        <f>ROUND(AVERAGE(K10:K$22)/100,4)</f>
        <v>2.6599999999999999E-2</v>
      </c>
      <c r="AH10" s="1557">
        <f>ROUND(AVERAGE(L10:L$22)/100,4)</f>
        <v>1.34E-2</v>
      </c>
    </row>
    <row r="11" spans="1:34">
      <c r="A11" s="1558" t="s">
        <v>1050</v>
      </c>
      <c r="B11" s="1567">
        <v>392</v>
      </c>
      <c r="C11" s="1567">
        <v>302</v>
      </c>
      <c r="D11" s="1567">
        <f t="shared" si="3"/>
        <v>302</v>
      </c>
      <c r="E11" s="1567">
        <v>553</v>
      </c>
      <c r="F11" s="1568">
        <v>266</v>
      </c>
      <c r="G11" s="3088">
        <v>2016</v>
      </c>
      <c r="H11" s="1559">
        <v>4</v>
      </c>
      <c r="I11" s="1559">
        <v>4.5599999999999996</v>
      </c>
      <c r="J11" s="1559">
        <v>2.15</v>
      </c>
      <c r="K11" s="1559">
        <v>5.32</v>
      </c>
      <c r="L11" s="1560">
        <v>1.57</v>
      </c>
      <c r="N11" s="1570">
        <f t="shared" si="4"/>
        <v>4.5599999999999995E-2</v>
      </c>
      <c r="O11" s="1571">
        <f t="shared" si="7"/>
        <v>2.1499999999999998E-2</v>
      </c>
      <c r="P11" s="1571">
        <f t="shared" si="7"/>
        <v>5.3200000000000004E-2</v>
      </c>
      <c r="Q11" s="1571">
        <f t="shared" si="7"/>
        <v>1.5700000000000002E-2</v>
      </c>
      <c r="R11" s="1572"/>
      <c r="S11" s="1573"/>
      <c r="T11" s="1574"/>
      <c r="U11" s="1574"/>
      <c r="V11" s="1574"/>
      <c r="X11" s="1556">
        <f>ROUND(SUMPRODUCT(PRODUCT(1+N11:N$21)),4)</f>
        <v>1.274</v>
      </c>
      <c r="Y11" s="1556">
        <f>ROUND(SUMPRODUCT(PRODUCT(1+O11:O$21)),4)</f>
        <v>1.1740999999999999</v>
      </c>
      <c r="Z11" s="1556">
        <f t="shared" si="0"/>
        <v>1.1740999999999999</v>
      </c>
      <c r="AA11" s="1556">
        <f>ROUND(SUMPRODUCT(PRODUCT(1+P11:P$21)),4)</f>
        <v>1.3087</v>
      </c>
      <c r="AB11" s="1556">
        <f>ROUND(SUMPRODUCT(PRODUCT(1+Q11:Q$21)),4)</f>
        <v>1.1551</v>
      </c>
      <c r="AD11" s="1557">
        <f>ROUND(AVERAGE(I11:I$22)/100,4)</f>
        <v>2.3E-2</v>
      </c>
      <c r="AE11" s="1557">
        <f>ROUND(AVERAGE(J11:J$22)/100,4)</f>
        <v>1.55E-2</v>
      </c>
      <c r="AF11" s="1557">
        <f t="shared" ref="AF11:AF20" si="8">AE11</f>
        <v>1.55E-2</v>
      </c>
      <c r="AG11" s="1557">
        <f>ROUND(AVERAGE(K11:K$22)/100,4)</f>
        <v>2.5600000000000001E-2</v>
      </c>
      <c r="AH11" s="1557">
        <f>ROUND(AVERAGE(L11:L$22)/100,4)</f>
        <v>1.32E-2</v>
      </c>
    </row>
    <row r="12" spans="1:34">
      <c r="A12" s="1558" t="s">
        <v>103</v>
      </c>
      <c r="B12" s="1575">
        <f t="shared" ref="B12:C14" si="9">B11/(1+N11)</f>
        <v>374.90436113236416</v>
      </c>
      <c r="C12" s="1575">
        <f t="shared" si="9"/>
        <v>295.64366128242779</v>
      </c>
      <c r="D12" s="1575">
        <f t="shared" ref="D12:D71" si="10">C12</f>
        <v>295.64366128242779</v>
      </c>
      <c r="E12" s="1575">
        <f t="shared" ref="E12:F14" si="11">E11/(1+P11)</f>
        <v>525.06646410938095</v>
      </c>
      <c r="F12" s="1575">
        <f t="shared" si="11"/>
        <v>261.88835286009646</v>
      </c>
      <c r="G12" s="3083"/>
      <c r="H12" s="1561">
        <v>3</v>
      </c>
      <c r="I12" s="1561">
        <v>4.12</v>
      </c>
      <c r="J12" s="1561">
        <v>2</v>
      </c>
      <c r="K12" s="1561">
        <v>4.79</v>
      </c>
      <c r="L12" s="1576">
        <v>1.97</v>
      </c>
      <c r="N12" s="1570">
        <f t="shared" ref="N12:Q46" si="12">I12/100</f>
        <v>4.1200000000000001E-2</v>
      </c>
      <c r="O12" s="1571">
        <f t="shared" si="7"/>
        <v>0.02</v>
      </c>
      <c r="P12" s="1571">
        <f t="shared" si="7"/>
        <v>4.7899999999999998E-2</v>
      </c>
      <c r="Q12" s="1571">
        <f t="shared" si="7"/>
        <v>1.9699999999999999E-2</v>
      </c>
      <c r="R12" s="1572"/>
      <c r="S12" s="1570"/>
      <c r="T12" s="1571"/>
      <c r="U12" s="1571"/>
      <c r="V12" s="1571"/>
      <c r="X12" s="1556">
        <f>ROUND(SUMPRODUCT(PRODUCT(1+N12:N$21)),4)</f>
        <v>1.2184999999999999</v>
      </c>
      <c r="Y12" s="1556">
        <f>ROUND(SUMPRODUCT(PRODUCT(1+O12:O$21)),4)</f>
        <v>1.1494</v>
      </c>
      <c r="Z12" s="1556">
        <f t="shared" si="0"/>
        <v>1.1494</v>
      </c>
      <c r="AA12" s="1556">
        <f>ROUND(SUMPRODUCT(PRODUCT(1+P12:P$21)),4)</f>
        <v>1.2425999999999999</v>
      </c>
      <c r="AB12" s="1556">
        <f>ROUND(SUMPRODUCT(PRODUCT(1+Q12:Q$21)),4)</f>
        <v>1.1372</v>
      </c>
      <c r="AD12" s="1557">
        <f>ROUND(AVERAGE(I12:I$22)/100,4)</f>
        <v>2.0899999999999998E-2</v>
      </c>
      <c r="AE12" s="1557">
        <f>ROUND(AVERAGE(J12:J$22)/100,4)</f>
        <v>1.49E-2</v>
      </c>
      <c r="AF12" s="1557">
        <f t="shared" si="8"/>
        <v>1.49E-2</v>
      </c>
      <c r="AG12" s="1557">
        <f>ROUND(AVERAGE(K12:K$22)/100,4)</f>
        <v>2.3099999999999999E-2</v>
      </c>
      <c r="AH12" s="1557">
        <f>ROUND(AVERAGE(L12:L$22)/100,4)</f>
        <v>1.2999999999999999E-2</v>
      </c>
    </row>
    <row r="13" spans="1:34">
      <c r="A13" s="1558" t="s">
        <v>93</v>
      </c>
      <c r="B13" s="1575">
        <f t="shared" si="9"/>
        <v>360.06949782209392</v>
      </c>
      <c r="C13" s="1575">
        <f t="shared" si="9"/>
        <v>289.84672674747821</v>
      </c>
      <c r="D13" s="1575">
        <f t="shared" si="10"/>
        <v>289.84672674747821</v>
      </c>
      <c r="E13" s="1575">
        <f t="shared" si="11"/>
        <v>501.06543001181495</v>
      </c>
      <c r="F13" s="1575">
        <f t="shared" si="11"/>
        <v>256.82882500744967</v>
      </c>
      <c r="G13" s="3083"/>
      <c r="H13" s="1562">
        <v>2</v>
      </c>
      <c r="I13" s="1562">
        <v>3.85</v>
      </c>
      <c r="J13" s="1562">
        <v>1.95</v>
      </c>
      <c r="K13" s="1562">
        <v>4.4800000000000004</v>
      </c>
      <c r="L13" s="1577">
        <v>1.41</v>
      </c>
      <c r="N13" s="1570">
        <f t="shared" si="12"/>
        <v>3.85E-2</v>
      </c>
      <c r="O13" s="1571">
        <f t="shared" si="7"/>
        <v>1.95E-2</v>
      </c>
      <c r="P13" s="1571">
        <f t="shared" si="7"/>
        <v>4.4800000000000006E-2</v>
      </c>
      <c r="Q13" s="1571">
        <f t="shared" si="7"/>
        <v>1.41E-2</v>
      </c>
      <c r="R13" s="1572"/>
      <c r="S13" s="1570"/>
      <c r="T13" s="1571"/>
      <c r="U13" s="1571"/>
      <c r="V13" s="1571"/>
      <c r="X13" s="1556">
        <f>ROUND(SUMPRODUCT(PRODUCT(1+N13:N$21)),4)</f>
        <v>1.1702999999999999</v>
      </c>
      <c r="Y13" s="1556">
        <f>ROUND(SUMPRODUCT(PRODUCT(1+O13:O$21)),4)</f>
        <v>1.1269</v>
      </c>
      <c r="Z13" s="1556">
        <f t="shared" si="0"/>
        <v>1.1269</v>
      </c>
      <c r="AA13" s="1556">
        <f>ROUND(SUMPRODUCT(PRODUCT(1+P13:P$21)),4)</f>
        <v>1.1858</v>
      </c>
      <c r="AB13" s="1556">
        <f>ROUND(SUMPRODUCT(PRODUCT(1+Q13:Q$21)),4)</f>
        <v>1.1152</v>
      </c>
      <c r="AD13" s="1557">
        <f>ROUND(AVERAGE(I13:I$22)/100,4)</f>
        <v>1.89E-2</v>
      </c>
      <c r="AE13" s="1557">
        <f>ROUND(AVERAGE(J13:J$22)/100,4)</f>
        <v>1.44E-2</v>
      </c>
      <c r="AF13" s="1557">
        <f t="shared" si="8"/>
        <v>1.44E-2</v>
      </c>
      <c r="AG13" s="1557">
        <f>ROUND(AVERAGE(K13:K$22)/100,4)</f>
        <v>2.06E-2</v>
      </c>
      <c r="AH13" s="1557">
        <f>ROUND(AVERAGE(L13:L$22)/100,4)</f>
        <v>1.23E-2</v>
      </c>
    </row>
    <row r="14" spans="1:34" ht="13.5" thickBot="1">
      <c r="A14" s="1558" t="s">
        <v>102</v>
      </c>
      <c r="B14" s="1575">
        <f t="shared" si="9"/>
        <v>346.720748986128</v>
      </c>
      <c r="C14" s="1575">
        <f t="shared" si="9"/>
        <v>284.30282172386285</v>
      </c>
      <c r="D14" s="1575">
        <f t="shared" si="10"/>
        <v>284.30282172386285</v>
      </c>
      <c r="E14" s="1575">
        <f t="shared" si="11"/>
        <v>479.58023546306947</v>
      </c>
      <c r="F14" s="1575">
        <f t="shared" si="11"/>
        <v>253.25788877571213</v>
      </c>
      <c r="G14" s="3084"/>
      <c r="H14" s="1561">
        <v>1</v>
      </c>
      <c r="I14" s="1561">
        <v>4.09</v>
      </c>
      <c r="J14" s="1561">
        <v>2.93</v>
      </c>
      <c r="K14" s="1561">
        <v>4.54</v>
      </c>
      <c r="L14" s="1576">
        <v>1.48</v>
      </c>
      <c r="N14" s="1570">
        <f t="shared" si="12"/>
        <v>4.0899999999999999E-2</v>
      </c>
      <c r="O14" s="1571">
        <f t="shared" si="7"/>
        <v>2.9300000000000003E-2</v>
      </c>
      <c r="P14" s="1571">
        <f t="shared" si="7"/>
        <v>4.5400000000000003E-2</v>
      </c>
      <c r="Q14" s="1571">
        <f t="shared" si="7"/>
        <v>1.4800000000000001E-2</v>
      </c>
      <c r="R14" s="1572"/>
      <c r="S14" s="1578">
        <f>B14/B15-1</f>
        <v>4.1203450408792808E-2</v>
      </c>
      <c r="T14" s="1579">
        <f>C14/C15-1</f>
        <v>2.6363977342465095E-2</v>
      </c>
      <c r="U14" s="1579">
        <f>E14/E15-1</f>
        <v>4.4837114298626357E-2</v>
      </c>
      <c r="V14" s="1579">
        <f>F14/F15-1</f>
        <v>1.7099954922538574E-2</v>
      </c>
      <c r="X14" s="1556">
        <f>ROUND(SUMPRODUCT(PRODUCT(1+N14:N$21)),4)</f>
        <v>1.1269</v>
      </c>
      <c r="Y14" s="1556">
        <f>ROUND(SUMPRODUCT(PRODUCT(1+O14:O$21)),4)</f>
        <v>1.1052999999999999</v>
      </c>
      <c r="Z14" s="1556">
        <f t="shared" si="0"/>
        <v>1.1052999999999999</v>
      </c>
      <c r="AA14" s="1556">
        <f>ROUND(SUMPRODUCT(PRODUCT(1+P14:P$21)),4)</f>
        <v>1.1349</v>
      </c>
      <c r="AB14" s="1556">
        <f>ROUND(SUMPRODUCT(PRODUCT(1+Q14:Q$21)),4)</f>
        <v>1.0996999999999999</v>
      </c>
      <c r="AD14" s="1557">
        <f>ROUND(AVERAGE(I14:I$22)/100,4)</f>
        <v>1.67E-2</v>
      </c>
      <c r="AE14" s="1557">
        <f>ROUND(AVERAGE(J14:J$22)/100,4)</f>
        <v>1.38E-2</v>
      </c>
      <c r="AF14" s="1557">
        <f t="shared" si="8"/>
        <v>1.38E-2</v>
      </c>
      <c r="AG14" s="1557">
        <f>ROUND(AVERAGE(K14:K$22)/100,4)</f>
        <v>1.7899999999999999E-2</v>
      </c>
      <c r="AH14" s="1557">
        <f>ROUND(AVERAGE(L14:L$22)/100,4)</f>
        <v>1.21E-2</v>
      </c>
    </row>
    <row r="15" spans="1:34" ht="13.5" thickBot="1">
      <c r="A15" s="1558" t="s">
        <v>101</v>
      </c>
      <c r="B15" s="1567">
        <v>333</v>
      </c>
      <c r="C15" s="1567">
        <v>277</v>
      </c>
      <c r="D15" s="1567">
        <f t="shared" si="10"/>
        <v>277</v>
      </c>
      <c r="E15" s="1567">
        <v>459</v>
      </c>
      <c r="F15" s="1568">
        <v>249</v>
      </c>
      <c r="G15" s="3082">
        <v>2015</v>
      </c>
      <c r="H15" s="1580">
        <v>4</v>
      </c>
      <c r="I15" s="1580">
        <v>1.63</v>
      </c>
      <c r="J15" s="1580">
        <v>1.1100000000000001</v>
      </c>
      <c r="K15" s="1580">
        <v>1.77</v>
      </c>
      <c r="L15" s="1581">
        <v>1.89</v>
      </c>
      <c r="N15" s="1582">
        <f t="shared" si="12"/>
        <v>1.6299999999999999E-2</v>
      </c>
      <c r="O15" s="1583">
        <f t="shared" si="7"/>
        <v>1.11E-2</v>
      </c>
      <c r="P15" s="1583">
        <f t="shared" si="7"/>
        <v>1.77E-2</v>
      </c>
      <c r="Q15" s="1583">
        <f t="shared" si="7"/>
        <v>1.89E-2</v>
      </c>
      <c r="R15" s="1572"/>
      <c r="X15" s="1556">
        <f>ROUND(SUMPRODUCT(PRODUCT(1+N15:N$21)),4)</f>
        <v>1.0826</v>
      </c>
      <c r="Y15" s="1556">
        <f>ROUND(SUMPRODUCT(PRODUCT(1+O15:O$21)),4)</f>
        <v>1.0738000000000001</v>
      </c>
      <c r="Z15" s="1556">
        <f t="shared" si="0"/>
        <v>1.0738000000000001</v>
      </c>
      <c r="AA15" s="1556">
        <f>ROUND(SUMPRODUCT(PRODUCT(1+P15:P$21)),4)</f>
        <v>1.0855999999999999</v>
      </c>
      <c r="AB15" s="1556">
        <f>ROUND(SUMPRODUCT(PRODUCT(1+Q15:Q$21)),4)</f>
        <v>1.0837000000000001</v>
      </c>
      <c r="AD15" s="1557">
        <f>ROUND(AVERAGE(I15:I$22)/100,4)</f>
        <v>1.37E-2</v>
      </c>
      <c r="AE15" s="1557">
        <f>ROUND(AVERAGE(J15:J$22)/100,4)</f>
        <v>1.1900000000000001E-2</v>
      </c>
      <c r="AF15" s="1557">
        <f t="shared" si="8"/>
        <v>1.1900000000000001E-2</v>
      </c>
      <c r="AG15" s="1557">
        <f>ROUND(AVERAGE(K15:K$22)/100,4)</f>
        <v>1.4500000000000001E-2</v>
      </c>
      <c r="AH15" s="1557">
        <f>ROUND(AVERAGE(L15:L$22)/100,4)</f>
        <v>1.18E-2</v>
      </c>
    </row>
    <row r="16" spans="1:34">
      <c r="A16" s="1558" t="s">
        <v>100</v>
      </c>
      <c r="B16" s="1575">
        <f t="shared" ref="B16:C18" si="13">B15/(1+N15)</f>
        <v>327.65915576109415</v>
      </c>
      <c r="C16" s="1575">
        <f t="shared" si="13"/>
        <v>273.95905449510434</v>
      </c>
      <c r="D16" s="1575">
        <f t="shared" si="10"/>
        <v>273.95905449510434</v>
      </c>
      <c r="E16" s="1575">
        <f t="shared" ref="E16:F18" si="14">E15/(1+P15)</f>
        <v>451.01699911565294</v>
      </c>
      <c r="F16" s="1575">
        <f t="shared" si="14"/>
        <v>244.38119540681129</v>
      </c>
      <c r="G16" s="3083"/>
      <c r="H16" s="1585">
        <v>3</v>
      </c>
      <c r="I16" s="1585">
        <v>1.65</v>
      </c>
      <c r="J16" s="1585">
        <v>0.92</v>
      </c>
      <c r="K16" s="1585">
        <v>1.88</v>
      </c>
      <c r="L16" s="1586">
        <v>1.26</v>
      </c>
      <c r="N16" s="1570">
        <f t="shared" si="12"/>
        <v>1.6500000000000001E-2</v>
      </c>
      <c r="O16" s="1587">
        <f t="shared" si="7"/>
        <v>9.1999999999999998E-3</v>
      </c>
      <c r="P16" s="1587">
        <f t="shared" si="7"/>
        <v>1.8799999999999997E-2</v>
      </c>
      <c r="Q16" s="1587">
        <f t="shared" si="7"/>
        <v>1.26E-2</v>
      </c>
      <c r="R16" s="1572"/>
      <c r="S16" s="1570"/>
      <c r="T16" s="1571"/>
      <c r="U16" s="1571"/>
      <c r="V16" s="1571"/>
      <c r="X16" s="1556">
        <f>ROUND(SUMPRODUCT(PRODUCT(1+N16:N$21)),4)</f>
        <v>1.0651999999999999</v>
      </c>
      <c r="Y16" s="1556">
        <f>ROUND(SUMPRODUCT(PRODUCT(1+O16:O$21)),4)</f>
        <v>1.0621</v>
      </c>
      <c r="Z16" s="1556">
        <f t="shared" si="0"/>
        <v>1.0621</v>
      </c>
      <c r="AA16" s="1556">
        <f>ROUND(SUMPRODUCT(PRODUCT(1+P16:P$21)),4)</f>
        <v>1.0668</v>
      </c>
      <c r="AB16" s="1556">
        <f>ROUND(SUMPRODUCT(PRODUCT(1+Q16:Q$21)),4)</f>
        <v>1.0636000000000001</v>
      </c>
      <c r="AD16" s="1557">
        <f>ROUND(AVERAGE(I16:I$22)/100,4)</f>
        <v>1.3299999999999999E-2</v>
      </c>
      <c r="AE16" s="1557">
        <f>ROUND(AVERAGE(J16:J$22)/100,4)</f>
        <v>1.2E-2</v>
      </c>
      <c r="AF16" s="1557">
        <f t="shared" si="8"/>
        <v>1.2E-2</v>
      </c>
      <c r="AG16" s="1557">
        <f>ROUND(AVERAGE(K16:K$22)/100,4)</f>
        <v>1.4E-2</v>
      </c>
      <c r="AH16" s="1557">
        <f>ROUND(AVERAGE(L16:L$22)/100,4)</f>
        <v>1.0800000000000001E-2</v>
      </c>
    </row>
    <row r="17" spans="1:34">
      <c r="A17" s="1558" t="s">
        <v>99</v>
      </c>
      <c r="B17" s="1575">
        <f t="shared" si="13"/>
        <v>322.34053690220776</v>
      </c>
      <c r="C17" s="1575">
        <f t="shared" si="13"/>
        <v>271.46160770422546</v>
      </c>
      <c r="D17" s="1575">
        <f t="shared" si="10"/>
        <v>271.46160770422546</v>
      </c>
      <c r="E17" s="1575">
        <f t="shared" si="14"/>
        <v>442.69434542172456</v>
      </c>
      <c r="F17" s="1575">
        <f t="shared" si="14"/>
        <v>241.34030753190925</v>
      </c>
      <c r="G17" s="3083"/>
      <c r="H17" s="1562">
        <v>2</v>
      </c>
      <c r="I17" s="1562">
        <v>0.77</v>
      </c>
      <c r="J17" s="1562">
        <v>0.69</v>
      </c>
      <c r="K17" s="1562">
        <v>0.8</v>
      </c>
      <c r="L17" s="1577">
        <v>0.88</v>
      </c>
      <c r="N17" s="1570">
        <f t="shared" si="12"/>
        <v>7.7000000000000002E-3</v>
      </c>
      <c r="O17" s="1587">
        <f t="shared" si="7"/>
        <v>6.8999999999999999E-3</v>
      </c>
      <c r="P17" s="1587">
        <f t="shared" si="7"/>
        <v>8.0000000000000002E-3</v>
      </c>
      <c r="Q17" s="1587">
        <f t="shared" si="7"/>
        <v>8.8000000000000005E-3</v>
      </c>
      <c r="R17" s="1572"/>
      <c r="S17" s="1570"/>
      <c r="T17" s="1571"/>
      <c r="U17" s="1571"/>
      <c r="V17" s="1571"/>
      <c r="X17" s="1556">
        <f>ROUND(SUMPRODUCT(PRODUCT(1+N17:N$21)),4)</f>
        <v>1.048</v>
      </c>
      <c r="Y17" s="1556">
        <f>ROUND(SUMPRODUCT(PRODUCT(1+O17:O$21)),4)</f>
        <v>1.0524</v>
      </c>
      <c r="Z17" s="1556">
        <f t="shared" si="0"/>
        <v>1.0524</v>
      </c>
      <c r="AA17" s="1556">
        <f>ROUND(SUMPRODUCT(PRODUCT(1+P17:P$21)),4)</f>
        <v>1.0470999999999999</v>
      </c>
      <c r="AB17" s="1556">
        <f>ROUND(SUMPRODUCT(PRODUCT(1+Q17:Q$21)),4)</f>
        <v>1.0504</v>
      </c>
      <c r="AD17" s="1557">
        <f>ROUND(AVERAGE(I17:I$22)/100,4)</f>
        <v>1.2800000000000001E-2</v>
      </c>
      <c r="AE17" s="1557">
        <f>ROUND(AVERAGE(J17:J$22)/100,4)</f>
        <v>1.2500000000000001E-2</v>
      </c>
      <c r="AF17" s="1557">
        <f t="shared" si="8"/>
        <v>1.2500000000000001E-2</v>
      </c>
      <c r="AG17" s="1557">
        <f>ROUND(AVERAGE(K17:K$22)/100,4)</f>
        <v>1.32E-2</v>
      </c>
      <c r="AH17" s="1557">
        <f>ROUND(AVERAGE(L17:L$22)/100,4)</f>
        <v>1.0500000000000001E-2</v>
      </c>
    </row>
    <row r="18" spans="1:34">
      <c r="A18" s="1558" t="s">
        <v>98</v>
      </c>
      <c r="B18" s="1575">
        <f t="shared" si="13"/>
        <v>319.87748030386797</v>
      </c>
      <c r="C18" s="1575">
        <f t="shared" si="13"/>
        <v>269.60135833173649</v>
      </c>
      <c r="D18" s="1575">
        <f t="shared" si="10"/>
        <v>269.60135833173649</v>
      </c>
      <c r="E18" s="1575">
        <f t="shared" si="14"/>
        <v>439.18089823583784</v>
      </c>
      <c r="F18" s="1575">
        <f t="shared" si="14"/>
        <v>239.23503918706311</v>
      </c>
      <c r="G18" s="3084"/>
      <c r="H18" s="1561">
        <v>1</v>
      </c>
      <c r="I18" s="1561">
        <v>0.51</v>
      </c>
      <c r="J18" s="1561">
        <v>0.54</v>
      </c>
      <c r="K18" s="1561">
        <v>0.48</v>
      </c>
      <c r="L18" s="1576">
        <v>0.93</v>
      </c>
      <c r="N18" s="1578">
        <f t="shared" si="12"/>
        <v>5.1000000000000004E-3</v>
      </c>
      <c r="O18" s="1579">
        <f t="shared" si="7"/>
        <v>5.4000000000000003E-3</v>
      </c>
      <c r="P18" s="1579">
        <f t="shared" si="7"/>
        <v>4.7999999999999996E-3</v>
      </c>
      <c r="Q18" s="1579">
        <f t="shared" si="7"/>
        <v>9.300000000000001E-3</v>
      </c>
      <c r="R18" s="1572"/>
      <c r="S18" s="1578">
        <f>B18/B19-1</f>
        <v>5.9040261127922822E-3</v>
      </c>
      <c r="T18" s="1579">
        <f>C18/C19-1</f>
        <v>5.9752176557332781E-3</v>
      </c>
      <c r="U18" s="1579">
        <f>E18/E19-1</f>
        <v>4.9906138119859556E-3</v>
      </c>
      <c r="V18" s="1579">
        <f>F18/F19-1</f>
        <v>9.4305450930933787E-3</v>
      </c>
      <c r="X18" s="1556">
        <f>ROUND(SUMPRODUCT(PRODUCT(1+N18:N$21)),4)</f>
        <v>1.0399</v>
      </c>
      <c r="Y18" s="1556">
        <f>ROUND(SUMPRODUCT(PRODUCT(1+O18:O$21)),4)</f>
        <v>1.0451999999999999</v>
      </c>
      <c r="Z18" s="1556">
        <f t="shared" si="0"/>
        <v>1.0451999999999999</v>
      </c>
      <c r="AA18" s="1556">
        <f>ROUND(SUMPRODUCT(PRODUCT(1+P18:P$21)),4)</f>
        <v>1.0387999999999999</v>
      </c>
      <c r="AB18" s="1556">
        <f>ROUND(SUMPRODUCT(PRODUCT(1+Q18:Q$21)),4)</f>
        <v>1.0411999999999999</v>
      </c>
      <c r="AD18" s="1557">
        <f>ROUND(AVERAGE(I18:I$22)/100,4)</f>
        <v>1.38E-2</v>
      </c>
      <c r="AE18" s="1557">
        <f>ROUND(AVERAGE(J18:J$22)/100,4)</f>
        <v>1.3599999999999999E-2</v>
      </c>
      <c r="AF18" s="1557">
        <f t="shared" si="8"/>
        <v>1.3599999999999999E-2</v>
      </c>
      <c r="AG18" s="1557">
        <f>ROUND(AVERAGE(K18:K$22)/100,4)</f>
        <v>1.4200000000000001E-2</v>
      </c>
      <c r="AH18" s="1557">
        <f>ROUND(AVERAGE(L18:L$22)/100,4)</f>
        <v>1.0800000000000001E-2</v>
      </c>
    </row>
    <row r="19" spans="1:34" ht="13.5" thickBot="1">
      <c r="A19" s="1558" t="s">
        <v>97</v>
      </c>
      <c r="B19" s="1588">
        <v>318</v>
      </c>
      <c r="C19" s="1588">
        <v>268</v>
      </c>
      <c r="D19" s="1588">
        <f t="shared" si="10"/>
        <v>268</v>
      </c>
      <c r="E19" s="1588">
        <v>437</v>
      </c>
      <c r="F19" s="1589">
        <v>237</v>
      </c>
      <c r="G19" s="3082">
        <v>2014</v>
      </c>
      <c r="H19" s="1580">
        <v>4</v>
      </c>
      <c r="I19" s="1580">
        <v>0.21</v>
      </c>
      <c r="J19" s="1580">
        <v>0.41</v>
      </c>
      <c r="K19" s="1580">
        <v>0.12</v>
      </c>
      <c r="L19" s="1581">
        <v>0.89</v>
      </c>
      <c r="N19" s="1570">
        <f t="shared" si="12"/>
        <v>2.0999999999999999E-3</v>
      </c>
      <c r="O19" s="1571">
        <f t="shared" si="7"/>
        <v>4.0999999999999995E-3</v>
      </c>
      <c r="P19" s="1571">
        <f t="shared" si="7"/>
        <v>1.1999999999999999E-3</v>
      </c>
      <c r="Q19" s="1571">
        <f t="shared" si="7"/>
        <v>8.8999999999999999E-3</v>
      </c>
      <c r="R19" s="1572"/>
      <c r="S19" s="1573"/>
      <c r="T19" s="1574"/>
      <c r="U19" s="1574"/>
      <c r="V19" s="1574"/>
      <c r="X19" s="1556">
        <f>ROUND(SUMPRODUCT(PRODUCT(1+N19:N$21)),4)</f>
        <v>1.0347</v>
      </c>
      <c r="Y19" s="1556">
        <f>ROUND(SUMPRODUCT(PRODUCT(1+O19:O$21)),4)</f>
        <v>1.0395000000000001</v>
      </c>
      <c r="Z19" s="1556">
        <f t="shared" si="0"/>
        <v>1.0395000000000001</v>
      </c>
      <c r="AA19" s="1556">
        <f>ROUND(SUMPRODUCT(PRODUCT(1+P19:P$21)),4)</f>
        <v>1.0338000000000001</v>
      </c>
      <c r="AB19" s="1556">
        <f>ROUND(SUMPRODUCT(PRODUCT(1+Q19:Q$21)),4)</f>
        <v>1.0316000000000001</v>
      </c>
      <c r="AD19" s="1557">
        <f>ROUND(AVERAGE(I19:I$22)/100,4)</f>
        <v>1.6E-2</v>
      </c>
      <c r="AE19" s="1557">
        <f>ROUND(AVERAGE(J19:J$22)/100,4)</f>
        <v>1.5599999999999999E-2</v>
      </c>
      <c r="AF19" s="1557">
        <f t="shared" si="8"/>
        <v>1.5599999999999999E-2</v>
      </c>
      <c r="AG19" s="1557">
        <f>ROUND(AVERAGE(K19:K$22)/100,4)</f>
        <v>1.66E-2</v>
      </c>
      <c r="AH19" s="1557">
        <f>ROUND(AVERAGE(L19:L$22)/100,4)</f>
        <v>1.12E-2</v>
      </c>
    </row>
    <row r="20" spans="1:34">
      <c r="A20" s="1558" t="s">
        <v>96</v>
      </c>
      <c r="B20" s="1575">
        <f t="shared" ref="B20:C22" si="15">B19/(1+N19)</f>
        <v>317.33359944117353</v>
      </c>
      <c r="C20" s="1575">
        <f t="shared" si="15"/>
        <v>266.90568668459315</v>
      </c>
      <c r="D20" s="1575">
        <f t="shared" si="10"/>
        <v>266.90568668459315</v>
      </c>
      <c r="E20" s="1575">
        <f t="shared" ref="E20:F22" si="16">E19/(1+P19)</f>
        <v>436.47622852576905</v>
      </c>
      <c r="F20" s="1575">
        <f t="shared" si="16"/>
        <v>234.90930716622066</v>
      </c>
      <c r="G20" s="3083"/>
      <c r="H20" s="1590">
        <v>3</v>
      </c>
      <c r="I20" s="1590">
        <v>0.83</v>
      </c>
      <c r="J20" s="1590">
        <v>1.47</v>
      </c>
      <c r="K20" s="1590">
        <v>0.65</v>
      </c>
      <c r="L20" s="1591">
        <v>0.72</v>
      </c>
      <c r="N20" s="1570">
        <f t="shared" si="12"/>
        <v>8.3000000000000001E-3</v>
      </c>
      <c r="O20" s="1571">
        <f t="shared" si="7"/>
        <v>1.47E-2</v>
      </c>
      <c r="P20" s="1571">
        <f t="shared" si="7"/>
        <v>6.5000000000000006E-3</v>
      </c>
      <c r="Q20" s="1571">
        <f t="shared" si="7"/>
        <v>7.1999999999999998E-3</v>
      </c>
      <c r="R20" s="1572"/>
      <c r="S20" s="1570"/>
      <c r="T20" s="1571"/>
      <c r="U20" s="1571"/>
      <c r="V20" s="1571"/>
      <c r="X20" s="1556">
        <f>ROUND(SUMPRODUCT(PRODUCT(1+N20:N$21)),4)</f>
        <v>1.0325</v>
      </c>
      <c r="Y20" s="1556">
        <f>ROUND(SUMPRODUCT(PRODUCT(1+O20:O$21)),4)</f>
        <v>1.0353000000000001</v>
      </c>
      <c r="Z20" s="1556">
        <f>Y20</f>
        <v>1.0353000000000001</v>
      </c>
      <c r="AA20" s="1556">
        <f>ROUND(SUMPRODUCT(PRODUCT(1+P20:P$21)),4)</f>
        <v>1.0326</v>
      </c>
      <c r="AB20" s="1556">
        <f>ROUND(SUMPRODUCT(PRODUCT(1+Q20:Q$21)),4)</f>
        <v>1.0225</v>
      </c>
      <c r="AD20" s="1557">
        <f>ROUND(AVERAGE(I20:I$22)/100,4)</f>
        <v>2.07E-2</v>
      </c>
      <c r="AE20" s="1557">
        <f>ROUND(AVERAGE(J20:J$22)/100,4)</f>
        <v>1.95E-2</v>
      </c>
      <c r="AF20" s="1557">
        <f t="shared" si="8"/>
        <v>1.95E-2</v>
      </c>
      <c r="AG20" s="1557">
        <f>ROUND(AVERAGE(K20:K$22)/100,4)</f>
        <v>2.1700000000000001E-2</v>
      </c>
      <c r="AH20" s="1557">
        <f>ROUND(AVERAGE(L20:L$22)/100,4)</f>
        <v>1.2E-2</v>
      </c>
    </row>
    <row r="21" spans="1:34" ht="13.5" thickBot="1">
      <c r="A21" s="1558" t="s">
        <v>95</v>
      </c>
      <c r="B21" s="1575">
        <f t="shared" si="15"/>
        <v>314.72141172386546</v>
      </c>
      <c r="C21" s="1575">
        <f t="shared" si="15"/>
        <v>263.03901319069001</v>
      </c>
      <c r="D21" s="1575">
        <f t="shared" si="10"/>
        <v>263.03901319069001</v>
      </c>
      <c r="E21" s="1575">
        <f t="shared" si="16"/>
        <v>433.65745506782821</v>
      </c>
      <c r="F21" s="1575">
        <f t="shared" si="16"/>
        <v>233.23005080045735</v>
      </c>
      <c r="G21" s="3083"/>
      <c r="H21" s="1580">
        <v>2</v>
      </c>
      <c r="I21" s="1580">
        <v>2.4</v>
      </c>
      <c r="J21" s="1580">
        <v>2.0299999999999998</v>
      </c>
      <c r="K21" s="1580">
        <v>2.59</v>
      </c>
      <c r="L21" s="1581">
        <v>1.52</v>
      </c>
      <c r="N21" s="1570">
        <f t="shared" si="12"/>
        <v>2.4E-2</v>
      </c>
      <c r="O21" s="1571">
        <f t="shared" si="7"/>
        <v>2.0299999999999999E-2</v>
      </c>
      <c r="P21" s="1571">
        <f t="shared" si="7"/>
        <v>2.5899999999999999E-2</v>
      </c>
      <c r="Q21" s="1571">
        <f t="shared" si="7"/>
        <v>1.52E-2</v>
      </c>
      <c r="R21" s="1572"/>
      <c r="S21" s="1570"/>
      <c r="T21" s="1571"/>
      <c r="U21" s="1571"/>
      <c r="V21" s="1571"/>
      <c r="X21" s="1556">
        <f>1+N21</f>
        <v>1.024</v>
      </c>
      <c r="Y21" s="1556">
        <f>1+O21</f>
        <v>1.0203</v>
      </c>
      <c r="Z21" s="1556">
        <f>Y21</f>
        <v>1.0203</v>
      </c>
      <c r="AA21" s="1556">
        <f>1+P21</f>
        <v>1.0259</v>
      </c>
      <c r="AB21" s="1556">
        <f>1+Q21</f>
        <v>1.0152000000000001</v>
      </c>
      <c r="AD21" s="1557">
        <f>ROUND(AVERAGE(I21:I$22)/100,4)</f>
        <v>2.69E-2</v>
      </c>
      <c r="AE21" s="1557">
        <f>ROUND(AVERAGE(J21:J$22)/100,4)</f>
        <v>2.1899999999999999E-2</v>
      </c>
      <c r="AF21" s="1557">
        <f>AE21</f>
        <v>2.1899999999999999E-2</v>
      </c>
      <c r="AG21" s="1557">
        <f>ROUND(AVERAGE(K21:K$22)/100,4)</f>
        <v>2.9399999999999999E-2</v>
      </c>
      <c r="AH21" s="1557">
        <f>ROUND(AVERAGE(L21:L$22)/100,4)</f>
        <v>1.44E-2</v>
      </c>
    </row>
    <row r="22" spans="1:34" s="1596" customFormat="1" ht="13.5" thickBot="1">
      <c r="A22" s="1592" t="s">
        <v>94</v>
      </c>
      <c r="B22" s="1593">
        <f t="shared" si="15"/>
        <v>307.34512863658733</v>
      </c>
      <c r="C22" s="1593">
        <f t="shared" si="15"/>
        <v>257.80556031626975</v>
      </c>
      <c r="D22" s="1593">
        <f t="shared" si="10"/>
        <v>257.80556031626975</v>
      </c>
      <c r="E22" s="1593">
        <f t="shared" si="16"/>
        <v>422.70928459677179</v>
      </c>
      <c r="F22" s="1593">
        <f t="shared" si="16"/>
        <v>229.73803270336617</v>
      </c>
      <c r="G22" s="3084"/>
      <c r="H22" s="1594">
        <v>1</v>
      </c>
      <c r="I22" s="1594">
        <v>2.97</v>
      </c>
      <c r="J22" s="1594">
        <v>2.34</v>
      </c>
      <c r="K22" s="1594">
        <v>3.28</v>
      </c>
      <c r="L22" s="1595">
        <v>1.36</v>
      </c>
      <c r="N22" s="1597">
        <f t="shared" si="12"/>
        <v>2.9700000000000001E-2</v>
      </c>
      <c r="O22" s="1598">
        <f t="shared" si="7"/>
        <v>2.3399999999999997E-2</v>
      </c>
      <c r="P22" s="1598">
        <f t="shared" si="7"/>
        <v>3.2799999999999996E-2</v>
      </c>
      <c r="Q22" s="1598">
        <f t="shared" si="7"/>
        <v>1.3600000000000001E-2</v>
      </c>
      <c r="R22" s="1599"/>
      <c r="S22" s="1600">
        <f>B22/B23-1</f>
        <v>2.7910129219355539E-2</v>
      </c>
      <c r="T22" s="1601">
        <f>C22/C23-1</f>
        <v>2.3037937762975247E-2</v>
      </c>
      <c r="U22" s="1601">
        <f>E22/E23-1</f>
        <v>3.3519033243940788E-2</v>
      </c>
      <c r="V22" s="1601">
        <f>F22/F23-1</f>
        <v>1.2061818076502862E-2</v>
      </c>
      <c r="W22" s="1602" t="s">
        <v>1218</v>
      </c>
      <c r="X22" s="1603">
        <v>1</v>
      </c>
      <c r="Y22" s="1603">
        <v>1</v>
      </c>
      <c r="Z22" s="1603">
        <v>1</v>
      </c>
      <c r="AA22" s="1603">
        <v>1</v>
      </c>
      <c r="AB22" s="1603">
        <v>1</v>
      </c>
      <c r="AD22" s="1810">
        <f>I22/100</f>
        <v>2.9700000000000001E-2</v>
      </c>
      <c r="AE22" s="1810">
        <f>J22/100</f>
        <v>2.3399999999999997E-2</v>
      </c>
      <c r="AF22" s="1810">
        <f>AE22</f>
        <v>2.3399999999999997E-2</v>
      </c>
      <c r="AG22" s="1810">
        <f>K22/100</f>
        <v>3.2799999999999996E-2</v>
      </c>
      <c r="AH22" s="1810">
        <f>L22/100</f>
        <v>1.3600000000000001E-2</v>
      </c>
    </row>
    <row r="23" spans="1:34" ht="13.5" thickBot="1">
      <c r="A23" s="1558" t="s">
        <v>1051</v>
      </c>
      <c r="B23" s="1567">
        <v>299</v>
      </c>
      <c r="C23" s="1567">
        <v>252</v>
      </c>
      <c r="D23" s="1567">
        <f t="shared" si="10"/>
        <v>252</v>
      </c>
      <c r="E23" s="1567">
        <v>409</v>
      </c>
      <c r="F23" s="1568">
        <v>227</v>
      </c>
      <c r="G23" s="3089">
        <v>2013</v>
      </c>
      <c r="H23" s="1604">
        <v>4</v>
      </c>
      <c r="I23" s="1604">
        <v>1.83</v>
      </c>
      <c r="J23" s="1604">
        <v>1.68</v>
      </c>
      <c r="K23" s="1604">
        <v>1.97</v>
      </c>
      <c r="L23" s="1605">
        <v>0.87</v>
      </c>
      <c r="N23" s="1582">
        <f t="shared" si="12"/>
        <v>1.83E-2</v>
      </c>
      <c r="O23" s="1583">
        <f t="shared" si="7"/>
        <v>1.6799999999999999E-2</v>
      </c>
      <c r="P23" s="1583">
        <f t="shared" si="7"/>
        <v>1.9699999999999999E-2</v>
      </c>
      <c r="Q23" s="1583">
        <f t="shared" si="7"/>
        <v>8.6999999999999994E-3</v>
      </c>
      <c r="R23" s="1572"/>
      <c r="S23" s="1573"/>
      <c r="T23" s="1574"/>
      <c r="U23" s="1574"/>
      <c r="V23" s="1574"/>
      <c r="X23" s="1574"/>
      <c r="Y23" s="1574"/>
      <c r="Z23" s="1574"/>
    </row>
    <row r="24" spans="1:34">
      <c r="A24" s="1558" t="s">
        <v>1052</v>
      </c>
      <c r="B24" s="1575">
        <f t="shared" ref="B24:C26" si="17">B23/(1+N23)</f>
        <v>293.62663262299913</v>
      </c>
      <c r="C24" s="1575">
        <f t="shared" si="17"/>
        <v>247.83634933123525</v>
      </c>
      <c r="D24" s="1575">
        <f t="shared" si="10"/>
        <v>247.83634933123525</v>
      </c>
      <c r="E24" s="1575">
        <f t="shared" ref="E24:F26" si="18">E23/(1+P23)</f>
        <v>401.09836226341076</v>
      </c>
      <c r="F24" s="1575">
        <f t="shared" si="18"/>
        <v>225.04213343908003</v>
      </c>
      <c r="G24" s="3090"/>
      <c r="H24" s="1585">
        <v>3</v>
      </c>
      <c r="I24" s="1585">
        <v>1.86</v>
      </c>
      <c r="J24" s="1585">
        <v>1.72</v>
      </c>
      <c r="K24" s="1585">
        <v>1.98</v>
      </c>
      <c r="L24" s="1586">
        <v>0.88</v>
      </c>
      <c r="N24" s="1570">
        <f t="shared" si="12"/>
        <v>1.8600000000000002E-2</v>
      </c>
      <c r="O24" s="1587">
        <f t="shared" si="7"/>
        <v>1.72E-2</v>
      </c>
      <c r="P24" s="1587">
        <f t="shared" si="7"/>
        <v>1.9799999999999998E-2</v>
      </c>
      <c r="Q24" s="1587">
        <f t="shared" si="7"/>
        <v>8.8000000000000005E-3</v>
      </c>
      <c r="R24" s="1572"/>
      <c r="S24" s="1570"/>
      <c r="T24" s="1571"/>
      <c r="U24" s="1571"/>
      <c r="V24" s="1571"/>
    </row>
    <row r="25" spans="1:34">
      <c r="A25" s="1558" t="s">
        <v>1053</v>
      </c>
      <c r="B25" s="1575">
        <f t="shared" si="17"/>
        <v>288.2649053828776</v>
      </c>
      <c r="C25" s="1575">
        <f t="shared" si="17"/>
        <v>243.64564425013293</v>
      </c>
      <c r="D25" s="1575">
        <f t="shared" si="10"/>
        <v>243.64564425013293</v>
      </c>
      <c r="E25" s="1575">
        <f t="shared" si="18"/>
        <v>393.31080825986544</v>
      </c>
      <c r="F25" s="1575">
        <f t="shared" si="18"/>
        <v>223.07903790551154</v>
      </c>
      <c r="G25" s="3090"/>
      <c r="H25" s="1562">
        <v>2</v>
      </c>
      <c r="I25" s="1562">
        <v>2.04</v>
      </c>
      <c r="J25" s="1562">
        <v>2.33</v>
      </c>
      <c r="K25" s="1562">
        <v>2.0699999999999998</v>
      </c>
      <c r="L25" s="1577">
        <v>0.69</v>
      </c>
      <c r="N25" s="1570">
        <f t="shared" si="12"/>
        <v>2.0400000000000001E-2</v>
      </c>
      <c r="O25" s="1587">
        <f t="shared" si="7"/>
        <v>2.3300000000000001E-2</v>
      </c>
      <c r="P25" s="1587">
        <f t="shared" si="7"/>
        <v>2.07E-2</v>
      </c>
      <c r="Q25" s="1587">
        <f t="shared" si="7"/>
        <v>6.8999999999999999E-3</v>
      </c>
      <c r="R25" s="1572"/>
      <c r="S25" s="1570"/>
      <c r="T25" s="1571"/>
      <c r="U25" s="1571"/>
      <c r="V25" s="1571"/>
      <c r="X25" s="1606"/>
      <c r="Y25" s="1607"/>
    </row>
    <row r="26" spans="1:34">
      <c r="A26" s="1558" t="s">
        <v>1054</v>
      </c>
      <c r="B26" s="1575">
        <f t="shared" si="17"/>
        <v>282.50186729015837</v>
      </c>
      <c r="C26" s="1575">
        <f t="shared" si="17"/>
        <v>238.09796174155468</v>
      </c>
      <c r="D26" s="1575">
        <f t="shared" si="10"/>
        <v>238.09796174155468</v>
      </c>
      <c r="E26" s="1575">
        <f t="shared" si="18"/>
        <v>385.33438646014054</v>
      </c>
      <c r="F26" s="1575">
        <f t="shared" si="18"/>
        <v>221.55034055567739</v>
      </c>
      <c r="G26" s="3091"/>
      <c r="H26" s="1561">
        <v>1</v>
      </c>
      <c r="I26" s="1561">
        <v>1.67</v>
      </c>
      <c r="J26" s="1561">
        <v>1.31</v>
      </c>
      <c r="K26" s="1561">
        <v>1.85</v>
      </c>
      <c r="L26" s="1576">
        <v>0.96</v>
      </c>
      <c r="N26" s="1578">
        <f t="shared" si="12"/>
        <v>1.67E-2</v>
      </c>
      <c r="O26" s="1579">
        <f t="shared" si="12"/>
        <v>1.3100000000000001E-2</v>
      </c>
      <c r="P26" s="1579">
        <f t="shared" si="12"/>
        <v>1.8500000000000003E-2</v>
      </c>
      <c r="Q26" s="1579">
        <f t="shared" si="12"/>
        <v>9.5999999999999992E-3</v>
      </c>
      <c r="R26" s="1572"/>
      <c r="S26" s="1578">
        <f>B26/B27-1</f>
        <v>1.6193767230785472E-2</v>
      </c>
      <c r="T26" s="1579">
        <f>C26/C27-1</f>
        <v>1.7512657015190891E-2</v>
      </c>
      <c r="U26" s="1579">
        <f>E26/E27-1</f>
        <v>1.6713420739157048E-2</v>
      </c>
      <c r="V26" s="1579">
        <f>F26/F27-1</f>
        <v>7.0470025258062563E-3</v>
      </c>
      <c r="X26" s="1608"/>
      <c r="Y26" s="1557"/>
      <c r="Z26" s="1557"/>
    </row>
    <row r="27" spans="1:34" ht="13.5" thickBot="1">
      <c r="A27" s="1558" t="s">
        <v>1055</v>
      </c>
      <c r="B27" s="1609">
        <v>278</v>
      </c>
      <c r="C27" s="1609">
        <v>234</v>
      </c>
      <c r="D27" s="1609">
        <f t="shared" si="10"/>
        <v>234</v>
      </c>
      <c r="E27" s="1609">
        <v>379</v>
      </c>
      <c r="F27" s="1610">
        <v>220</v>
      </c>
      <c r="G27" s="3082">
        <v>2012</v>
      </c>
      <c r="H27" s="1580">
        <v>4</v>
      </c>
      <c r="I27" s="1580">
        <v>0.91</v>
      </c>
      <c r="J27" s="1580">
        <v>0.68</v>
      </c>
      <c r="K27" s="1580">
        <v>0.98</v>
      </c>
      <c r="L27" s="1581">
        <v>0.9</v>
      </c>
      <c r="N27" s="1570">
        <f t="shared" si="12"/>
        <v>9.1000000000000004E-3</v>
      </c>
      <c r="O27" s="1571">
        <f t="shared" si="12"/>
        <v>6.8000000000000005E-3</v>
      </c>
      <c r="P27" s="1571">
        <f t="shared" si="12"/>
        <v>9.7999999999999997E-3</v>
      </c>
      <c r="Q27" s="1571">
        <f t="shared" si="12"/>
        <v>9.0000000000000011E-3</v>
      </c>
      <c r="R27" s="1572"/>
      <c r="S27" s="1573"/>
      <c r="T27" s="1574"/>
      <c r="U27" s="1574"/>
      <c r="V27" s="1574"/>
      <c r="X27" s="1574"/>
      <c r="Y27" s="1574"/>
      <c r="Z27" s="1574"/>
    </row>
    <row r="28" spans="1:34">
      <c r="A28" s="1558" t="s">
        <v>1056</v>
      </c>
      <c r="B28" s="1575">
        <f>B27/(1+N27)</f>
        <v>275.49301357645425</v>
      </c>
      <c r="C28" s="1575">
        <f>C27/(1+O27)</f>
        <v>232.41954707985698</v>
      </c>
      <c r="D28" s="1575">
        <f t="shared" si="10"/>
        <v>232.41954707985698</v>
      </c>
      <c r="E28" s="1575">
        <f t="shared" ref="E28:F30" si="19">E27/(1+P27)</f>
        <v>375.32184591008121</v>
      </c>
      <c r="F28" s="1575">
        <f t="shared" si="19"/>
        <v>218.03766105054513</v>
      </c>
      <c r="G28" s="3083"/>
      <c r="H28" s="1585">
        <v>3</v>
      </c>
      <c r="I28" s="1585">
        <v>0.09</v>
      </c>
      <c r="J28" s="1585">
        <v>0.28999999999999998</v>
      </c>
      <c r="K28" s="1585">
        <v>-0.01</v>
      </c>
      <c r="L28" s="1586">
        <v>0.57999999999999996</v>
      </c>
      <c r="N28" s="1570">
        <f t="shared" si="12"/>
        <v>8.9999999999999998E-4</v>
      </c>
      <c r="O28" s="1571">
        <f t="shared" si="12"/>
        <v>2.8999999999999998E-3</v>
      </c>
      <c r="P28" s="1571">
        <f t="shared" si="12"/>
        <v>-1E-4</v>
      </c>
      <c r="Q28" s="1571">
        <f t="shared" si="12"/>
        <v>5.7999999999999996E-3</v>
      </c>
      <c r="R28" s="1572"/>
      <c r="S28" s="1570"/>
      <c r="T28" s="1571"/>
      <c r="U28" s="1571"/>
      <c r="V28" s="1571"/>
    </row>
    <row r="29" spans="1:34">
      <c r="A29" s="1558" t="s">
        <v>1057</v>
      </c>
      <c r="B29" s="1575">
        <f>B28/(1+N28)</f>
        <v>275.24529281292263</v>
      </c>
      <c r="C29" s="1575">
        <f>C28/(1+O28)</f>
        <v>231.74747938962707</v>
      </c>
      <c r="D29" s="1575">
        <f t="shared" si="10"/>
        <v>231.74747938962707</v>
      </c>
      <c r="E29" s="1575">
        <f t="shared" si="19"/>
        <v>375.35938184826603</v>
      </c>
      <c r="F29" s="1575">
        <f t="shared" si="19"/>
        <v>216.78033510692495</v>
      </c>
      <c r="G29" s="3083"/>
      <c r="H29" s="1562">
        <v>2</v>
      </c>
      <c r="I29" s="1562">
        <v>0.02</v>
      </c>
      <c r="J29" s="1562">
        <v>0.12</v>
      </c>
      <c r="K29" s="1562">
        <v>-0.08</v>
      </c>
      <c r="L29" s="1577">
        <v>1.24</v>
      </c>
      <c r="N29" s="1570">
        <f t="shared" si="12"/>
        <v>2.0000000000000001E-4</v>
      </c>
      <c r="O29" s="1571">
        <f t="shared" si="12"/>
        <v>1.1999999999999999E-3</v>
      </c>
      <c r="P29" s="1571">
        <f t="shared" si="12"/>
        <v>-8.0000000000000004E-4</v>
      </c>
      <c r="Q29" s="1571">
        <f t="shared" si="12"/>
        <v>1.24E-2</v>
      </c>
      <c r="R29" s="1572"/>
      <c r="S29" s="1570"/>
      <c r="T29" s="1571"/>
      <c r="U29" s="1571"/>
      <c r="V29" s="1571"/>
    </row>
    <row r="30" spans="1:34" ht="13.5" thickBot="1">
      <c r="A30" s="1558" t="s">
        <v>1058</v>
      </c>
      <c r="B30" s="1575">
        <f>B29/(1+N29)</f>
        <v>275.19025476197027</v>
      </c>
      <c r="C30" s="1611">
        <v>232</v>
      </c>
      <c r="D30" s="1611">
        <f t="shared" si="10"/>
        <v>232</v>
      </c>
      <c r="E30" s="1575">
        <f t="shared" si="19"/>
        <v>375.65990977608692</v>
      </c>
      <c r="F30" s="1575">
        <f t="shared" si="19"/>
        <v>214.12518283971252</v>
      </c>
      <c r="G30" s="3084"/>
      <c r="H30" s="1561">
        <v>1</v>
      </c>
      <c r="I30" s="1561">
        <v>0.02</v>
      </c>
      <c r="J30" s="1561">
        <v>0.13</v>
      </c>
      <c r="K30" s="1561">
        <v>-0.04</v>
      </c>
      <c r="L30" s="1576">
        <v>0.46</v>
      </c>
      <c r="N30" s="1570">
        <f t="shared" si="12"/>
        <v>2.0000000000000001E-4</v>
      </c>
      <c r="O30" s="1571">
        <f t="shared" si="12"/>
        <v>1.2999999999999999E-3</v>
      </c>
      <c r="P30" s="1571">
        <f t="shared" si="12"/>
        <v>-4.0000000000000002E-4</v>
      </c>
      <c r="Q30" s="1571">
        <f t="shared" si="12"/>
        <v>4.5999999999999999E-3</v>
      </c>
      <c r="R30" s="1572"/>
      <c r="S30" s="1578">
        <f>B30/B31-1</f>
        <v>6.9183549807361189E-4</v>
      </c>
      <c r="T30" s="1579">
        <f>C30/C31-1</f>
        <v>0</v>
      </c>
      <c r="U30" s="1579">
        <f>E30/E31-1</f>
        <v>-9.0449527636460303E-4</v>
      </c>
      <c r="V30" s="1579">
        <f>F30/F31-1</f>
        <v>5.2825485432512753E-3</v>
      </c>
      <c r="X30" s="1557"/>
      <c r="Y30" s="1557"/>
      <c r="Z30" s="1557"/>
    </row>
    <row r="31" spans="1:34" ht="13.5" thickBot="1">
      <c r="A31" s="1558" t="s">
        <v>1059</v>
      </c>
      <c r="B31" s="1567">
        <v>275</v>
      </c>
      <c r="C31" s="1567">
        <v>232</v>
      </c>
      <c r="D31" s="1567">
        <f t="shared" si="10"/>
        <v>232</v>
      </c>
      <c r="E31" s="1567">
        <v>376</v>
      </c>
      <c r="F31" s="1568">
        <v>213</v>
      </c>
      <c r="G31" s="3082">
        <v>2011</v>
      </c>
      <c r="H31" s="1580">
        <v>4</v>
      </c>
      <c r="I31" s="1580">
        <v>-0.2</v>
      </c>
      <c r="J31" s="1580">
        <v>0.04</v>
      </c>
      <c r="K31" s="1580">
        <v>-0.34</v>
      </c>
      <c r="L31" s="1581">
        <v>0.46</v>
      </c>
      <c r="N31" s="1582">
        <f t="shared" si="12"/>
        <v>-2E-3</v>
      </c>
      <c r="O31" s="1583">
        <f t="shared" si="12"/>
        <v>4.0000000000000002E-4</v>
      </c>
      <c r="P31" s="1583">
        <f t="shared" si="12"/>
        <v>-3.4000000000000002E-3</v>
      </c>
      <c r="Q31" s="1583">
        <f t="shared" si="12"/>
        <v>4.5999999999999999E-3</v>
      </c>
      <c r="R31" s="1572"/>
      <c r="S31" s="1573"/>
      <c r="T31" s="1574"/>
      <c r="U31" s="1574"/>
      <c r="V31" s="1574"/>
      <c r="X31" s="1574"/>
      <c r="Y31" s="1574"/>
      <c r="Z31" s="1574"/>
    </row>
    <row r="32" spans="1:34">
      <c r="A32" s="1558" t="s">
        <v>1060</v>
      </c>
      <c r="B32" s="1575">
        <f t="shared" ref="B32:C34" si="20">B31/(1+N31)</f>
        <v>275.55110220440883</v>
      </c>
      <c r="C32" s="1575">
        <f t="shared" si="20"/>
        <v>231.90723710515795</v>
      </c>
      <c r="D32" s="1575">
        <f t="shared" si="10"/>
        <v>231.90723710515795</v>
      </c>
      <c r="E32" s="1575">
        <f t="shared" ref="E32:F34" si="21">E31/(1+P31)</f>
        <v>377.28276138872161</v>
      </c>
      <c r="F32" s="1575">
        <f t="shared" si="21"/>
        <v>212.02468644236512</v>
      </c>
      <c r="G32" s="3083">
        <v>2011</v>
      </c>
      <c r="H32" s="1585">
        <v>3</v>
      </c>
      <c r="I32" s="1585">
        <v>0.13</v>
      </c>
      <c r="J32" s="1585">
        <v>0.75</v>
      </c>
      <c r="K32" s="1585">
        <v>-0.08</v>
      </c>
      <c r="L32" s="1586">
        <v>0.53</v>
      </c>
      <c r="N32" s="1570">
        <f t="shared" si="12"/>
        <v>1.2999999999999999E-3</v>
      </c>
      <c r="O32" s="1587">
        <f t="shared" si="12"/>
        <v>7.4999999999999997E-3</v>
      </c>
      <c r="P32" s="1587">
        <f t="shared" si="12"/>
        <v>-8.0000000000000004E-4</v>
      </c>
      <c r="Q32" s="1587">
        <f t="shared" si="12"/>
        <v>5.3E-3</v>
      </c>
      <c r="R32" s="1572"/>
      <c r="S32" s="1570"/>
      <c r="T32" s="1571"/>
      <c r="U32" s="1571"/>
      <c r="V32" s="1571"/>
    </row>
    <row r="33" spans="1:26">
      <c r="A33" s="1558" t="s">
        <v>1061</v>
      </c>
      <c r="B33" s="1575">
        <f t="shared" si="20"/>
        <v>275.19335084830601</v>
      </c>
      <c r="C33" s="1575">
        <f t="shared" si="20"/>
        <v>230.18088050139744</v>
      </c>
      <c r="D33" s="1575">
        <f t="shared" si="10"/>
        <v>230.18088050139744</v>
      </c>
      <c r="E33" s="1575">
        <f t="shared" si="21"/>
        <v>377.58482925212331</v>
      </c>
      <c r="F33" s="1575">
        <f t="shared" si="21"/>
        <v>210.90687997847917</v>
      </c>
      <c r="G33" s="3083">
        <v>2011</v>
      </c>
      <c r="H33" s="1562">
        <v>2</v>
      </c>
      <c r="I33" s="1562">
        <v>-0.4</v>
      </c>
      <c r="J33" s="1562">
        <v>0.17</v>
      </c>
      <c r="K33" s="1562">
        <v>-0.57999999999999996</v>
      </c>
      <c r="L33" s="1577">
        <v>-0.2</v>
      </c>
      <c r="N33" s="1570">
        <f t="shared" si="12"/>
        <v>-4.0000000000000001E-3</v>
      </c>
      <c r="O33" s="1587">
        <f t="shared" si="12"/>
        <v>1.7000000000000001E-3</v>
      </c>
      <c r="P33" s="1587">
        <f t="shared" si="12"/>
        <v>-5.7999999999999996E-3</v>
      </c>
      <c r="Q33" s="1587">
        <f t="shared" si="12"/>
        <v>-2E-3</v>
      </c>
      <c r="R33" s="1572"/>
      <c r="S33" s="1570"/>
      <c r="T33" s="1571"/>
      <c r="U33" s="1571"/>
      <c r="V33" s="1571"/>
    </row>
    <row r="34" spans="1:26" ht="13.5" thickBot="1">
      <c r="A34" s="1558" t="s">
        <v>1062</v>
      </c>
      <c r="B34" s="1575">
        <f t="shared" si="20"/>
        <v>276.29854502841971</v>
      </c>
      <c r="C34" s="1575">
        <f t="shared" si="20"/>
        <v>229.79023709833027</v>
      </c>
      <c r="D34" s="1575">
        <f t="shared" si="10"/>
        <v>229.79023709833027</v>
      </c>
      <c r="E34" s="1575">
        <f t="shared" si="21"/>
        <v>379.78759731655936</v>
      </c>
      <c r="F34" s="1575">
        <f t="shared" si="21"/>
        <v>211.32953905659235</v>
      </c>
      <c r="G34" s="3084">
        <v>2011</v>
      </c>
      <c r="H34" s="1561">
        <v>1</v>
      </c>
      <c r="I34" s="1561">
        <v>2.65</v>
      </c>
      <c r="J34" s="1561">
        <v>3.76</v>
      </c>
      <c r="K34" s="1561">
        <v>1.89</v>
      </c>
      <c r="L34" s="1576">
        <v>7.95</v>
      </c>
      <c r="N34" s="1578">
        <f t="shared" si="12"/>
        <v>2.6499999999999999E-2</v>
      </c>
      <c r="O34" s="1579">
        <f t="shared" si="12"/>
        <v>3.7599999999999995E-2</v>
      </c>
      <c r="P34" s="1579">
        <f t="shared" si="12"/>
        <v>1.89E-2</v>
      </c>
      <c r="Q34" s="1579">
        <f t="shared" si="12"/>
        <v>7.9500000000000001E-2</v>
      </c>
      <c r="R34" s="1572"/>
      <c r="S34" s="1578">
        <f>B34/B35-1</f>
        <v>2.713213765211786E-2</v>
      </c>
      <c r="T34" s="1579">
        <f>C34/C35-1</f>
        <v>3.9774828499231862E-2</v>
      </c>
      <c r="U34" s="1579">
        <f>E34/E35-1</f>
        <v>1.8197311840641772E-2</v>
      </c>
      <c r="V34" s="1579">
        <f>F34/F35-1</f>
        <v>7.8211933962205826E-2</v>
      </c>
      <c r="X34" s="1557"/>
      <c r="Y34" s="1557"/>
      <c r="Z34" s="1557"/>
    </row>
    <row r="35" spans="1:26" ht="13.5" thickBot="1">
      <c r="A35" s="1558" t="s">
        <v>1063</v>
      </c>
      <c r="B35" s="1567">
        <v>269</v>
      </c>
      <c r="C35" s="1567">
        <v>221</v>
      </c>
      <c r="D35" s="1567">
        <f t="shared" si="10"/>
        <v>221</v>
      </c>
      <c r="E35" s="1567">
        <v>373</v>
      </c>
      <c r="F35" s="1568">
        <v>196</v>
      </c>
      <c r="G35" s="3082">
        <v>2010</v>
      </c>
      <c r="H35" s="1580">
        <v>4</v>
      </c>
      <c r="I35" s="1580">
        <v>5.72</v>
      </c>
      <c r="J35" s="1580">
        <v>6.57</v>
      </c>
      <c r="K35" s="1580">
        <v>5.72</v>
      </c>
      <c r="L35" s="1581">
        <v>2.72</v>
      </c>
      <c r="N35" s="1570">
        <f t="shared" si="12"/>
        <v>5.7200000000000001E-2</v>
      </c>
      <c r="O35" s="1571">
        <f t="shared" si="12"/>
        <v>6.5700000000000008E-2</v>
      </c>
      <c r="P35" s="1571">
        <f t="shared" si="12"/>
        <v>5.7200000000000001E-2</v>
      </c>
      <c r="Q35" s="1571">
        <f t="shared" si="12"/>
        <v>2.7200000000000002E-2</v>
      </c>
      <c r="R35" s="1572"/>
      <c r="S35" s="1573"/>
      <c r="T35" s="1574"/>
      <c r="U35" s="1574"/>
      <c r="V35" s="1574"/>
      <c r="X35" s="1574"/>
      <c r="Y35" s="1574"/>
      <c r="Z35" s="1574"/>
    </row>
    <row r="36" spans="1:26">
      <c r="A36" s="1558" t="s">
        <v>1064</v>
      </c>
      <c r="B36" s="1575">
        <f t="shared" ref="B36:C38" si="22">B35/(1+N35)</f>
        <v>254.44570563753314</v>
      </c>
      <c r="C36" s="1575">
        <f t="shared" si="22"/>
        <v>207.37543398705074</v>
      </c>
      <c r="D36" s="1575">
        <f t="shared" si="10"/>
        <v>207.37543398705074</v>
      </c>
      <c r="E36" s="1575">
        <f t="shared" ref="E36:F38" si="23">E35/(1+P35)</f>
        <v>352.81876655315932</v>
      </c>
      <c r="F36" s="1575">
        <f t="shared" si="23"/>
        <v>190.809968847352</v>
      </c>
      <c r="G36" s="3083">
        <v>2010</v>
      </c>
      <c r="H36" s="1585">
        <v>3</v>
      </c>
      <c r="I36" s="1585">
        <v>4.7300000000000004</v>
      </c>
      <c r="J36" s="1585">
        <v>3.9</v>
      </c>
      <c r="K36" s="1585">
        <v>5.03</v>
      </c>
      <c r="L36" s="1586">
        <v>4.21</v>
      </c>
      <c r="N36" s="1570">
        <f t="shared" si="12"/>
        <v>4.7300000000000002E-2</v>
      </c>
      <c r="O36" s="1571">
        <f t="shared" si="12"/>
        <v>3.9E-2</v>
      </c>
      <c r="P36" s="1571">
        <f t="shared" si="12"/>
        <v>5.0300000000000004E-2</v>
      </c>
      <c r="Q36" s="1571">
        <f t="shared" si="12"/>
        <v>4.2099999999999999E-2</v>
      </c>
      <c r="R36" s="1572"/>
      <c r="S36" s="1570"/>
      <c r="T36" s="1571"/>
      <c r="U36" s="1571"/>
      <c r="V36" s="1571"/>
    </row>
    <row r="37" spans="1:26">
      <c r="A37" s="1558" t="s">
        <v>1065</v>
      </c>
      <c r="B37" s="1575">
        <f t="shared" si="22"/>
        <v>242.95398227588385</v>
      </c>
      <c r="C37" s="1575">
        <f t="shared" si="22"/>
        <v>199.59137053614126</v>
      </c>
      <c r="D37" s="1575">
        <f t="shared" si="10"/>
        <v>199.59137053614126</v>
      </c>
      <c r="E37" s="1575">
        <f t="shared" si="23"/>
        <v>335.92189522342125</v>
      </c>
      <c r="F37" s="1575">
        <f t="shared" si="23"/>
        <v>183.10139991109489</v>
      </c>
      <c r="G37" s="3083">
        <v>2010</v>
      </c>
      <c r="H37" s="1562">
        <v>2</v>
      </c>
      <c r="I37" s="1562">
        <v>4.6900000000000004</v>
      </c>
      <c r="J37" s="1562">
        <v>3.55</v>
      </c>
      <c r="K37" s="1562">
        <v>5.07</v>
      </c>
      <c r="L37" s="1577">
        <v>4.2300000000000004</v>
      </c>
      <c r="N37" s="1570">
        <f t="shared" si="12"/>
        <v>4.6900000000000004E-2</v>
      </c>
      <c r="O37" s="1571">
        <f t="shared" si="12"/>
        <v>3.5499999999999997E-2</v>
      </c>
      <c r="P37" s="1571">
        <f t="shared" si="12"/>
        <v>5.0700000000000002E-2</v>
      </c>
      <c r="Q37" s="1571">
        <f t="shared" si="12"/>
        <v>4.2300000000000004E-2</v>
      </c>
      <c r="R37" s="1572"/>
      <c r="S37" s="1570"/>
      <c r="T37" s="1571"/>
      <c r="U37" s="1571"/>
      <c r="V37" s="1571"/>
    </row>
    <row r="38" spans="1:26" ht="13.5" thickBot="1">
      <c r="A38" s="1558" t="s">
        <v>1066</v>
      </c>
      <c r="B38" s="1575">
        <f t="shared" si="22"/>
        <v>232.06990378821649</v>
      </c>
      <c r="C38" s="1575">
        <f t="shared" si="22"/>
        <v>192.74878854286936</v>
      </c>
      <c r="D38" s="1575">
        <f t="shared" si="10"/>
        <v>192.74878854286936</v>
      </c>
      <c r="E38" s="1575">
        <f t="shared" si="23"/>
        <v>319.71247284992984</v>
      </c>
      <c r="F38" s="1575">
        <f t="shared" si="23"/>
        <v>175.67053622862409</v>
      </c>
      <c r="G38" s="3084">
        <v>2010</v>
      </c>
      <c r="H38" s="1561">
        <v>1</v>
      </c>
      <c r="I38" s="1561">
        <v>5.4</v>
      </c>
      <c r="J38" s="1561">
        <v>3.2</v>
      </c>
      <c r="K38" s="1561">
        <v>6.16</v>
      </c>
      <c r="L38" s="1576">
        <v>4.51</v>
      </c>
      <c r="N38" s="1570">
        <f t="shared" si="12"/>
        <v>5.4000000000000006E-2</v>
      </c>
      <c r="O38" s="1571">
        <f t="shared" si="12"/>
        <v>3.2000000000000001E-2</v>
      </c>
      <c r="P38" s="1571">
        <f t="shared" si="12"/>
        <v>6.1600000000000002E-2</v>
      </c>
      <c r="Q38" s="1571">
        <f t="shared" si="12"/>
        <v>4.5100000000000001E-2</v>
      </c>
      <c r="R38" s="1572"/>
      <c r="S38" s="1578">
        <f>B38/B39-1</f>
        <v>5.4863199037347599E-2</v>
      </c>
      <c r="T38" s="1579">
        <f>C38/C39-1</f>
        <v>3.0742184721226584E-2</v>
      </c>
      <c r="U38" s="1579">
        <f>E38/E39-1</f>
        <v>6.2167683886810154E-2</v>
      </c>
      <c r="V38" s="1579">
        <f>F38/F39-1</f>
        <v>4.5657953741810031E-2</v>
      </c>
      <c r="X38" s="1557"/>
      <c r="Y38" s="1557"/>
      <c r="Z38" s="1557"/>
    </row>
    <row r="39" spans="1:26" ht="13.5" thickBot="1">
      <c r="A39" s="1558" t="s">
        <v>1067</v>
      </c>
      <c r="B39" s="1567">
        <v>220</v>
      </c>
      <c r="C39" s="1567">
        <v>187</v>
      </c>
      <c r="D39" s="1567">
        <f t="shared" si="10"/>
        <v>187</v>
      </c>
      <c r="E39" s="1567">
        <v>301</v>
      </c>
      <c r="F39" s="1568">
        <v>168</v>
      </c>
      <c r="G39" s="3082">
        <v>2009</v>
      </c>
      <c r="H39" s="1580">
        <v>4</v>
      </c>
      <c r="I39" s="1580">
        <v>2.2999999999999998</v>
      </c>
      <c r="J39" s="1580">
        <v>1.04</v>
      </c>
      <c r="K39" s="1580">
        <v>2.84</v>
      </c>
      <c r="L39" s="1581">
        <v>0.67</v>
      </c>
      <c r="N39" s="1582">
        <f t="shared" si="12"/>
        <v>2.3E-2</v>
      </c>
      <c r="O39" s="1583">
        <f t="shared" si="12"/>
        <v>1.04E-2</v>
      </c>
      <c r="P39" s="1583">
        <f t="shared" si="12"/>
        <v>2.8399999999999998E-2</v>
      </c>
      <c r="Q39" s="1583">
        <f t="shared" si="12"/>
        <v>6.7000000000000002E-3</v>
      </c>
      <c r="R39" s="1572"/>
      <c r="S39" s="1573"/>
      <c r="T39" s="1574"/>
      <c r="U39" s="1574"/>
      <c r="V39" s="1574"/>
      <c r="X39" s="1574"/>
      <c r="Y39" s="1574"/>
      <c r="Z39" s="1574"/>
    </row>
    <row r="40" spans="1:26">
      <c r="A40" s="1558" t="s">
        <v>1068</v>
      </c>
      <c r="B40" s="1575">
        <f t="shared" ref="B40:C42" si="24">B39/(1+N39)</f>
        <v>215.05376344086022</v>
      </c>
      <c r="C40" s="1575">
        <f t="shared" si="24"/>
        <v>185.0752177355503</v>
      </c>
      <c r="D40" s="1575">
        <f t="shared" si="10"/>
        <v>185.0752177355503</v>
      </c>
      <c r="E40" s="1575">
        <f t="shared" ref="E40:F42" si="25">E39/(1+P39)</f>
        <v>292.68767016725008</v>
      </c>
      <c r="F40" s="1575">
        <f t="shared" si="25"/>
        <v>166.88189132810174</v>
      </c>
      <c r="G40" s="3083">
        <v>2009</v>
      </c>
      <c r="H40" s="1585">
        <v>3</v>
      </c>
      <c r="I40" s="1585">
        <v>2.1</v>
      </c>
      <c r="J40" s="1585">
        <v>1.86</v>
      </c>
      <c r="K40" s="1585">
        <v>2.29</v>
      </c>
      <c r="L40" s="1586">
        <v>0.85</v>
      </c>
      <c r="N40" s="1570">
        <f t="shared" si="12"/>
        <v>2.1000000000000001E-2</v>
      </c>
      <c r="O40" s="1587">
        <f t="shared" si="12"/>
        <v>1.8600000000000002E-2</v>
      </c>
      <c r="P40" s="1587">
        <f t="shared" si="12"/>
        <v>2.29E-2</v>
      </c>
      <c r="Q40" s="1587">
        <f t="shared" si="12"/>
        <v>8.5000000000000006E-3</v>
      </c>
      <c r="R40" s="1572"/>
      <c r="S40" s="1570"/>
      <c r="T40" s="1571"/>
      <c r="U40" s="1571"/>
      <c r="V40" s="1571"/>
    </row>
    <row r="41" spans="1:26">
      <c r="A41" s="1558" t="s">
        <v>1069</v>
      </c>
      <c r="B41" s="1575">
        <f t="shared" si="24"/>
        <v>210.630522469011</v>
      </c>
      <c r="C41" s="1575">
        <f t="shared" si="24"/>
        <v>181.69567812247232</v>
      </c>
      <c r="D41" s="1575">
        <f t="shared" si="10"/>
        <v>181.69567812247232</v>
      </c>
      <c r="E41" s="1575">
        <f t="shared" si="25"/>
        <v>286.13517466736738</v>
      </c>
      <c r="F41" s="1575">
        <f t="shared" si="25"/>
        <v>165.47535084591149</v>
      </c>
      <c r="G41" s="3083">
        <v>2009</v>
      </c>
      <c r="H41" s="1562">
        <v>2</v>
      </c>
      <c r="I41" s="1562">
        <v>0.86</v>
      </c>
      <c r="J41" s="1562">
        <v>-1.1299999999999999</v>
      </c>
      <c r="K41" s="1562">
        <v>1.79</v>
      </c>
      <c r="L41" s="1577">
        <v>-2.0699999999999998</v>
      </c>
      <c r="N41" s="1570">
        <f t="shared" si="12"/>
        <v>8.6E-3</v>
      </c>
      <c r="O41" s="1587">
        <f t="shared" si="12"/>
        <v>-1.1299999999999999E-2</v>
      </c>
      <c r="P41" s="1587">
        <f t="shared" si="12"/>
        <v>1.7899999999999999E-2</v>
      </c>
      <c r="Q41" s="1587">
        <f t="shared" si="12"/>
        <v>-2.07E-2</v>
      </c>
      <c r="R41" s="1572"/>
      <c r="S41" s="1570"/>
      <c r="T41" s="1571"/>
      <c r="U41" s="1571"/>
      <c r="V41" s="1571"/>
    </row>
    <row r="42" spans="1:26">
      <c r="A42" s="1558" t="s">
        <v>1070</v>
      </c>
      <c r="B42" s="1575">
        <f t="shared" si="24"/>
        <v>208.83454537875372</v>
      </c>
      <c r="C42" s="1575">
        <f t="shared" si="24"/>
        <v>183.77230517090351</v>
      </c>
      <c r="D42" s="1575">
        <f t="shared" si="10"/>
        <v>183.77230517090351</v>
      </c>
      <c r="E42" s="1575">
        <f t="shared" si="25"/>
        <v>281.10342338870947</v>
      </c>
      <c r="F42" s="1575">
        <f t="shared" si="25"/>
        <v>168.97309388942256</v>
      </c>
      <c r="G42" s="3084">
        <v>2009</v>
      </c>
      <c r="H42" s="1561">
        <v>1</v>
      </c>
      <c r="I42" s="1561">
        <v>-2.64</v>
      </c>
      <c r="J42" s="1561">
        <v>-2.5299999999999998</v>
      </c>
      <c r="K42" s="1561">
        <v>-3.02</v>
      </c>
      <c r="L42" s="1576">
        <v>1.52</v>
      </c>
      <c r="N42" s="1578">
        <f t="shared" si="12"/>
        <v>-2.64E-2</v>
      </c>
      <c r="O42" s="1579">
        <f t="shared" si="12"/>
        <v>-2.53E-2</v>
      </c>
      <c r="P42" s="1579">
        <f t="shared" si="12"/>
        <v>-3.0200000000000001E-2</v>
      </c>
      <c r="Q42" s="1579">
        <f t="shared" si="12"/>
        <v>1.52E-2</v>
      </c>
      <c r="R42" s="1572"/>
      <c r="S42" s="1578">
        <f>B42/B43-1</f>
        <v>-2.4137638417038754E-2</v>
      </c>
      <c r="T42" s="1579">
        <f>C42/C43-1</f>
        <v>-2.248773845264096E-2</v>
      </c>
      <c r="U42" s="1579">
        <f>E42/E43-1</f>
        <v>-2.7323794502735366E-2</v>
      </c>
      <c r="V42" s="1579">
        <f>F42/F43-1</f>
        <v>1.7910204153148035E-2</v>
      </c>
      <c r="X42" s="1557"/>
      <c r="Y42" s="1557"/>
      <c r="Z42" s="1557"/>
    </row>
    <row r="43" spans="1:26" ht="13.5" thickBot="1">
      <c r="A43" s="1558" t="s">
        <v>1071</v>
      </c>
      <c r="B43" s="1609">
        <v>214</v>
      </c>
      <c r="C43" s="1609">
        <v>188</v>
      </c>
      <c r="D43" s="1609">
        <f t="shared" si="10"/>
        <v>188</v>
      </c>
      <c r="E43" s="1609">
        <v>289</v>
      </c>
      <c r="F43" s="1610">
        <v>166</v>
      </c>
      <c r="G43" s="3082">
        <v>2008</v>
      </c>
      <c r="H43" s="1580">
        <v>4</v>
      </c>
      <c r="I43" s="1580">
        <v>1.73</v>
      </c>
      <c r="J43" s="1580">
        <v>0.03</v>
      </c>
      <c r="K43" s="1580">
        <v>2.59</v>
      </c>
      <c r="L43" s="1581">
        <v>-1.66</v>
      </c>
      <c r="N43" s="1570">
        <f t="shared" si="12"/>
        <v>1.7299999999999999E-2</v>
      </c>
      <c r="O43" s="1571">
        <f t="shared" si="12"/>
        <v>2.9999999999999997E-4</v>
      </c>
      <c r="P43" s="1571">
        <f t="shared" si="12"/>
        <v>2.5899999999999999E-2</v>
      </c>
      <c r="Q43" s="1571">
        <f t="shared" si="12"/>
        <v>-1.66E-2</v>
      </c>
      <c r="R43" s="1572"/>
      <c r="S43" s="1573"/>
      <c r="T43" s="1574"/>
      <c r="U43" s="1574"/>
      <c r="V43" s="1574"/>
      <c r="X43" s="1574"/>
      <c r="Y43" s="1574"/>
      <c r="Z43" s="1574"/>
    </row>
    <row r="44" spans="1:26">
      <c r="A44" s="1558" t="s">
        <v>1072</v>
      </c>
      <c r="B44" s="1575">
        <f t="shared" ref="B44:C46" si="26">B43/(1+N43)</f>
        <v>210.36075887152265</v>
      </c>
      <c r="C44" s="1575">
        <f t="shared" si="26"/>
        <v>187.94361691492554</v>
      </c>
      <c r="D44" s="1575">
        <f t="shared" si="10"/>
        <v>187.94361691492554</v>
      </c>
      <c r="E44" s="1575">
        <f t="shared" ref="E44:F46" si="27">E43/(1+P43)</f>
        <v>281.70386977288234</v>
      </c>
      <c r="F44" s="1575">
        <f t="shared" si="27"/>
        <v>168.80211511083994</v>
      </c>
      <c r="G44" s="3083">
        <v>2008</v>
      </c>
      <c r="H44" s="1585">
        <v>3</v>
      </c>
      <c r="I44" s="1585">
        <v>1.96</v>
      </c>
      <c r="J44" s="1585">
        <v>2.36</v>
      </c>
      <c r="K44" s="1585">
        <v>1.82</v>
      </c>
      <c r="L44" s="1586">
        <v>2.2200000000000002</v>
      </c>
      <c r="N44" s="1570">
        <f t="shared" si="12"/>
        <v>1.9599999999999999E-2</v>
      </c>
      <c r="O44" s="1571">
        <f t="shared" si="12"/>
        <v>2.3599999999999999E-2</v>
      </c>
      <c r="P44" s="1571">
        <f t="shared" si="12"/>
        <v>1.8200000000000001E-2</v>
      </c>
      <c r="Q44" s="1571">
        <f t="shared" si="12"/>
        <v>2.2200000000000001E-2</v>
      </c>
      <c r="R44" s="1572"/>
      <c r="S44" s="1570"/>
      <c r="T44" s="1571"/>
      <c r="U44" s="1571"/>
      <c r="V44" s="1571"/>
    </row>
    <row r="45" spans="1:26">
      <c r="A45" s="1558" t="s">
        <v>1073</v>
      </c>
      <c r="B45" s="1575">
        <f t="shared" si="26"/>
        <v>206.31694671589116</v>
      </c>
      <c r="C45" s="1575">
        <f t="shared" si="26"/>
        <v>183.61041121036101</v>
      </c>
      <c r="D45" s="1575">
        <f t="shared" si="10"/>
        <v>183.61041121036101</v>
      </c>
      <c r="E45" s="1575">
        <f t="shared" si="27"/>
        <v>276.66850301795557</v>
      </c>
      <c r="F45" s="1575">
        <f t="shared" si="27"/>
        <v>165.1360938278614</v>
      </c>
      <c r="G45" s="3083">
        <v>2008</v>
      </c>
      <c r="H45" s="1562">
        <v>2</v>
      </c>
      <c r="I45" s="1562">
        <v>4.93</v>
      </c>
      <c r="J45" s="1562">
        <v>7.38</v>
      </c>
      <c r="K45" s="1562">
        <v>3.98</v>
      </c>
      <c r="L45" s="1577">
        <v>6.86</v>
      </c>
      <c r="N45" s="1570">
        <f t="shared" si="12"/>
        <v>4.9299999999999997E-2</v>
      </c>
      <c r="O45" s="1571">
        <f t="shared" si="12"/>
        <v>7.3800000000000004E-2</v>
      </c>
      <c r="P45" s="1571">
        <f t="shared" si="12"/>
        <v>3.9800000000000002E-2</v>
      </c>
      <c r="Q45" s="1571">
        <f t="shared" si="12"/>
        <v>6.8600000000000008E-2</v>
      </c>
      <c r="R45" s="1572"/>
      <c r="S45" s="1570"/>
      <c r="T45" s="1571"/>
      <c r="U45" s="1571"/>
      <c r="V45" s="1571"/>
    </row>
    <row r="46" spans="1:26" s="1615" customFormat="1" ht="13.5" thickBot="1">
      <c r="A46" s="1558" t="s">
        <v>1074</v>
      </c>
      <c r="B46" s="1612">
        <f t="shared" si="26"/>
        <v>196.62341248059772</v>
      </c>
      <c r="C46" s="1612">
        <f t="shared" si="26"/>
        <v>170.99125648199012</v>
      </c>
      <c r="D46" s="1612">
        <f t="shared" si="10"/>
        <v>170.99125648199012</v>
      </c>
      <c r="E46" s="1612">
        <f t="shared" si="27"/>
        <v>266.07857570490052</v>
      </c>
      <c r="F46" s="1612">
        <f t="shared" si="27"/>
        <v>154.53499328828505</v>
      </c>
      <c r="G46" s="3084">
        <v>2008</v>
      </c>
      <c r="H46" s="1613">
        <v>1</v>
      </c>
      <c r="I46" s="1613">
        <v>4.1399999999999997</v>
      </c>
      <c r="J46" s="1613">
        <v>3.45</v>
      </c>
      <c r="K46" s="1613">
        <v>4.95</v>
      </c>
      <c r="L46" s="1614">
        <v>4.82</v>
      </c>
      <c r="N46" s="1616">
        <f t="shared" si="12"/>
        <v>4.1399999999999999E-2</v>
      </c>
      <c r="O46" s="1617">
        <f t="shared" si="12"/>
        <v>3.4500000000000003E-2</v>
      </c>
      <c r="P46" s="1617">
        <f t="shared" si="12"/>
        <v>4.9500000000000002E-2</v>
      </c>
      <c r="Q46" s="1617">
        <f t="shared" si="12"/>
        <v>4.82E-2</v>
      </c>
      <c r="R46" s="1618"/>
      <c r="S46" s="1616">
        <f>B46/B47-1</f>
        <v>4.5869215322328349E-2</v>
      </c>
      <c r="T46" s="1617">
        <f>C46/C47-1</f>
        <v>3.6310645345394743E-2</v>
      </c>
      <c r="U46" s="1617">
        <f>E46/E47-1</f>
        <v>4.7553447657088688E-2</v>
      </c>
      <c r="V46" s="1617">
        <f>F46/F47-1</f>
        <v>4.4155360055980086E-2</v>
      </c>
      <c r="X46" s="1619"/>
      <c r="Y46" s="1619"/>
      <c r="Z46" s="1619"/>
    </row>
    <row r="47" spans="1:26" ht="13.5" thickBot="1">
      <c r="A47" s="1558" t="s">
        <v>1075</v>
      </c>
      <c r="B47" s="1567">
        <v>188</v>
      </c>
      <c r="C47" s="1567">
        <v>165</v>
      </c>
      <c r="D47" s="1567">
        <f t="shared" si="10"/>
        <v>165</v>
      </c>
      <c r="E47" s="1567">
        <v>254</v>
      </c>
      <c r="F47" s="1568">
        <v>148</v>
      </c>
      <c r="G47" s="3082">
        <v>2007</v>
      </c>
      <c r="H47" s="1620">
        <v>4</v>
      </c>
      <c r="I47" s="1620">
        <v>5.51</v>
      </c>
      <c r="J47" s="1620">
        <v>4.8899999999999997</v>
      </c>
      <c r="K47" s="1620">
        <v>6.43</v>
      </c>
      <c r="L47" s="1621">
        <v>5.36</v>
      </c>
      <c r="N47" s="1622">
        <f t="shared" ref="N47:O50" si="28">B47/B48-1</f>
        <v>4.1339718365245526E-2</v>
      </c>
      <c r="O47" s="1623">
        <f t="shared" si="28"/>
        <v>4.0324492593776018E-2</v>
      </c>
      <c r="P47" s="1623">
        <f t="shared" ref="P47:Q50" si="29">E47/E48-1</f>
        <v>6.1625555347990968E-2</v>
      </c>
      <c r="Q47" s="1623">
        <f t="shared" si="29"/>
        <v>4.6757569250590603E-2</v>
      </c>
      <c r="R47" s="1572"/>
      <c r="S47" s="1573"/>
      <c r="T47" s="1574"/>
      <c r="U47" s="1574"/>
      <c r="V47" s="1574"/>
      <c r="X47" s="1574"/>
      <c r="Y47" s="1574"/>
      <c r="Z47" s="1574"/>
    </row>
    <row r="48" spans="1:26">
      <c r="A48" s="1558" t="s">
        <v>1076</v>
      </c>
      <c r="B48" s="1575">
        <f t="shared" ref="B48:C50" si="30">B49+(B$47-B$51)*I48/SUM(I$47:I$50)</f>
        <v>180.5366651097618</v>
      </c>
      <c r="C48" s="1575">
        <f t="shared" si="30"/>
        <v>158.60435967302453</v>
      </c>
      <c r="D48" s="1575">
        <f t="shared" si="10"/>
        <v>158.60435967302453</v>
      </c>
      <c r="E48" s="1575">
        <f t="shared" ref="E48:F50" si="31">E49+(E$47-E$51)*K48/SUM(K$47:K$50)</f>
        <v>239.25573260785075</v>
      </c>
      <c r="F48" s="1575">
        <f t="shared" si="31"/>
        <v>141.38899430740037</v>
      </c>
      <c r="G48" s="3083">
        <v>2007</v>
      </c>
      <c r="H48" s="1585">
        <v>3</v>
      </c>
      <c r="I48" s="1585">
        <v>8.65</v>
      </c>
      <c r="J48" s="1585">
        <v>8.06</v>
      </c>
      <c r="K48" s="1585">
        <v>9.94</v>
      </c>
      <c r="L48" s="1586">
        <v>5.8</v>
      </c>
      <c r="N48" s="1622">
        <f t="shared" si="28"/>
        <v>6.940217571740015E-2</v>
      </c>
      <c r="O48" s="1623">
        <f t="shared" si="28"/>
        <v>7.1197482471153428E-2</v>
      </c>
      <c r="P48" s="1623">
        <f t="shared" si="29"/>
        <v>0.10529679922579582</v>
      </c>
      <c r="Q48" s="1623">
        <f t="shared" si="29"/>
        <v>5.3292245059512133E-2</v>
      </c>
      <c r="R48" s="1572"/>
      <c r="S48" s="1570"/>
      <c r="T48" s="1571"/>
      <c r="U48" s="1571"/>
      <c r="V48" s="1571"/>
      <c r="X48" s="1624"/>
      <c r="Y48" s="1624"/>
      <c r="Z48" s="1624"/>
    </row>
    <row r="49" spans="1:26">
      <c r="A49" s="1558" t="s">
        <v>1077</v>
      </c>
      <c r="B49" s="1575">
        <f t="shared" si="30"/>
        <v>168.82017748715555</v>
      </c>
      <c r="C49" s="1575">
        <f t="shared" si="30"/>
        <v>148.06267029972753</v>
      </c>
      <c r="D49" s="1575">
        <f t="shared" si="10"/>
        <v>148.06267029972753</v>
      </c>
      <c r="E49" s="1575">
        <f t="shared" si="31"/>
        <v>216.46288379323747</v>
      </c>
      <c r="F49" s="1575">
        <f t="shared" si="31"/>
        <v>134.23529411764704</v>
      </c>
      <c r="G49" s="3083">
        <v>2007</v>
      </c>
      <c r="H49" s="1562">
        <v>2</v>
      </c>
      <c r="I49" s="1562">
        <v>3.67</v>
      </c>
      <c r="J49" s="1562">
        <v>2.3199999999999998</v>
      </c>
      <c r="K49" s="1562">
        <v>5.0199999999999996</v>
      </c>
      <c r="L49" s="1577">
        <v>6.71</v>
      </c>
      <c r="N49" s="1622">
        <f t="shared" si="28"/>
        <v>3.0339138143848032E-2</v>
      </c>
      <c r="O49" s="1623">
        <f t="shared" si="28"/>
        <v>2.0922341588790472E-2</v>
      </c>
      <c r="P49" s="1623">
        <f t="shared" si="29"/>
        <v>5.6164796592717003E-2</v>
      </c>
      <c r="Q49" s="1623">
        <f t="shared" si="29"/>
        <v>6.5704536723887319E-2</v>
      </c>
      <c r="R49" s="1572"/>
      <c r="S49" s="1570"/>
      <c r="T49" s="1571"/>
      <c r="U49" s="1571"/>
      <c r="V49" s="1571"/>
      <c r="X49" s="1624"/>
      <c r="Y49" s="1624"/>
      <c r="Z49" s="1624"/>
    </row>
    <row r="50" spans="1:26">
      <c r="A50" s="1558" t="s">
        <v>1078</v>
      </c>
      <c r="B50" s="1575">
        <f t="shared" si="30"/>
        <v>163.84913591779542</v>
      </c>
      <c r="C50" s="1575">
        <f t="shared" si="30"/>
        <v>145.0283378746594</v>
      </c>
      <c r="D50" s="1575">
        <f t="shared" si="10"/>
        <v>145.0283378746594</v>
      </c>
      <c r="E50" s="1575">
        <f t="shared" si="31"/>
        <v>204.95180722891567</v>
      </c>
      <c r="F50" s="1575">
        <f t="shared" si="31"/>
        <v>125.95920303605313</v>
      </c>
      <c r="G50" s="3084">
        <v>2007</v>
      </c>
      <c r="H50" s="1561">
        <v>1</v>
      </c>
      <c r="I50" s="1561">
        <v>3.58</v>
      </c>
      <c r="J50" s="1561">
        <v>3.08</v>
      </c>
      <c r="K50" s="1561">
        <v>4.34</v>
      </c>
      <c r="L50" s="1576">
        <v>3.21</v>
      </c>
      <c r="N50" s="1625">
        <f t="shared" si="28"/>
        <v>3.0497710174814063E-2</v>
      </c>
      <c r="O50" s="1626">
        <f t="shared" si="28"/>
        <v>2.8569772160704998E-2</v>
      </c>
      <c r="P50" s="1626">
        <f t="shared" si="29"/>
        <v>5.1034908866234296E-2</v>
      </c>
      <c r="Q50" s="1626">
        <f t="shared" si="29"/>
        <v>3.245248390207478E-2</v>
      </c>
      <c r="R50" s="1572"/>
      <c r="S50" s="1578">
        <f>B50/B51-1</f>
        <v>3.0497710174814063E-2</v>
      </c>
      <c r="T50" s="1579">
        <f>C50/C51-1</f>
        <v>2.8569772160704998E-2</v>
      </c>
      <c r="U50" s="1579">
        <f>E50/E51-1</f>
        <v>5.1034908866234296E-2</v>
      </c>
      <c r="V50" s="1579">
        <f>F50/F51-1</f>
        <v>3.245248390207478E-2</v>
      </c>
      <c r="X50" s="1624"/>
      <c r="Y50" s="1624"/>
      <c r="Z50" s="1624"/>
    </row>
    <row r="51" spans="1:26" ht="13.5" thickBot="1">
      <c r="A51" s="1558" t="s">
        <v>1079</v>
      </c>
      <c r="B51" s="1588">
        <v>159</v>
      </c>
      <c r="C51" s="1588">
        <v>141</v>
      </c>
      <c r="D51" s="1588">
        <f t="shared" si="10"/>
        <v>141</v>
      </c>
      <c r="E51" s="1588">
        <v>195</v>
      </c>
      <c r="F51" s="1589">
        <v>122</v>
      </c>
      <c r="G51" s="3082">
        <v>2006</v>
      </c>
      <c r="H51" s="1580">
        <v>4</v>
      </c>
      <c r="I51" s="1580">
        <v>3.79</v>
      </c>
      <c r="J51" s="1580">
        <v>2.21</v>
      </c>
      <c r="K51" s="1580">
        <v>5.65</v>
      </c>
      <c r="L51" s="1581">
        <v>5.41</v>
      </c>
      <c r="N51" s="1622">
        <f t="shared" ref="N51:O54" si="32">I51/SUM(I$51:I$54)*(B$51/B$55-1)</f>
        <v>7.245466462748526E-2</v>
      </c>
      <c r="O51" s="1623">
        <f t="shared" si="32"/>
        <v>2.3237230038062766E-2</v>
      </c>
      <c r="P51" s="1623">
        <f t="shared" ref="P51:Q54" si="33">K51/SUM(K$51:K$54)*(E$51/E$55-1)</f>
        <v>0.16146893866323722</v>
      </c>
      <c r="Q51" s="1623">
        <f t="shared" si="33"/>
        <v>5.0755230321793784E-2</v>
      </c>
      <c r="R51" s="1572"/>
      <c r="S51" s="1573"/>
      <c r="T51" s="1574"/>
      <c r="U51" s="1574"/>
      <c r="V51" s="1574"/>
      <c r="X51" s="1624"/>
      <c r="Y51" s="1624"/>
      <c r="Z51" s="1624"/>
    </row>
    <row r="52" spans="1:26">
      <c r="A52" s="1558" t="s">
        <v>1080</v>
      </c>
      <c r="B52" s="1575">
        <f t="shared" ref="B52:C54" si="34">B53+(B$51-B$55)*I52/SUM(I$51:I$54)</f>
        <v>149.00125628140702</v>
      </c>
      <c r="C52" s="1575">
        <f t="shared" si="34"/>
        <v>137.95592286501378</v>
      </c>
      <c r="D52" s="1575">
        <f t="shared" si="10"/>
        <v>137.95592286501378</v>
      </c>
      <c r="E52" s="1575">
        <f t="shared" ref="E52:F54" si="35">E53+(E$51-E$55)*K52/SUM(K$51:K$54)</f>
        <v>169.97231450719823</v>
      </c>
      <c r="F52" s="1575">
        <f t="shared" si="35"/>
        <v>116.21390374331551</v>
      </c>
      <c r="G52" s="3083">
        <v>2006</v>
      </c>
      <c r="H52" s="1585">
        <v>3</v>
      </c>
      <c r="I52" s="1585">
        <v>0.92</v>
      </c>
      <c r="J52" s="1585">
        <v>1.08</v>
      </c>
      <c r="K52" s="1585">
        <v>0.73</v>
      </c>
      <c r="L52" s="1586">
        <v>1.08</v>
      </c>
      <c r="N52" s="1622">
        <f t="shared" si="32"/>
        <v>1.7587939698492462E-2</v>
      </c>
      <c r="O52" s="1623">
        <f t="shared" si="32"/>
        <v>1.1355750425840628E-2</v>
      </c>
      <c r="P52" s="1623">
        <f t="shared" si="33"/>
        <v>2.0862358446754544E-2</v>
      </c>
      <c r="Q52" s="1623">
        <f t="shared" si="33"/>
        <v>1.0132282578103011E-2</v>
      </c>
      <c r="R52" s="1572"/>
      <c r="S52" s="1570"/>
      <c r="T52" s="1571"/>
      <c r="U52" s="1571"/>
      <c r="V52" s="1571"/>
      <c r="X52" s="1624"/>
      <c r="Y52" s="1624"/>
      <c r="Z52" s="1624"/>
    </row>
    <row r="53" spans="1:26">
      <c r="A53" s="1558" t="s">
        <v>1081</v>
      </c>
      <c r="B53" s="1575">
        <f t="shared" si="34"/>
        <v>146.57412060301507</v>
      </c>
      <c r="C53" s="1575">
        <f t="shared" si="34"/>
        <v>136.46831955922866</v>
      </c>
      <c r="D53" s="1575">
        <f t="shared" si="10"/>
        <v>136.46831955922866</v>
      </c>
      <c r="E53" s="1575">
        <f t="shared" si="35"/>
        <v>166.73864894795128</v>
      </c>
      <c r="F53" s="1575">
        <f t="shared" si="35"/>
        <v>115.05882352941177</v>
      </c>
      <c r="G53" s="3083">
        <v>2006</v>
      </c>
      <c r="H53" s="1562">
        <v>2</v>
      </c>
      <c r="I53" s="1562">
        <v>0.96</v>
      </c>
      <c r="J53" s="1562">
        <v>0.25</v>
      </c>
      <c r="K53" s="1562">
        <v>1.9</v>
      </c>
      <c r="L53" s="1577">
        <v>0.95</v>
      </c>
      <c r="N53" s="1622">
        <f t="shared" si="32"/>
        <v>1.8352632728861701E-2</v>
      </c>
      <c r="O53" s="1623">
        <f t="shared" si="32"/>
        <v>2.6286459319075526E-3</v>
      </c>
      <c r="P53" s="1623">
        <f t="shared" si="33"/>
        <v>5.4299289107991269E-2</v>
      </c>
      <c r="Q53" s="1623">
        <f t="shared" si="33"/>
        <v>8.9126559714794995E-3</v>
      </c>
      <c r="R53" s="1572"/>
      <c r="S53" s="1570"/>
      <c r="T53" s="1571"/>
      <c r="U53" s="1571"/>
      <c r="V53" s="1571"/>
      <c r="X53" s="1624"/>
      <c r="Y53" s="1624"/>
      <c r="Z53" s="1624"/>
    </row>
    <row r="54" spans="1:26">
      <c r="A54" s="1558" t="s">
        <v>1082</v>
      </c>
      <c r="B54" s="1575">
        <f t="shared" si="34"/>
        <v>144.04145728643215</v>
      </c>
      <c r="C54" s="1575">
        <f t="shared" si="34"/>
        <v>136.12396694214877</v>
      </c>
      <c r="D54" s="1575">
        <f t="shared" si="10"/>
        <v>136.12396694214877</v>
      </c>
      <c r="E54" s="1575">
        <f t="shared" si="35"/>
        <v>158.32225913621264</v>
      </c>
      <c r="F54" s="1575">
        <f t="shared" si="35"/>
        <v>114.04278074866311</v>
      </c>
      <c r="G54" s="3084">
        <v>2006</v>
      </c>
      <c r="H54" s="1561">
        <v>1</v>
      </c>
      <c r="I54" s="1561">
        <v>2.29</v>
      </c>
      <c r="J54" s="1561">
        <v>3.72</v>
      </c>
      <c r="K54" s="1561">
        <v>0.75</v>
      </c>
      <c r="L54" s="1576">
        <v>0.04</v>
      </c>
      <c r="N54" s="1625">
        <f t="shared" si="32"/>
        <v>4.3778675988638847E-2</v>
      </c>
      <c r="O54" s="1626">
        <f t="shared" si="32"/>
        <v>3.9114251466784385E-2</v>
      </c>
      <c r="P54" s="1626">
        <f t="shared" si="33"/>
        <v>2.1433929911049188E-2</v>
      </c>
      <c r="Q54" s="1626">
        <f t="shared" si="33"/>
        <v>3.7526972511492629E-4</v>
      </c>
      <c r="R54" s="1572"/>
      <c r="S54" s="1578">
        <f>B54/B55-1</f>
        <v>4.3778675988638716E-2</v>
      </c>
      <c r="T54" s="1579">
        <f>C54/C55-1</f>
        <v>3.91142514667846E-2</v>
      </c>
      <c r="U54" s="1579">
        <f>E54/E55-1</f>
        <v>2.143392991104931E-2</v>
      </c>
      <c r="V54" s="1579">
        <f>F54/F55-1</f>
        <v>3.7526972511492396E-4</v>
      </c>
      <c r="X54" s="1624"/>
      <c r="Y54" s="1624"/>
      <c r="Z54" s="1624"/>
    </row>
    <row r="55" spans="1:26" ht="13.5" thickBot="1">
      <c r="A55" s="1558" t="s">
        <v>1083</v>
      </c>
      <c r="B55" s="1588">
        <v>138</v>
      </c>
      <c r="C55" s="1588">
        <v>131</v>
      </c>
      <c r="D55" s="1588">
        <f t="shared" si="10"/>
        <v>131</v>
      </c>
      <c r="E55" s="1588">
        <v>155</v>
      </c>
      <c r="F55" s="1589">
        <v>114</v>
      </c>
      <c r="G55" s="3082">
        <v>2005</v>
      </c>
      <c r="H55" s="1580">
        <v>4</v>
      </c>
      <c r="I55" s="1580">
        <v>3.29</v>
      </c>
      <c r="J55" s="1580">
        <v>1.44</v>
      </c>
      <c r="K55" s="1580">
        <v>0.66</v>
      </c>
      <c r="L55" s="1581">
        <v>7.78</v>
      </c>
      <c r="N55" s="1622">
        <f t="shared" ref="N55:O58" si="36">I55/SUM(I$55:I$58)*(B$55/B$59-1)</f>
        <v>9.9404603216919935E-2</v>
      </c>
      <c r="O55" s="1623">
        <f t="shared" si="36"/>
        <v>4.7636550760861554E-2</v>
      </c>
      <c r="P55" s="1623">
        <f t="shared" ref="P55:Q58" si="37">K55/SUM(K$55:K$58)*(E$55/E$59-1)</f>
        <v>8.3756345177664976E-2</v>
      </c>
      <c r="Q55" s="1623">
        <f t="shared" si="37"/>
        <v>5.2148766661559584E-2</v>
      </c>
      <c r="R55" s="1572"/>
      <c r="S55" s="1573"/>
      <c r="T55" s="1574"/>
      <c r="U55" s="1574"/>
      <c r="V55" s="1574"/>
      <c r="X55" s="1624"/>
      <c r="Y55" s="1624"/>
      <c r="Z55" s="1624"/>
    </row>
    <row r="56" spans="1:26">
      <c r="A56" s="1558" t="s">
        <v>1084</v>
      </c>
      <c r="B56" s="1575">
        <f t="shared" ref="B56:C58" si="38">B57+(B$55-B$59)*I56/SUM(I$55:I$58)</f>
        <v>125.9720430107527</v>
      </c>
      <c r="C56" s="1575">
        <f t="shared" si="38"/>
        <v>125.1883408071749</v>
      </c>
      <c r="D56" s="1575">
        <f t="shared" si="10"/>
        <v>125.1883408071749</v>
      </c>
      <c r="E56" s="1575">
        <f t="shared" ref="E56:F58" si="39">E57+(E$55-E$59)*K56/SUM(K$55:K$58)</f>
        <v>144.61421319796952</v>
      </c>
      <c r="F56" s="1575">
        <f t="shared" si="39"/>
        <v>108.42008196721311</v>
      </c>
      <c r="G56" s="3083">
        <v>2005</v>
      </c>
      <c r="H56" s="1585">
        <v>3</v>
      </c>
      <c r="I56" s="1585">
        <v>0.46</v>
      </c>
      <c r="J56" s="1585">
        <v>0.32</v>
      </c>
      <c r="K56" s="1585">
        <v>0.42</v>
      </c>
      <c r="L56" s="1586">
        <v>0.64</v>
      </c>
      <c r="N56" s="1622">
        <f t="shared" si="36"/>
        <v>1.3898515951301874E-2</v>
      </c>
      <c r="O56" s="1623">
        <f t="shared" si="36"/>
        <v>1.0585900169080346E-2</v>
      </c>
      <c r="P56" s="1623">
        <f t="shared" si="37"/>
        <v>5.3299492385786795E-2</v>
      </c>
      <c r="Q56" s="1623">
        <f t="shared" si="37"/>
        <v>4.2898728359123568E-3</v>
      </c>
      <c r="R56" s="1572"/>
      <c r="S56" s="1570"/>
      <c r="T56" s="1571"/>
      <c r="U56" s="1571"/>
      <c r="V56" s="1571"/>
      <c r="X56" s="1624"/>
      <c r="Y56" s="1624"/>
      <c r="Z56" s="1624"/>
    </row>
    <row r="57" spans="1:26">
      <c r="A57" s="1558" t="s">
        <v>1085</v>
      </c>
      <c r="B57" s="1575">
        <f t="shared" si="38"/>
        <v>124.29032258064517</v>
      </c>
      <c r="C57" s="1575">
        <f t="shared" si="38"/>
        <v>123.8968609865471</v>
      </c>
      <c r="D57" s="1575">
        <f t="shared" si="10"/>
        <v>123.8968609865471</v>
      </c>
      <c r="E57" s="1575">
        <f t="shared" si="39"/>
        <v>138.00507614213197</v>
      </c>
      <c r="F57" s="1575">
        <f t="shared" si="39"/>
        <v>107.96106557377048</v>
      </c>
      <c r="G57" s="3083">
        <v>2005</v>
      </c>
      <c r="H57" s="1562">
        <v>2</v>
      </c>
      <c r="I57" s="1562">
        <v>0.47</v>
      </c>
      <c r="J57" s="1562">
        <v>0.1</v>
      </c>
      <c r="K57" s="1562">
        <v>0.52</v>
      </c>
      <c r="L57" s="1577">
        <v>0.79</v>
      </c>
      <c r="N57" s="1622">
        <f t="shared" si="36"/>
        <v>1.420065760241713E-2</v>
      </c>
      <c r="O57" s="1623">
        <f t="shared" si="36"/>
        <v>3.3080938028376083E-3</v>
      </c>
      <c r="P57" s="1623">
        <f t="shared" si="37"/>
        <v>6.598984771573603E-2</v>
      </c>
      <c r="Q57" s="1623">
        <f t="shared" si="37"/>
        <v>5.2953117818293153E-3</v>
      </c>
      <c r="R57" s="1572"/>
      <c r="S57" s="1570"/>
      <c r="T57" s="1571"/>
      <c r="U57" s="1571"/>
      <c r="V57" s="1571"/>
      <c r="X57" s="1624"/>
      <c r="Y57" s="1624"/>
      <c r="Z57" s="1624"/>
    </row>
    <row r="58" spans="1:26">
      <c r="A58" s="1558" t="s">
        <v>1086</v>
      </c>
      <c r="B58" s="1575">
        <f t="shared" si="38"/>
        <v>122.57204301075269</v>
      </c>
      <c r="C58" s="1575">
        <f t="shared" si="38"/>
        <v>123.4932735426009</v>
      </c>
      <c r="D58" s="1575">
        <f t="shared" si="10"/>
        <v>123.4932735426009</v>
      </c>
      <c r="E58" s="1575">
        <f t="shared" si="39"/>
        <v>129.82233502538071</v>
      </c>
      <c r="F58" s="1575">
        <f t="shared" si="39"/>
        <v>107.39446721311475</v>
      </c>
      <c r="G58" s="3084">
        <v>2005</v>
      </c>
      <c r="H58" s="1561">
        <v>1</v>
      </c>
      <c r="I58" s="1561">
        <v>0.43</v>
      </c>
      <c r="J58" s="1561">
        <v>0.37</v>
      </c>
      <c r="K58" s="1561">
        <v>0.37</v>
      </c>
      <c r="L58" s="1576">
        <v>0.55000000000000004</v>
      </c>
      <c r="N58" s="1625">
        <f t="shared" si="36"/>
        <v>1.2992090997956099E-2</v>
      </c>
      <c r="O58" s="1626">
        <f t="shared" si="36"/>
        <v>1.2239947070499151E-2</v>
      </c>
      <c r="P58" s="1626">
        <f t="shared" si="37"/>
        <v>4.6954314720812178E-2</v>
      </c>
      <c r="Q58" s="1626">
        <f t="shared" si="37"/>
        <v>3.6866094683621815E-3</v>
      </c>
      <c r="R58" s="1572"/>
      <c r="S58" s="1578">
        <f>B58/B59-1</f>
        <v>1.2992090997956174E-2</v>
      </c>
      <c r="T58" s="1579">
        <f>C58/C59-1</f>
        <v>1.2239947070499246E-2</v>
      </c>
      <c r="U58" s="1579">
        <f>E58/E59-1</f>
        <v>4.695431472081224E-2</v>
      </c>
      <c r="V58" s="1579">
        <f>F58/F59-1</f>
        <v>3.6866094683620787E-3</v>
      </c>
      <c r="X58" s="1624"/>
      <c r="Y58" s="1624"/>
      <c r="Z58" s="1624"/>
    </row>
    <row r="59" spans="1:26" ht="13.5" thickBot="1">
      <c r="A59" s="1558" t="s">
        <v>1087</v>
      </c>
      <c r="B59" s="1609">
        <v>121</v>
      </c>
      <c r="C59" s="1609">
        <v>122</v>
      </c>
      <c r="D59" s="1609">
        <f t="shared" si="10"/>
        <v>122</v>
      </c>
      <c r="E59" s="1609">
        <v>124</v>
      </c>
      <c r="F59" s="1610">
        <v>107</v>
      </c>
      <c r="G59" s="3082">
        <v>2004</v>
      </c>
      <c r="H59" s="1580">
        <v>4</v>
      </c>
      <c r="I59" s="1580">
        <v>0.33</v>
      </c>
      <c r="J59" s="1580">
        <v>0.5</v>
      </c>
      <c r="K59" s="1580">
        <v>0.5</v>
      </c>
      <c r="L59" s="1581">
        <v>0</v>
      </c>
      <c r="N59" s="1622">
        <f t="shared" ref="N59:O62" si="40">I59/SUM(I$59:I$62)*(B$59/B$63-1)</f>
        <v>1.3391770148526898E-2</v>
      </c>
      <c r="O59" s="1623">
        <f t="shared" si="40"/>
        <v>1.063264221158958E-2</v>
      </c>
      <c r="P59" s="1623">
        <f t="shared" ref="P59:Q62" si="41">K59/SUM(K$59:K$62)*(E$59/E$63-1)</f>
        <v>2.2244466688911134E-2</v>
      </c>
      <c r="Q59" s="1623">
        <f t="shared" si="41"/>
        <v>0</v>
      </c>
      <c r="R59" s="1572"/>
      <c r="S59" s="1573"/>
      <c r="T59" s="1574"/>
      <c r="U59" s="1574"/>
      <c r="V59" s="1574"/>
      <c r="X59" s="1624"/>
      <c r="Y59" s="1624"/>
      <c r="Z59" s="1624"/>
    </row>
    <row r="60" spans="1:26">
      <c r="A60" s="1558" t="s">
        <v>1088</v>
      </c>
      <c r="B60" s="1575">
        <f t="shared" ref="B60:C62" si="42">B61+(B$59-B$63)*I60/SUM(I$59:I$62)</f>
        <v>119.51351351351352</v>
      </c>
      <c r="C60" s="1575">
        <f t="shared" si="42"/>
        <v>120.7878787878788</v>
      </c>
      <c r="D60" s="1575">
        <f t="shared" si="10"/>
        <v>120.7878787878788</v>
      </c>
      <c r="E60" s="1575">
        <f t="shared" ref="E60:F62" si="43">E61+(E$59-E$63)*K60/SUM(K$59:K$62)</f>
        <v>121.5975975975976</v>
      </c>
      <c r="F60" s="1575">
        <f t="shared" si="43"/>
        <v>107</v>
      </c>
      <c r="G60" s="3083">
        <v>2004</v>
      </c>
      <c r="H60" s="1585">
        <v>3</v>
      </c>
      <c r="I60" s="1585">
        <v>0.56000000000000005</v>
      </c>
      <c r="J60" s="1585">
        <v>0.8</v>
      </c>
      <c r="K60" s="1585">
        <v>0.83</v>
      </c>
      <c r="L60" s="1586">
        <v>0.06</v>
      </c>
      <c r="N60" s="1622">
        <f t="shared" si="40"/>
        <v>2.2725428130833527E-2</v>
      </c>
      <c r="O60" s="1623">
        <f t="shared" si="40"/>
        <v>1.7012227538543329E-2</v>
      </c>
      <c r="P60" s="1623">
        <f t="shared" si="41"/>
        <v>3.6925814703592477E-2</v>
      </c>
      <c r="Q60" s="1623">
        <f t="shared" si="41"/>
        <v>2.8846153846153744E-2</v>
      </c>
      <c r="R60" s="1572"/>
      <c r="S60" s="1570"/>
      <c r="T60" s="1571"/>
      <c r="U60" s="1571"/>
      <c r="V60" s="1571"/>
      <c r="X60" s="1624"/>
      <c r="Y60" s="1624"/>
      <c r="Z60" s="1624"/>
    </row>
    <row r="61" spans="1:26">
      <c r="A61" s="1558" t="s">
        <v>1089</v>
      </c>
      <c r="B61" s="1575">
        <f t="shared" si="42"/>
        <v>116.99099099099099</v>
      </c>
      <c r="C61" s="1575">
        <f t="shared" si="42"/>
        <v>118.84848484848486</v>
      </c>
      <c r="D61" s="1575">
        <f t="shared" si="10"/>
        <v>118.84848484848486</v>
      </c>
      <c r="E61" s="1575">
        <f t="shared" si="43"/>
        <v>117.60960960960961</v>
      </c>
      <c r="F61" s="1575">
        <f t="shared" si="43"/>
        <v>104</v>
      </c>
      <c r="G61" s="3083">
        <v>2004</v>
      </c>
      <c r="H61" s="1562">
        <v>2</v>
      </c>
      <c r="I61" s="1562">
        <v>1</v>
      </c>
      <c r="J61" s="1562">
        <v>1.5</v>
      </c>
      <c r="K61" s="1562">
        <v>1.5</v>
      </c>
      <c r="L61" s="1577">
        <v>0</v>
      </c>
      <c r="N61" s="1622">
        <f t="shared" si="40"/>
        <v>4.0581121662202721E-2</v>
      </c>
      <c r="O61" s="1623">
        <f t="shared" si="40"/>
        <v>3.1897926634768738E-2</v>
      </c>
      <c r="P61" s="1623">
        <f t="shared" si="41"/>
        <v>6.6733400066733395E-2</v>
      </c>
      <c r="Q61" s="1623">
        <f t="shared" si="41"/>
        <v>0</v>
      </c>
      <c r="R61" s="1572"/>
      <c r="S61" s="1570"/>
      <c r="T61" s="1571"/>
      <c r="U61" s="1571"/>
      <c r="V61" s="1571"/>
      <c r="X61" s="1624"/>
      <c r="Y61" s="1624"/>
      <c r="Z61" s="1624"/>
    </row>
    <row r="62" spans="1:26" s="1615" customFormat="1" ht="13.5" thickBot="1">
      <c r="A62" s="1558" t="s">
        <v>1090</v>
      </c>
      <c r="B62" s="1612">
        <f t="shared" si="42"/>
        <v>112.48648648648648</v>
      </c>
      <c r="C62" s="1612">
        <f t="shared" si="42"/>
        <v>115.21212121212122</v>
      </c>
      <c r="D62" s="1612">
        <f t="shared" si="10"/>
        <v>115.21212121212122</v>
      </c>
      <c r="E62" s="1612">
        <f t="shared" si="43"/>
        <v>110.4024024024024</v>
      </c>
      <c r="F62" s="1612">
        <f t="shared" si="43"/>
        <v>104</v>
      </c>
      <c r="G62" s="3084">
        <v>2004</v>
      </c>
      <c r="H62" s="1613">
        <v>1</v>
      </c>
      <c r="I62" s="1613">
        <v>0.33</v>
      </c>
      <c r="J62" s="1613">
        <v>0.5</v>
      </c>
      <c r="K62" s="1613">
        <v>0.5</v>
      </c>
      <c r="L62" s="1614">
        <v>0</v>
      </c>
      <c r="N62" s="1627">
        <f t="shared" si="40"/>
        <v>1.3391770148526898E-2</v>
      </c>
      <c r="O62" s="1628">
        <f t="shared" si="40"/>
        <v>1.063264221158958E-2</v>
      </c>
      <c r="P62" s="1628">
        <f t="shared" si="41"/>
        <v>2.2244466688911134E-2</v>
      </c>
      <c r="Q62" s="1628">
        <f t="shared" si="41"/>
        <v>0</v>
      </c>
      <c r="R62" s="1618"/>
      <c r="S62" s="1616">
        <f>B62/B63-1</f>
        <v>1.3391770148526883E-2</v>
      </c>
      <c r="T62" s="1617">
        <f>C62/C63-1</f>
        <v>1.063264221158966E-2</v>
      </c>
      <c r="U62" s="1617">
        <f>E62/E63-1</f>
        <v>2.2244466688911224E-2</v>
      </c>
      <c r="V62" s="1617">
        <f>F62/F63-1</f>
        <v>0</v>
      </c>
      <c r="X62" s="1629"/>
      <c r="Y62" s="1629"/>
      <c r="Z62" s="1629"/>
    </row>
    <row r="63" spans="1:26" ht="13.5" thickBot="1">
      <c r="A63" s="1558" t="s">
        <v>1091</v>
      </c>
      <c r="B63" s="1630">
        <v>111</v>
      </c>
      <c r="C63" s="1630">
        <v>114</v>
      </c>
      <c r="D63" s="1630">
        <f t="shared" si="10"/>
        <v>114</v>
      </c>
      <c r="E63" s="1630">
        <v>108</v>
      </c>
      <c r="F63" s="1631">
        <v>104</v>
      </c>
      <c r="G63" s="3082">
        <v>2003</v>
      </c>
      <c r="H63" s="1620">
        <v>4</v>
      </c>
      <c r="I63" s="1632"/>
      <c r="J63" s="1632"/>
      <c r="K63" s="1632"/>
      <c r="L63" s="1632"/>
      <c r="N63" s="1633"/>
      <c r="O63" s="1632"/>
      <c r="P63" s="1632"/>
      <c r="Q63" s="1632"/>
      <c r="S63" s="1633"/>
      <c r="T63" s="1632"/>
      <c r="U63" s="1632"/>
      <c r="V63" s="1632"/>
      <c r="X63" s="1624"/>
      <c r="Y63" s="1624"/>
      <c r="Z63" s="1624"/>
    </row>
    <row r="64" spans="1:26">
      <c r="A64" s="1558" t="s">
        <v>1092</v>
      </c>
      <c r="B64" s="1634">
        <f t="shared" ref="B64:C66" si="44">B65+(B$63-B$67)/4</f>
        <v>109.75</v>
      </c>
      <c r="C64" s="1634">
        <f t="shared" si="44"/>
        <v>112.25</v>
      </c>
      <c r="D64" s="1634">
        <f t="shared" si="10"/>
        <v>112.25</v>
      </c>
      <c r="E64" s="1634">
        <f t="shared" ref="E64:F66" si="45">E65+(E$63-E$67)/4</f>
        <v>107.25</v>
      </c>
      <c r="F64" s="1634">
        <f t="shared" si="45"/>
        <v>103.5</v>
      </c>
      <c r="G64" s="3083">
        <v>2003</v>
      </c>
      <c r="H64" s="1585">
        <v>3</v>
      </c>
      <c r="I64" s="1632"/>
      <c r="J64" s="1632"/>
      <c r="K64" s="1632"/>
      <c r="L64" s="1632"/>
      <c r="X64" s="1624"/>
      <c r="Y64" s="1624"/>
      <c r="Z64" s="1624"/>
    </row>
    <row r="65" spans="1:26">
      <c r="A65" s="1558" t="s">
        <v>1093</v>
      </c>
      <c r="B65" s="1634">
        <f t="shared" si="44"/>
        <v>108.5</v>
      </c>
      <c r="C65" s="1634">
        <f t="shared" si="44"/>
        <v>110.5</v>
      </c>
      <c r="D65" s="1634">
        <f t="shared" si="10"/>
        <v>110.5</v>
      </c>
      <c r="E65" s="1634">
        <f t="shared" si="45"/>
        <v>106.5</v>
      </c>
      <c r="F65" s="1634">
        <f t="shared" si="45"/>
        <v>103</v>
      </c>
      <c r="G65" s="3083">
        <v>2003</v>
      </c>
      <c r="H65" s="1562">
        <v>2</v>
      </c>
      <c r="I65" s="1632"/>
      <c r="J65" s="1632"/>
      <c r="K65" s="1632"/>
      <c r="L65" s="1632"/>
      <c r="X65" s="1624"/>
      <c r="Y65" s="1624"/>
      <c r="Z65" s="1624"/>
    </row>
    <row r="66" spans="1:26" ht="13.5" thickBot="1">
      <c r="A66" s="1558" t="s">
        <v>1094</v>
      </c>
      <c r="B66" s="1634">
        <f t="shared" si="44"/>
        <v>107.25</v>
      </c>
      <c r="C66" s="1634">
        <f t="shared" si="44"/>
        <v>108.75</v>
      </c>
      <c r="D66" s="1634">
        <f t="shared" si="10"/>
        <v>108.75</v>
      </c>
      <c r="E66" s="1634">
        <f t="shared" si="45"/>
        <v>105.75</v>
      </c>
      <c r="F66" s="1634">
        <f t="shared" si="45"/>
        <v>102.5</v>
      </c>
      <c r="G66" s="3084">
        <v>2003</v>
      </c>
      <c r="H66" s="1635">
        <v>1</v>
      </c>
      <c r="I66" s="1632"/>
      <c r="J66" s="1632"/>
      <c r="K66" s="1632"/>
      <c r="L66" s="1632"/>
      <c r="S66" s="1570"/>
      <c r="T66" s="1571"/>
      <c r="U66" s="1571"/>
      <c r="X66" s="1624"/>
      <c r="Y66" s="1624"/>
      <c r="Z66" s="1624"/>
    </row>
    <row r="67" spans="1:26" ht="13.5" thickBot="1">
      <c r="A67" s="1558" t="s">
        <v>1095</v>
      </c>
      <c r="B67" s="1636">
        <v>106</v>
      </c>
      <c r="C67" s="1636">
        <v>107</v>
      </c>
      <c r="D67" s="1636">
        <f t="shared" si="10"/>
        <v>107</v>
      </c>
      <c r="E67" s="1636">
        <v>105</v>
      </c>
      <c r="F67" s="1637">
        <v>102</v>
      </c>
      <c r="G67" s="3082">
        <v>2002</v>
      </c>
      <c r="H67" s="1580">
        <v>4</v>
      </c>
      <c r="I67" s="1632"/>
      <c r="J67" s="1632"/>
      <c r="K67" s="1632"/>
      <c r="L67" s="1632"/>
      <c r="N67" s="1633"/>
      <c r="O67" s="1632"/>
      <c r="P67" s="1632"/>
      <c r="Q67" s="1632"/>
      <c r="S67" s="1633"/>
      <c r="T67" s="1632"/>
      <c r="U67" s="1632"/>
      <c r="V67" s="1632"/>
      <c r="X67" s="1624"/>
      <c r="Y67" s="1624"/>
      <c r="Z67" s="1624"/>
    </row>
    <row r="68" spans="1:26">
      <c r="A68" s="1558" t="s">
        <v>1096</v>
      </c>
      <c r="B68" s="1634">
        <f t="shared" ref="B68:C70" si="46">B69+(B$67-B$71)/4</f>
        <v>105</v>
      </c>
      <c r="C68" s="1634">
        <f t="shared" si="46"/>
        <v>106</v>
      </c>
      <c r="D68" s="1634">
        <f t="shared" si="10"/>
        <v>106</v>
      </c>
      <c r="E68" s="1634">
        <f t="shared" ref="E68:F70" si="47">E69+(E$67-E$71)/4</f>
        <v>104.5</v>
      </c>
      <c r="F68" s="1634">
        <f t="shared" si="47"/>
        <v>101.5</v>
      </c>
      <c r="G68" s="3083">
        <v>2002</v>
      </c>
      <c r="H68" s="1585">
        <v>3</v>
      </c>
      <c r="I68" s="1632"/>
      <c r="J68" s="1632"/>
      <c r="K68" s="1632"/>
      <c r="L68" s="1632"/>
      <c r="X68" s="1624"/>
      <c r="Y68" s="1624"/>
      <c r="Z68" s="1624"/>
    </row>
    <row r="69" spans="1:26">
      <c r="A69" s="1558" t="s">
        <v>1097</v>
      </c>
      <c r="B69" s="1634">
        <f t="shared" si="46"/>
        <v>104</v>
      </c>
      <c r="C69" s="1634">
        <f t="shared" si="46"/>
        <v>105</v>
      </c>
      <c r="D69" s="1634">
        <f t="shared" si="10"/>
        <v>105</v>
      </c>
      <c r="E69" s="1634">
        <f t="shared" si="47"/>
        <v>104</v>
      </c>
      <c r="F69" s="1634">
        <f t="shared" si="47"/>
        <v>101</v>
      </c>
      <c r="G69" s="3083">
        <v>2002</v>
      </c>
      <c r="H69" s="1562">
        <v>2</v>
      </c>
      <c r="I69" s="1632"/>
      <c r="J69" s="1632"/>
      <c r="K69" s="1632"/>
      <c r="L69" s="1632"/>
      <c r="X69" s="1624"/>
      <c r="Y69" s="1624"/>
      <c r="Z69" s="1624"/>
    </row>
    <row r="70" spans="1:26" s="1596" customFormat="1" ht="13.5" thickBot="1">
      <c r="A70" s="1592" t="s">
        <v>1098</v>
      </c>
      <c r="B70" s="1638">
        <f t="shared" si="46"/>
        <v>103</v>
      </c>
      <c r="C70" s="1638">
        <f t="shared" si="46"/>
        <v>104</v>
      </c>
      <c r="D70" s="1638">
        <f t="shared" si="10"/>
        <v>104</v>
      </c>
      <c r="E70" s="1638">
        <f t="shared" si="47"/>
        <v>103.5</v>
      </c>
      <c r="F70" s="1638">
        <f t="shared" si="47"/>
        <v>100.5</v>
      </c>
      <c r="G70" s="3084">
        <v>2002</v>
      </c>
      <c r="H70" s="1639">
        <v>1</v>
      </c>
      <c r="I70" s="1640"/>
      <c r="J70" s="1640"/>
      <c r="K70" s="1640"/>
      <c r="L70" s="1640"/>
      <c r="N70" s="1641"/>
      <c r="S70" s="1641"/>
      <c r="X70" s="1642"/>
      <c r="Y70" s="1642"/>
      <c r="Z70" s="1642"/>
    </row>
    <row r="71" spans="1:26" ht="13.5" thickBot="1">
      <c r="B71" s="1643">
        <v>102</v>
      </c>
      <c r="C71" s="1644">
        <v>103</v>
      </c>
      <c r="D71" s="1644">
        <f t="shared" si="10"/>
        <v>103</v>
      </c>
      <c r="E71" s="1644">
        <v>103</v>
      </c>
      <c r="F71" s="1645">
        <v>100</v>
      </c>
      <c r="I71" s="1632"/>
      <c r="J71" s="1632"/>
      <c r="K71" s="1632"/>
      <c r="L71" s="1632"/>
      <c r="N71" s="1633"/>
      <c r="O71" s="1632"/>
      <c r="P71" s="1632"/>
      <c r="Q71" s="1632"/>
      <c r="S71" s="1633"/>
      <c r="T71" s="1632"/>
      <c r="U71" s="1632"/>
      <c r="V71" s="1632"/>
      <c r="X71" s="1574"/>
      <c r="Y71" s="1574"/>
      <c r="Z71" s="1574"/>
    </row>
    <row r="73" spans="1:26" s="1647" customFormat="1">
      <c r="A73" s="1646" t="s">
        <v>1099</v>
      </c>
      <c r="G73" s="1648"/>
      <c r="N73" s="1648"/>
      <c r="S73" s="1648"/>
    </row>
    <row r="74" spans="1:26" s="1647" customFormat="1">
      <c r="A74" s="1647" t="s">
        <v>1100</v>
      </c>
      <c r="G74" s="1648"/>
      <c r="N74" s="1648"/>
      <c r="S74" s="1648"/>
    </row>
    <row r="75" spans="1:26" s="1647" customFormat="1">
      <c r="A75" s="1647" t="s">
        <v>1101</v>
      </c>
      <c r="G75" s="1648"/>
      <c r="I75" s="1649"/>
      <c r="J75" s="1649"/>
      <c r="K75" s="1649"/>
      <c r="L75" s="1649"/>
      <c r="N75" s="1650"/>
      <c r="O75" s="1649"/>
      <c r="P75" s="1649"/>
      <c r="Q75" s="1649"/>
      <c r="S75" s="1650"/>
      <c r="T75" s="1649"/>
      <c r="U75" s="1649"/>
      <c r="V75" s="1649"/>
    </row>
    <row r="76" spans="1:26" s="1647" customFormat="1">
      <c r="A76" s="1647" t="s">
        <v>1102</v>
      </c>
      <c r="G76" s="1648"/>
      <c r="N76" s="1648"/>
      <c r="S76" s="1648"/>
    </row>
    <row r="83" spans="7:22" ht="13.5" thickBot="1"/>
    <row r="84" spans="7:22">
      <c r="G84" s="1569"/>
      <c r="S84" s="1651" t="s">
        <v>1103</v>
      </c>
      <c r="T84" s="1652" t="s">
        <v>1104</v>
      </c>
      <c r="U84" s="1652" t="s">
        <v>1105</v>
      </c>
      <c r="V84" s="1652" t="s">
        <v>1106</v>
      </c>
    </row>
    <row r="85" spans="7:22">
      <c r="G85" s="1569"/>
      <c r="N85" s="1573"/>
      <c r="O85" s="1574"/>
      <c r="P85" s="1574"/>
      <c r="Q85" s="1574"/>
      <c r="S85" s="1653">
        <v>2006</v>
      </c>
      <c r="T85" s="1654">
        <v>15.1</v>
      </c>
      <c r="U85" s="1654">
        <v>7.43</v>
      </c>
      <c r="V85" s="1654">
        <v>26.26</v>
      </c>
    </row>
    <row r="86" spans="7:22">
      <c r="G86" s="1569"/>
      <c r="N86" s="1573"/>
      <c r="O86" s="1574"/>
      <c r="P86" s="1574"/>
      <c r="Q86" s="1574"/>
      <c r="S86" s="1655">
        <v>2005</v>
      </c>
      <c r="T86" s="1656">
        <v>13.9</v>
      </c>
      <c r="U86" s="1656">
        <v>7.49</v>
      </c>
      <c r="V86" s="1656">
        <v>24.92</v>
      </c>
    </row>
    <row r="87" spans="7:22">
      <c r="G87" s="1569"/>
      <c r="N87" s="1573"/>
      <c r="O87" s="1574"/>
      <c r="P87" s="1574"/>
      <c r="Q87" s="1574"/>
      <c r="S87" s="1653">
        <v>2004</v>
      </c>
      <c r="T87" s="1654">
        <v>9.48</v>
      </c>
      <c r="U87" s="1654">
        <v>7.2</v>
      </c>
      <c r="V87" s="1654">
        <v>14.68</v>
      </c>
    </row>
    <row r="88" spans="7:22">
      <c r="G88" s="1569"/>
      <c r="N88" s="1573"/>
      <c r="O88" s="1574"/>
      <c r="P88" s="1574"/>
      <c r="Q88" s="1574"/>
      <c r="S88" s="1655">
        <v>2003</v>
      </c>
      <c r="T88" s="1656">
        <v>4.5</v>
      </c>
      <c r="U88" s="1656">
        <v>6.12</v>
      </c>
      <c r="V88" s="1656">
        <v>2.34</v>
      </c>
    </row>
    <row r="89" spans="7:22" ht="13.5" thickBot="1">
      <c r="G89" s="1569"/>
      <c r="N89" s="1573"/>
      <c r="O89" s="1574"/>
      <c r="P89" s="1574"/>
      <c r="Q89" s="1574"/>
      <c r="S89" s="1657">
        <v>2002</v>
      </c>
      <c r="T89" s="1658">
        <v>3.59</v>
      </c>
      <c r="U89" s="1658">
        <v>4.54</v>
      </c>
      <c r="V89" s="1658">
        <v>2.5499999999999998</v>
      </c>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row r="105" spans="7:19">
      <c r="G105" s="1569"/>
      <c r="N105" s="1573"/>
      <c r="O105" s="1574"/>
      <c r="P105" s="1574"/>
      <c r="Q105" s="1574"/>
      <c r="S105" s="15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1185</v>
      </c>
      <c r="C1" s="1802">
        <f>项目基本情况!D2</f>
        <v>43257</v>
      </c>
      <c r="D1" s="1797" t="s">
        <v>1186</v>
      </c>
      <c r="E1" s="1803">
        <f>'数据-取费表'!B23</f>
        <v>2</v>
      </c>
      <c r="F1" s="1797" t="s">
        <v>1187</v>
      </c>
      <c r="G1" s="1804">
        <f ca="1">INDIRECT("d"&amp;$K$1)/100</f>
        <v>4.7500000000000001E-2</v>
      </c>
      <c r="H1" s="1797" t="s">
        <v>1217</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1188</v>
      </c>
      <c r="E2" s="1739"/>
      <c r="F2" s="1739" t="s">
        <v>1189</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1190</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1191</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1192</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1193</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1194</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1195</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1196</v>
      </c>
      <c r="C10" s="1767"/>
      <c r="D10" s="1767"/>
      <c r="E10" s="1767"/>
      <c r="F10" s="1767"/>
      <c r="G10" s="1767"/>
      <c r="H10" s="1767"/>
      <c r="I10" s="1741"/>
      <c r="J10" s="1741"/>
      <c r="K10" s="1767"/>
      <c r="L10" s="1768" t="s">
        <v>1197</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1198</v>
      </c>
      <c r="C11" s="1772" t="s">
        <v>1199</v>
      </c>
      <c r="D11" s="1773" t="s">
        <v>1200</v>
      </c>
      <c r="E11" s="1774"/>
      <c r="F11" s="1773" t="s">
        <v>1201</v>
      </c>
      <c r="G11" s="1775"/>
      <c r="H11" s="1774"/>
      <c r="I11" s="1773" t="s">
        <v>1202</v>
      </c>
      <c r="J11" s="1774"/>
      <c r="K11" s="1770"/>
      <c r="L11" s="1771" t="s">
        <v>1198</v>
      </c>
      <c r="M11" s="1772" t="s">
        <v>1199</v>
      </c>
      <c r="N11" s="1771" t="s">
        <v>1203</v>
      </c>
      <c r="O11" s="1773" t="s">
        <v>1204</v>
      </c>
      <c r="P11" s="1775"/>
      <c r="Q11" s="1775"/>
      <c r="R11" s="1775"/>
      <c r="S11" s="1775"/>
      <c r="T11" s="1774"/>
      <c r="U11" s="1773" t="s">
        <v>1205</v>
      </c>
      <c r="V11" s="1775"/>
      <c r="W11" s="1774"/>
      <c r="X11" s="1771" t="s">
        <v>1206</v>
      </c>
      <c r="Y11" s="1771" t="s">
        <v>1207</v>
      </c>
      <c r="Z11" s="1771" t="s">
        <v>1208</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1209</v>
      </c>
      <c r="E12" s="1780" t="s">
        <v>1210</v>
      </c>
      <c r="F12" s="1780" t="s">
        <v>1211</v>
      </c>
      <c r="G12" s="1780" t="s">
        <v>1212</v>
      </c>
      <c r="H12" s="1780" t="s">
        <v>1194</v>
      </c>
      <c r="I12" s="1781" t="s">
        <v>1213</v>
      </c>
      <c r="J12" s="1781" t="s">
        <v>1213</v>
      </c>
      <c r="K12" s="1777"/>
      <c r="L12" s="1778"/>
      <c r="M12" s="1779"/>
      <c r="N12" s="1778"/>
      <c r="O12" s="1781" t="s">
        <v>1214</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1215</v>
      </c>
      <c r="C13" s="1785">
        <v>42301</v>
      </c>
      <c r="D13" s="1786">
        <v>4.3499999999999996</v>
      </c>
      <c r="E13" s="1786">
        <v>4.3499999999999996</v>
      </c>
      <c r="F13" s="1786">
        <v>4.75</v>
      </c>
      <c r="G13" s="1786">
        <v>4.75</v>
      </c>
      <c r="H13" s="1786">
        <v>4.9000000000000004</v>
      </c>
      <c r="I13" s="1786">
        <v>2.75</v>
      </c>
      <c r="J13" s="1786">
        <v>3.25</v>
      </c>
      <c r="K13" s="1783"/>
      <c r="L13" s="1784" t="s">
        <v>1215</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1216</v>
      </c>
      <c r="Y42" s="1790" t="s">
        <v>1216</v>
      </c>
      <c r="Z42" s="1790" t="s">
        <v>1216</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1216</v>
      </c>
      <c r="Y43" s="1790" t="s">
        <v>1216</v>
      </c>
      <c r="Z43" s="1790" t="s">
        <v>1216</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1216</v>
      </c>
      <c r="Y44" s="1790" t="s">
        <v>1216</v>
      </c>
      <c r="Z44" s="1790" t="s">
        <v>1216</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1216</v>
      </c>
      <c r="Y45" s="1790" t="s">
        <v>1216</v>
      </c>
      <c r="Z45" s="1790" t="s">
        <v>1216</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1216</v>
      </c>
      <c r="Y46" s="1790" t="s">
        <v>1216</v>
      </c>
      <c r="Z46" s="1790" t="s">
        <v>1216</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1216</v>
      </c>
      <c r="Y47" s="1790" t="s">
        <v>1216</v>
      </c>
      <c r="Z47" s="1790" t="s">
        <v>1216</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1216</v>
      </c>
      <c r="Y48" s="1790" t="s">
        <v>1216</v>
      </c>
      <c r="Z48" s="1790" t="s">
        <v>1216</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1216</v>
      </c>
      <c r="Y49" s="1790" t="s">
        <v>1216</v>
      </c>
      <c r="Z49" s="1790" t="s">
        <v>1216</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1216</v>
      </c>
      <c r="Y50" s="1790" t="s">
        <v>1216</v>
      </c>
      <c r="Z50" s="1790" t="s">
        <v>1216</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1216</v>
      </c>
      <c r="V51" s="1790" t="s">
        <v>1216</v>
      </c>
      <c r="W51" s="1790" t="s">
        <v>1216</v>
      </c>
      <c r="X51" s="1790" t="s">
        <v>1216</v>
      </c>
      <c r="Y51" s="1790" t="s">
        <v>1216</v>
      </c>
      <c r="Z51" s="1790" t="s">
        <v>1216</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1216</v>
      </c>
      <c r="J55" s="1790" t="s">
        <v>1216</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0" sqref="C40"/>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2099</v>
      </c>
      <c r="B1" s="305"/>
      <c r="C1" s="728"/>
      <c r="D1" s="2702" t="s">
        <v>2835</v>
      </c>
      <c r="E1" s="2703" t="s">
        <v>1253</v>
      </c>
      <c r="F1" s="2704"/>
      <c r="G1" s="2705" t="e">
        <f>MATCH(C1,'数据-取费表'!A18:A18,0)+5</f>
        <v>#N/A</v>
      </c>
      <c r="H1" s="729"/>
      <c r="I1" s="1207"/>
      <c r="J1" s="1207"/>
      <c r="K1" s="1208"/>
      <c r="L1" s="1207"/>
      <c r="M1" s="1207"/>
      <c r="N1" s="795"/>
      <c r="O1" s="795"/>
      <c r="P1" s="795"/>
      <c r="Q1" s="1354"/>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2009</v>
      </c>
      <c r="B2" s="763">
        <f ca="1">IF(C2="元",IF('数据-取费表'!B28="租赁期内按合同租金",C40+L47+J29,C40+L47),ROUND(IF('数据-取费表'!B28="租赁期内按合同租金",(C40+L47+J29)/10000,(C40+L47)/10000),0))</f>
        <v>2000203</v>
      </c>
      <c r="C2" s="2332" t="str">
        <f>'数据-取费表'!B3</f>
        <v>元</v>
      </c>
      <c r="D2" s="1209"/>
      <c r="E2" s="1210"/>
      <c r="F2" s="1210"/>
      <c r="G2" s="1235"/>
      <c r="H2" s="727"/>
      <c r="I2" s="1211"/>
      <c r="J2" s="1211"/>
      <c r="K2" s="1212"/>
      <c r="L2" s="1211"/>
      <c r="M2" s="1211"/>
    </row>
    <row r="3" spans="1:37" ht="18" customHeight="1" thickBot="1">
      <c r="A3" s="309" t="s">
        <v>2010</v>
      </c>
      <c r="B3" s="764">
        <f ca="1">ROUND(IF('数据-取费表'!B28="租赁期内按合同租金",(C40+L47+J29)/F43,(C40+L47)/F43),0)</f>
        <v>19287</v>
      </c>
      <c r="C3" s="2332" t="s">
        <v>2100</v>
      </c>
      <c r="D3" s="1209"/>
      <c r="E3" s="1210"/>
      <c r="F3" s="1210"/>
      <c r="G3" s="1235"/>
      <c r="H3" s="310" t="s">
        <v>2101</v>
      </c>
      <c r="I3" s="1211"/>
      <c r="J3" s="1211"/>
      <c r="K3" s="1212"/>
      <c r="L3" s="1211"/>
      <c r="M3" s="1211"/>
    </row>
    <row r="4" spans="1:37" ht="18" customHeight="1">
      <c r="A4" s="311" t="s">
        <v>2102</v>
      </c>
      <c r="B4" s="312" t="s">
        <v>2103</v>
      </c>
      <c r="C4" s="312" t="s">
        <v>2104</v>
      </c>
      <c r="D4" s="312" t="s">
        <v>2105</v>
      </c>
      <c r="E4" s="313" t="s">
        <v>2106</v>
      </c>
      <c r="F4" s="314"/>
      <c r="G4" s="1233"/>
      <c r="H4" s="311" t="s">
        <v>2102</v>
      </c>
      <c r="I4" s="312" t="s">
        <v>2103</v>
      </c>
      <c r="J4" s="312" t="s">
        <v>2104</v>
      </c>
      <c r="K4" s="312" t="s">
        <v>2105</v>
      </c>
      <c r="L4" s="313" t="s">
        <v>2106</v>
      </c>
      <c r="M4" s="314"/>
    </row>
    <row r="5" spans="1:37" ht="18" customHeight="1">
      <c r="A5" s="315">
        <v>1</v>
      </c>
      <c r="B5" s="316" t="s">
        <v>2107</v>
      </c>
      <c r="C5" s="317">
        <f ca="1">C6+C10+C12</f>
        <v>70288</v>
      </c>
      <c r="D5" s="2333" t="s">
        <v>2108</v>
      </c>
      <c r="E5" s="1209"/>
      <c r="F5" s="1378"/>
      <c r="G5" s="1233"/>
      <c r="H5" s="315">
        <v>1</v>
      </c>
      <c r="I5" s="316" t="s">
        <v>2107</v>
      </c>
      <c r="J5" s="317">
        <f ca="1">J6+J10+J12</f>
        <v>0</v>
      </c>
      <c r="K5" s="2333" t="s">
        <v>2108</v>
      </c>
      <c r="L5" s="1209"/>
      <c r="M5" s="1378"/>
    </row>
    <row r="6" spans="1:37" ht="18" customHeight="1">
      <c r="A6" s="1379" t="s">
        <v>2109</v>
      </c>
      <c r="B6" s="2019" t="s">
        <v>2110</v>
      </c>
      <c r="C6" s="317">
        <f>ROUND(F6*F8*F7*(1-F9),0)</f>
        <v>70200</v>
      </c>
      <c r="D6" s="79" t="s">
        <v>2807</v>
      </c>
      <c r="E6" s="318" t="s">
        <v>2111</v>
      </c>
      <c r="F6" s="319">
        <f>'数据-取费表'!B29</f>
        <v>6500</v>
      </c>
      <c r="G6" s="1233"/>
      <c r="H6" s="1379" t="s">
        <v>2109</v>
      </c>
      <c r="I6" s="2019" t="s">
        <v>2110</v>
      </c>
      <c r="J6" s="317">
        <f>ROUND(M6*M8*M7*(1-M9),0)</f>
        <v>0</v>
      </c>
      <c r="K6" s="79" t="s">
        <v>2807</v>
      </c>
      <c r="L6" s="318" t="s">
        <v>2111</v>
      </c>
      <c r="M6" s="319">
        <f>'数据-取费表'!B36</f>
        <v>0</v>
      </c>
    </row>
    <row r="7" spans="1:37" ht="18" customHeight="1">
      <c r="A7" s="1442"/>
      <c r="B7" s="321"/>
      <c r="C7" s="322"/>
      <c r="D7" s="323"/>
      <c r="E7" s="318" t="s">
        <v>2112</v>
      </c>
      <c r="F7" s="319">
        <f>IF('数据-取费表'!B41="",IF(D1="仅计算典型户型",'数据-取费表'!E5,'数据-取费表'!B5),'数据-取费表'!B41)</f>
        <v>1</v>
      </c>
      <c r="G7" s="1233"/>
      <c r="H7" s="320"/>
      <c r="I7" s="321"/>
      <c r="J7" s="322"/>
      <c r="K7" s="323"/>
      <c r="L7" s="318" t="s">
        <v>2112</v>
      </c>
      <c r="M7" s="319">
        <f>IF('数据-取费表'!B41="",IF(D1="仅计算典型户型",'数据-取费表'!E5,'数据-取费表'!B5),'数据-取费表'!B41)</f>
        <v>1</v>
      </c>
    </row>
    <row r="8" spans="1:37" ht="18" customHeight="1">
      <c r="A8" s="1442"/>
      <c r="B8" s="321"/>
      <c r="C8" s="322"/>
      <c r="D8" s="323"/>
      <c r="E8" s="318" t="s">
        <v>2113</v>
      </c>
      <c r="F8" s="319">
        <f>'数据-取费表'!B42</f>
        <v>12</v>
      </c>
      <c r="G8" s="1233"/>
      <c r="H8" s="320"/>
      <c r="I8" s="321"/>
      <c r="J8" s="322"/>
      <c r="K8" s="323"/>
      <c r="L8" s="318" t="s">
        <v>2114</v>
      </c>
      <c r="M8" s="319">
        <f>'数据-取费表'!B42</f>
        <v>12</v>
      </c>
    </row>
    <row r="9" spans="1:37" ht="18" customHeight="1">
      <c r="A9" s="1442"/>
      <c r="B9" s="321"/>
      <c r="C9" s="322"/>
      <c r="D9" s="327"/>
      <c r="E9" s="318" t="s">
        <v>2115</v>
      </c>
      <c r="F9" s="328">
        <f>'数据-取费表'!B32</f>
        <v>0.1</v>
      </c>
      <c r="G9" s="1233"/>
      <c r="H9" s="320"/>
      <c r="I9" s="321"/>
      <c r="J9" s="1381"/>
      <c r="K9" s="94"/>
      <c r="L9" s="329" t="s">
        <v>2115</v>
      </c>
      <c r="M9" s="328">
        <f>'数据-取费表'!B38</f>
        <v>0</v>
      </c>
    </row>
    <row r="10" spans="1:37" ht="18" customHeight="1">
      <c r="A10" s="1379" t="s">
        <v>2116</v>
      </c>
      <c r="B10" s="2334" t="s">
        <v>2117</v>
      </c>
      <c r="C10" s="1380">
        <f ca="1">ROUND(IF(F10="押一",C6/12*F11,IF(F10="押二",C6/12*2*F11,IF(F10="押三",C6/12*3*F11,C11*F11))),0)</f>
        <v>88</v>
      </c>
      <c r="D10" s="2335" t="s">
        <v>2815</v>
      </c>
      <c r="E10" s="329" t="s">
        <v>2118</v>
      </c>
      <c r="F10" s="2336" t="s">
        <v>2119</v>
      </c>
      <c r="G10" s="1233"/>
      <c r="H10" s="1379" t="s">
        <v>2116</v>
      </c>
      <c r="I10" s="2334" t="s">
        <v>2117</v>
      </c>
      <c r="J10" s="1380">
        <f ca="1">ROUND(IF(M10="押一",J6/12*M11,IF(M10="押二",J6/12*2*M11,IF(M10="押三",J6/12*3*M11,J11*M11))),0)</f>
        <v>0</v>
      </c>
      <c r="K10" s="79" t="s">
        <v>2815</v>
      </c>
      <c r="L10" s="329" t="s">
        <v>2118</v>
      </c>
      <c r="M10" s="2336"/>
    </row>
    <row r="11" spans="1:37" s="340" customFormat="1" ht="18" customHeight="1">
      <c r="A11" s="347"/>
      <c r="B11" s="2337" t="s">
        <v>2120</v>
      </c>
      <c r="C11" s="1413"/>
      <c r="D11" s="323"/>
      <c r="E11" s="329" t="s">
        <v>2121</v>
      </c>
      <c r="F11" s="330">
        <f ca="1">'数据-取费表'!B30</f>
        <v>1.4999999999999999E-2</v>
      </c>
      <c r="G11" s="1234"/>
      <c r="H11" s="324"/>
      <c r="I11" s="2337" t="s">
        <v>2122</v>
      </c>
      <c r="J11" s="1413"/>
      <c r="K11" s="323"/>
      <c r="L11" s="329" t="s">
        <v>2121</v>
      </c>
      <c r="M11" s="330">
        <f ca="1">'数据-取费表'!B30</f>
        <v>1.4999999999999999E-2</v>
      </c>
      <c r="N11" s="794"/>
      <c r="O11" s="794"/>
      <c r="P11" s="794"/>
      <c r="Q11" s="1355"/>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9" t="s">
        <v>2123</v>
      </c>
      <c r="B12" s="2338" t="s">
        <v>2124</v>
      </c>
      <c r="C12" s="1420"/>
      <c r="D12" s="2339"/>
      <c r="E12" s="1426"/>
      <c r="F12" s="1421"/>
      <c r="G12" s="1233"/>
      <c r="H12" s="1419" t="s">
        <v>2123</v>
      </c>
      <c r="I12" s="2338" t="s">
        <v>2124</v>
      </c>
      <c r="J12" s="1420"/>
      <c r="K12" s="1436"/>
      <c r="L12" s="1426"/>
      <c r="M12" s="1437"/>
    </row>
    <row r="13" spans="1:37" s="340" customFormat="1" ht="18" customHeight="1" thickTop="1">
      <c r="A13" s="1415">
        <v>2</v>
      </c>
      <c r="B13" s="1416" t="s">
        <v>2125</v>
      </c>
      <c r="C13" s="326">
        <f ca="1">ROUND(C29*F13,0)</f>
        <v>421801</v>
      </c>
      <c r="D13" s="1417" t="s">
        <v>2126</v>
      </c>
      <c r="E13" s="1417" t="s">
        <v>2127</v>
      </c>
      <c r="F13" s="1418">
        <f>'数据-取费表'!E20</f>
        <v>0.73</v>
      </c>
      <c r="G13" s="1234"/>
      <c r="H13" s="1415">
        <v>2</v>
      </c>
      <c r="I13" s="1416" t="s">
        <v>2125</v>
      </c>
      <c r="J13" s="1381">
        <f ca="1">ROUND(J14*J15,0)</f>
        <v>0</v>
      </c>
      <c r="K13" s="1422" t="s">
        <v>2126</v>
      </c>
      <c r="L13" s="1434"/>
      <c r="M13" s="1435"/>
      <c r="N13" s="794"/>
      <c r="O13" s="794"/>
      <c r="P13" s="794"/>
      <c r="Q13" s="1355"/>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2128</v>
      </c>
      <c r="B14" s="318" t="s">
        <v>2129</v>
      </c>
      <c r="C14" s="337">
        <f>IF(D1="仅计算典型户型",'数据-取费表'!F18,'数据-取费表'!E18)</f>
        <v>414840</v>
      </c>
      <c r="D14" s="1883" t="s">
        <v>2130</v>
      </c>
      <c r="E14" s="1884"/>
      <c r="F14" s="977"/>
      <c r="G14" s="1234"/>
      <c r="H14" s="336" t="s">
        <v>2109</v>
      </c>
      <c r="I14" s="318" t="s">
        <v>2131</v>
      </c>
      <c r="J14" s="14">
        <f ca="1">C29</f>
        <v>577810</v>
      </c>
      <c r="K14" s="12"/>
      <c r="L14" s="334"/>
      <c r="M14" s="335"/>
      <c r="N14" s="794"/>
      <c r="O14" s="794"/>
      <c r="P14" s="794"/>
      <c r="Q14" s="1355"/>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2132</v>
      </c>
      <c r="B15" s="318" t="s">
        <v>2133</v>
      </c>
      <c r="C15" s="14">
        <f>ROUND(C14*F15,0)</f>
        <v>12445</v>
      </c>
      <c r="D15" s="338" t="s">
        <v>2134</v>
      </c>
      <c r="E15" s="338" t="s">
        <v>2135</v>
      </c>
      <c r="F15" s="339">
        <f>'数据-取费表'!E21</f>
        <v>0.03</v>
      </c>
      <c r="G15" s="1233"/>
      <c r="H15" s="1425" t="s">
        <v>2136</v>
      </c>
      <c r="I15" s="1426" t="s">
        <v>2137</v>
      </c>
      <c r="J15" s="1438">
        <f>'数据-取费表'!B39</f>
        <v>0</v>
      </c>
      <c r="K15" s="1439"/>
      <c r="L15" s="1440"/>
      <c r="M15" s="1441"/>
    </row>
    <row r="16" spans="1:37" s="340" customFormat="1" ht="18" customHeight="1" thickTop="1">
      <c r="A16" s="336" t="s">
        <v>2138</v>
      </c>
      <c r="B16" s="318" t="s">
        <v>2139</v>
      </c>
      <c r="C16" s="14">
        <f>ROUND(C14*F16,0)</f>
        <v>12445</v>
      </c>
      <c r="D16" s="318" t="s">
        <v>2134</v>
      </c>
      <c r="E16" s="318" t="s">
        <v>2135</v>
      </c>
      <c r="F16" s="341">
        <f>IF('数据-取费表'!B10="住宅",'数据-取费表'!E22,0)</f>
        <v>0.03</v>
      </c>
      <c r="G16" s="1234"/>
      <c r="H16" s="1415" t="s">
        <v>14</v>
      </c>
      <c r="I16" s="1416" t="s">
        <v>2140</v>
      </c>
      <c r="J16" s="326">
        <f ca="1">ROUND(J17+J22+J23+J24,0)</f>
        <v>8667</v>
      </c>
      <c r="K16" s="1422" t="s">
        <v>2141</v>
      </c>
      <c r="L16" s="1423"/>
      <c r="M16" s="1424"/>
      <c r="N16" s="794"/>
      <c r="O16" s="794"/>
      <c r="P16" s="794"/>
      <c r="Q16" s="1355"/>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2142</v>
      </c>
      <c r="B17" s="318" t="s">
        <v>2143</v>
      </c>
      <c r="C17" s="14">
        <f>ROUND(F17*IF(D1="仅计算典型户型",'数据-取费表'!E5,'数据-取费表'!B5),0)</f>
        <v>20742</v>
      </c>
      <c r="D17" s="318" t="s">
        <v>2144</v>
      </c>
      <c r="E17" s="318" t="s">
        <v>2145</v>
      </c>
      <c r="F17" s="16">
        <f>'数据-取费表'!E23</f>
        <v>200</v>
      </c>
      <c r="G17" s="1234"/>
      <c r="H17" s="336" t="s">
        <v>2146</v>
      </c>
      <c r="I17" s="318" t="s">
        <v>2147</v>
      </c>
      <c r="J17" s="14">
        <f ca="1">ROUND(IF(项目基本情况!B7="自然人",J5*M17,J18+J19+J20),0)</f>
        <v>0</v>
      </c>
      <c r="K17" s="1883" t="s">
        <v>2148</v>
      </c>
      <c r="L17" s="1888" t="s">
        <v>2149</v>
      </c>
      <c r="M17" s="342">
        <f>IF(项目基本情况!B7="企业","",IF('数据-取费表'!B10="住宅",5%,IF(M6*M7*M8/12/(1+'数据-取费表'!F30)&gt;20000,12%,7%)))</f>
        <v>0.05</v>
      </c>
      <c r="N17" s="794"/>
      <c r="O17" s="794"/>
      <c r="P17" s="794"/>
      <c r="Q17" s="1355"/>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2150</v>
      </c>
      <c r="B18" s="318" t="s">
        <v>2151</v>
      </c>
      <c r="C18" s="14">
        <f>ROUND(C14*F18,0)</f>
        <v>6223</v>
      </c>
      <c r="D18" s="318" t="s">
        <v>2134</v>
      </c>
      <c r="E18" s="318" t="s">
        <v>2135</v>
      </c>
      <c r="F18" s="341">
        <f>'数据-取费表'!E24</f>
        <v>1.4999999999999999E-2</v>
      </c>
      <c r="G18" s="1233"/>
      <c r="H18" s="336" t="s">
        <v>2152</v>
      </c>
      <c r="I18" s="318" t="s">
        <v>2153</v>
      </c>
      <c r="J18" s="14" t="str">
        <f>IF(项目基本情况!B7="自然人","——",ROUND(J5*M18/(1+'数据-取费表'!F30),0))</f>
        <v>——</v>
      </c>
      <c r="K18" s="1888" t="s">
        <v>2154</v>
      </c>
      <c r="L18" s="318" t="s">
        <v>2135</v>
      </c>
      <c r="M18" s="341">
        <f>'数据-取费表'!E29</f>
        <v>5.5000000000000007E-2</v>
      </c>
    </row>
    <row r="19" spans="1:37" s="340" customFormat="1" ht="18" customHeight="1">
      <c r="A19" s="336" t="s">
        <v>2146</v>
      </c>
      <c r="B19" s="318" t="s">
        <v>2155</v>
      </c>
      <c r="C19" s="14">
        <f>SUM(C14:C18)</f>
        <v>466695</v>
      </c>
      <c r="D19" s="55" t="s">
        <v>2156</v>
      </c>
      <c r="E19" s="1893"/>
      <c r="F19" s="16"/>
      <c r="G19" s="1234"/>
      <c r="H19" s="336" t="s">
        <v>2132</v>
      </c>
      <c r="I19" s="318" t="s">
        <v>2157</v>
      </c>
      <c r="J19" s="14" t="str">
        <f>IF(项目基本情况!B7="自然人","——",IF(K19="按租金收入计税",ROUND(J5*M19,1),ROUND(C29*M19*0.7,1)))</f>
        <v>——</v>
      </c>
      <c r="K19" s="2009" t="s">
        <v>2158</v>
      </c>
      <c r="L19" s="318" t="s">
        <v>2135</v>
      </c>
      <c r="M19" s="341">
        <f>IF(K19="按租金收入计税",'数据-取费表'!E39,'数据-取费表'!E38)</f>
        <v>1.2E-2</v>
      </c>
      <c r="N19" s="794"/>
      <c r="O19" s="794"/>
      <c r="P19" s="794"/>
      <c r="Q19" s="1355"/>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2116</v>
      </c>
      <c r="B20" s="318" t="s">
        <v>2159</v>
      </c>
      <c r="C20" s="14">
        <f>ROUND(C19*F20,0)</f>
        <v>4667</v>
      </c>
      <c r="D20" s="343" t="s">
        <v>2160</v>
      </c>
      <c r="E20" s="318" t="s">
        <v>2161</v>
      </c>
      <c r="F20" s="341">
        <f>'数据-取费表'!E25</f>
        <v>0.01</v>
      </c>
      <c r="G20" s="1234"/>
      <c r="H20" s="336" t="s">
        <v>2138</v>
      </c>
      <c r="I20" s="79" t="s">
        <v>2162</v>
      </c>
      <c r="J20" s="15" t="str">
        <f>IF(项目基本情况!B7="自然人","——",ROUND(M20*M21,0))</f>
        <v>——</v>
      </c>
      <c r="K20" s="345" t="s">
        <v>2163</v>
      </c>
      <c r="L20" s="318" t="s">
        <v>2164</v>
      </c>
      <c r="M20" s="346">
        <f>'数据-取费表'!E40</f>
        <v>1.5</v>
      </c>
      <c r="N20" s="794"/>
      <c r="O20" s="794"/>
      <c r="P20" s="794"/>
      <c r="Q20" s="1355"/>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2165</v>
      </c>
      <c r="B21" s="318" t="s">
        <v>2166</v>
      </c>
      <c r="C21" s="702">
        <f>F21</f>
        <v>0.01</v>
      </c>
      <c r="D21" s="343" t="s">
        <v>2167</v>
      </c>
      <c r="E21" s="318" t="s">
        <v>2168</v>
      </c>
      <c r="F21" s="341">
        <f>'数据-取费表'!E26</f>
        <v>0.01</v>
      </c>
      <c r="G21" s="1233"/>
      <c r="H21" s="347"/>
      <c r="I21" s="327"/>
      <c r="J21" s="19"/>
      <c r="K21" s="348"/>
      <c r="L21" s="318" t="s">
        <v>2169</v>
      </c>
      <c r="M21" s="319">
        <f>IF(D1="仅计算典型户型",'数据-取费表'!E6,'数据-取费表'!B6)</f>
        <v>0</v>
      </c>
    </row>
    <row r="22" spans="1:37" ht="18" customHeight="1">
      <c r="A22" s="336" t="s">
        <v>2170</v>
      </c>
      <c r="B22" s="318" t="s">
        <v>2171</v>
      </c>
      <c r="C22" s="14"/>
      <c r="D22" s="55" t="str">
        <f>IF(F23&lt;=1,"单利计息。","复利计息。")&amp;"建造成本、管理费用、销售费用产生的利息。"</f>
        <v>复利计息。建造成本、管理费用、销售费用产生的利息。</v>
      </c>
      <c r="E22" s="1893"/>
      <c r="F22" s="16"/>
      <c r="G22" s="1233"/>
      <c r="H22" s="336" t="s">
        <v>2136</v>
      </c>
      <c r="I22" s="318" t="s">
        <v>2172</v>
      </c>
      <c r="J22" s="14">
        <f ca="1">ROUND(J14*M22,0)</f>
        <v>8667</v>
      </c>
      <c r="K22" s="1888" t="s">
        <v>2173</v>
      </c>
      <c r="L22" s="318" t="s">
        <v>2135</v>
      </c>
      <c r="M22" s="349">
        <f>'数据-取费表'!B44</f>
        <v>1.4999999999999999E-2</v>
      </c>
    </row>
    <row r="23" spans="1:37" ht="18" customHeight="1">
      <c r="A23" s="336" t="s">
        <v>2152</v>
      </c>
      <c r="B23" s="318" t="s">
        <v>2174</v>
      </c>
      <c r="C23" s="14">
        <f ca="1">IF('数据-取费表'!B23&lt;=1,ROUND(C19*F24*F23/2,0)+ROUND(C20*F24*F23/2,0),ROUND(C19*(POWER((1+F24),F23/2)-1),0)+ROUND(C20*(POWER((1+F24),F23/2)-1),0))</f>
        <v>22390</v>
      </c>
      <c r="D23" s="2003" t="str">
        <f>IF(F23&lt;=1,"(建造成本+管理费用)×利率×(建设周期÷2)","(建造成本+管理费用)×((1+利率)^(建设周期÷2)-1)")</f>
        <v>(建造成本+管理费用)×((1+利率)^(建设周期÷2)-1)</v>
      </c>
      <c r="E23" s="318" t="s">
        <v>2175</v>
      </c>
      <c r="F23" s="346">
        <f>'数据-取费表'!B21</f>
        <v>2</v>
      </c>
      <c r="G23" s="1233"/>
      <c r="H23" s="336" t="s">
        <v>2165</v>
      </c>
      <c r="I23" s="318" t="s">
        <v>2176</v>
      </c>
      <c r="J23" s="14">
        <f ca="1">ROUND(J13*M23,0)</f>
        <v>0</v>
      </c>
      <c r="K23" s="1888" t="s">
        <v>2177</v>
      </c>
      <c r="L23" s="318" t="s">
        <v>2178</v>
      </c>
      <c r="M23" s="350">
        <f>'数据-取费表'!B45</f>
        <v>1.5E-3</v>
      </c>
    </row>
    <row r="24" spans="1:37" s="340" customFormat="1" ht="18" customHeight="1" thickBot="1">
      <c r="A24" s="336" t="s">
        <v>2179</v>
      </c>
      <c r="B24" s="318" t="s">
        <v>2180</v>
      </c>
      <c r="C24" s="14">
        <f ca="1">ROUND(IF('数据-取费表'!B23&lt;=1,F21*F24*F23/2,F21*(POWER((1+F24),F23/2)-1)),4)</f>
        <v>5.0000000000000001E-4</v>
      </c>
      <c r="D24" s="2003" t="str">
        <f>IF(F23&lt;=1,"销售费用×利率×(建设周期÷2)","销售费用×((1+利率)^(建设周期÷2)-1)")</f>
        <v>销售费用×((1+利率)^(建设周期÷2)-1)</v>
      </c>
      <c r="E24" s="318" t="s">
        <v>2181</v>
      </c>
      <c r="F24" s="351">
        <f ca="1">'数据-取费表'!E27</f>
        <v>4.7500000000000001E-2</v>
      </c>
      <c r="G24" s="1234"/>
      <c r="H24" s="1425" t="s">
        <v>2170</v>
      </c>
      <c r="I24" s="1426" t="s">
        <v>2159</v>
      </c>
      <c r="J24" s="1427">
        <f ca="1">ROUND(J5*M24,0)</f>
        <v>0</v>
      </c>
      <c r="K24" s="1428" t="s">
        <v>2182</v>
      </c>
      <c r="L24" s="1426" t="s">
        <v>2178</v>
      </c>
      <c r="M24" s="1421">
        <f>'数据-取费表'!B46</f>
        <v>0.01</v>
      </c>
      <c r="N24" s="794"/>
      <c r="O24" s="794"/>
      <c r="P24" s="794"/>
      <c r="Q24" s="1355"/>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2183</v>
      </c>
      <c r="B25" s="318" t="s">
        <v>2184</v>
      </c>
      <c r="C25" s="14"/>
      <c r="D25" s="55" t="s">
        <v>2185</v>
      </c>
      <c r="E25" s="1893"/>
      <c r="F25" s="16"/>
      <c r="G25" s="1234"/>
      <c r="H25" s="1415" t="s">
        <v>22</v>
      </c>
      <c r="I25" s="1430" t="s">
        <v>2186</v>
      </c>
      <c r="J25" s="326">
        <f ca="1">J5-J16</f>
        <v>-8667</v>
      </c>
      <c r="K25" s="1431" t="s">
        <v>2187</v>
      </c>
      <c r="L25" s="1432"/>
      <c r="M25" s="1433"/>
      <c r="N25" s="794"/>
      <c r="O25" s="794"/>
      <c r="P25" s="794"/>
      <c r="Q25" s="1355"/>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2128</v>
      </c>
      <c r="B26" s="318" t="s">
        <v>2188</v>
      </c>
      <c r="C26" s="14">
        <f>ROUND((C19+C20)*F26,0)</f>
        <v>47136</v>
      </c>
      <c r="D26" s="343" t="s">
        <v>2189</v>
      </c>
      <c r="E26" s="329" t="s">
        <v>2190</v>
      </c>
      <c r="F26" s="328">
        <f>'数据-取费表'!E28</f>
        <v>0.1</v>
      </c>
      <c r="G26" s="789"/>
      <c r="H26" s="315" t="s">
        <v>23</v>
      </c>
      <c r="I26" s="316" t="s">
        <v>2191</v>
      </c>
      <c r="J26" s="317">
        <f ca="1">IF(J5&lt;&gt;0,ROUND(J25*(1-((1+M28)/(1+M26))^M27)/(M26-M28),0),0)</f>
        <v>0</v>
      </c>
      <c r="K26" s="345" t="s">
        <v>2192</v>
      </c>
      <c r="L26" s="318" t="s">
        <v>2193</v>
      </c>
      <c r="M26" s="328">
        <f>'数据-取费表'!B16</f>
        <v>4.4999999999999998E-2</v>
      </c>
    </row>
    <row r="27" spans="1:37" ht="18" customHeight="1">
      <c r="A27" s="336" t="s">
        <v>2194</v>
      </c>
      <c r="B27" s="318" t="s">
        <v>2195</v>
      </c>
      <c r="C27" s="14">
        <f>ROUND(F21*F26,4)</f>
        <v>1E-3</v>
      </c>
      <c r="D27" s="343" t="s">
        <v>2196</v>
      </c>
      <c r="E27" s="338"/>
      <c r="F27" s="339"/>
      <c r="G27" s="789"/>
      <c r="H27" s="320"/>
      <c r="I27" s="321"/>
      <c r="J27" s="322"/>
      <c r="K27" s="353" t="s">
        <v>2197</v>
      </c>
      <c r="L27" s="318" t="s">
        <v>2198</v>
      </c>
      <c r="M27" s="354" t="str">
        <f>'数据-取费表'!B40</f>
        <v>——</v>
      </c>
    </row>
    <row r="28" spans="1:37" ht="18" customHeight="1">
      <c r="A28" s="336" t="s">
        <v>2199</v>
      </c>
      <c r="B28" s="318" t="s">
        <v>2200</v>
      </c>
      <c r="C28" s="14">
        <f>ROUND(F28/(1+'数据-取费表'!F30),4)</f>
        <v>5.2400000000000002E-2</v>
      </c>
      <c r="D28" s="343" t="s">
        <v>2201</v>
      </c>
      <c r="E28" s="318" t="s">
        <v>2161</v>
      </c>
      <c r="F28" s="341">
        <f>'数据-取费表'!E29</f>
        <v>5.5000000000000007E-2</v>
      </c>
      <c r="G28" s="789"/>
      <c r="H28" s="324"/>
      <c r="I28" s="325"/>
      <c r="J28" s="326"/>
      <c r="K28" s="348"/>
      <c r="L28" s="318" t="s">
        <v>2202</v>
      </c>
      <c r="M28" s="328">
        <f>'数据-取费表'!B37</f>
        <v>0</v>
      </c>
    </row>
    <row r="29" spans="1:37" ht="18" customHeight="1" thickBot="1">
      <c r="A29" s="1425" t="s">
        <v>2203</v>
      </c>
      <c r="B29" s="1426" t="s">
        <v>2204</v>
      </c>
      <c r="C29" s="1427">
        <f ca="1">ROUND((C19+C20+C23+C26)/(1-F21-C24-C27-C28),0)</f>
        <v>577810</v>
      </c>
      <c r="D29" s="1428"/>
      <c r="E29" s="1426"/>
      <c r="F29" s="1429"/>
      <c r="G29" s="789"/>
      <c r="H29" s="355" t="s">
        <v>24</v>
      </c>
      <c r="I29" s="356" t="s">
        <v>2205</v>
      </c>
      <c r="J29" s="357">
        <f ca="1">ROUND(J26/(1+F40)^F41,0)</f>
        <v>0</v>
      </c>
      <c r="K29" s="358" t="s">
        <v>2206</v>
      </c>
      <c r="L29" s="359"/>
      <c r="M29" s="360">
        <f>IF(D1="仅计算典型户型",'数据-取费表'!E5,'数据-取费表'!B5)</f>
        <v>103.71</v>
      </c>
    </row>
    <row r="30" spans="1:37" ht="18" customHeight="1" thickTop="1">
      <c r="A30" s="1415" t="s">
        <v>14</v>
      </c>
      <c r="B30" s="1416" t="s">
        <v>2207</v>
      </c>
      <c r="C30" s="326">
        <f ca="1">ROUND(C31+C36+C37+C38,0)</f>
        <v>13517</v>
      </c>
      <c r="D30" s="1422" t="s">
        <v>2208</v>
      </c>
      <c r="E30" s="1423"/>
      <c r="F30" s="1424"/>
      <c r="G30" s="789"/>
      <c r="H30" s="1213"/>
      <c r="I30" s="1214"/>
      <c r="J30" s="1215"/>
      <c r="K30" s="1216"/>
      <c r="L30" s="1217"/>
      <c r="M30" s="1218"/>
    </row>
    <row r="31" spans="1:37" ht="18" customHeight="1">
      <c r="A31" s="336" t="s">
        <v>2109</v>
      </c>
      <c r="B31" s="318" t="s">
        <v>2147</v>
      </c>
      <c r="C31" s="14">
        <f ca="1">ROUND(IF(项目基本情况!B7="自然人",C5*F31,C32+C33+C34),1)</f>
        <v>3514.4</v>
      </c>
      <c r="D31" s="1883" t="s">
        <v>2209</v>
      </c>
      <c r="E31" s="1888" t="s">
        <v>2210</v>
      </c>
      <c r="F31" s="342">
        <f>IF(项目基本情况!B7="企业","",IF('数据-取费表'!B10="住宅",5%,IF(F6*F7*F8/12/(1+'数据-取费表'!F30)&gt;20000,12%,7%)))</f>
        <v>0.05</v>
      </c>
      <c r="G31" s="789"/>
      <c r="H31" s="1213"/>
      <c r="I31" s="1214"/>
      <c r="J31" s="1215"/>
      <c r="K31" s="1216"/>
      <c r="L31" s="1217"/>
      <c r="M31" s="1218"/>
    </row>
    <row r="32" spans="1:37" ht="18" customHeight="1">
      <c r="A32" s="336" t="s">
        <v>2128</v>
      </c>
      <c r="B32" s="318" t="s">
        <v>2211</v>
      </c>
      <c r="C32" s="14" t="str">
        <f>IF(项目基本情况!B7="自然人","——",ROUND(C5*F32/(1+'数据-取费表'!F30),0))</f>
        <v>——</v>
      </c>
      <c r="D32" s="1888" t="s">
        <v>2212</v>
      </c>
      <c r="E32" s="318" t="s">
        <v>2161</v>
      </c>
      <c r="F32" s="351">
        <f>'数据-取费表'!E29</f>
        <v>5.5000000000000007E-2</v>
      </c>
      <c r="G32" s="789"/>
      <c r="H32" s="1219"/>
      <c r="I32" s="1220"/>
      <c r="J32" s="1221"/>
      <c r="K32" s="1222"/>
      <c r="L32" s="1223"/>
      <c r="M32" s="1224"/>
    </row>
    <row r="33" spans="1:18" ht="18" customHeight="1">
      <c r="A33" s="336" t="s">
        <v>2132</v>
      </c>
      <c r="B33" s="318" t="s">
        <v>2157</v>
      </c>
      <c r="C33" s="14" t="str">
        <f>IF(项目基本情况!B7="自然人","——",IF(D33="按租金收入计税",ROUND(C5*F33,1),IF(D33="按房产原值计税",ROUND(C29*F33*0.7,1),'数据-取费表'!B43)))</f>
        <v>——</v>
      </c>
      <c r="D33" s="2009" t="s">
        <v>2900</v>
      </c>
      <c r="E33" s="318" t="s">
        <v>2135</v>
      </c>
      <c r="F33" s="341">
        <f>IF(D33="按票据","——",IF(D33="按租金收入计税",'数据-取费表'!E39,'数据-取费表'!E38))</f>
        <v>0.12</v>
      </c>
      <c r="G33" s="789"/>
      <c r="H33" s="1225"/>
      <c r="I33" s="362" t="s">
        <v>2213</v>
      </c>
      <c r="J33" s="363"/>
      <c r="K33" s="1226"/>
      <c r="L33" s="1225"/>
      <c r="M33" s="1225"/>
    </row>
    <row r="34" spans="1:18" ht="18" customHeight="1">
      <c r="A34" s="1379" t="s">
        <v>2138</v>
      </c>
      <c r="B34" s="79" t="s">
        <v>2162</v>
      </c>
      <c r="C34" s="15" t="str">
        <f>IF(项目基本情况!B7="自然人","——",ROUND(F34*F35,0))</f>
        <v>——</v>
      </c>
      <c r="D34" s="345" t="s">
        <v>2163</v>
      </c>
      <c r="E34" s="318" t="s">
        <v>2164</v>
      </c>
      <c r="F34" s="346">
        <f>'数据-取费表'!E40</f>
        <v>1.5</v>
      </c>
      <c r="G34" s="789"/>
      <c r="H34" s="1213"/>
      <c r="I34" s="364" t="s">
        <v>2214</v>
      </c>
      <c r="J34" s="365">
        <f ca="1">ROUND(C13*J35,0)</f>
        <v>33744</v>
      </c>
      <c r="K34" s="1227"/>
      <c r="L34" s="1228"/>
      <c r="M34" s="1228"/>
    </row>
    <row r="35" spans="1:18" ht="24.6" customHeight="1">
      <c r="A35" s="1383"/>
      <c r="B35" s="327"/>
      <c r="C35" s="19"/>
      <c r="D35" s="348"/>
      <c r="E35" s="318" t="s">
        <v>2169</v>
      </c>
      <c r="F35" s="319">
        <f>IF(D1="仅计算典型户型",'数据-取费表'!E6,'数据-取费表'!B6)</f>
        <v>0</v>
      </c>
      <c r="G35" s="789"/>
      <c r="H35" s="1213"/>
      <c r="I35" s="366" t="s">
        <v>2215</v>
      </c>
      <c r="J35" s="367">
        <f>'数据-取费表'!B17</f>
        <v>0.08</v>
      </c>
      <c r="K35" s="1226"/>
      <c r="L35" s="1225"/>
      <c r="M35" s="1225"/>
    </row>
    <row r="36" spans="1:18" ht="18" customHeight="1">
      <c r="A36" s="1382" t="s">
        <v>2116</v>
      </c>
      <c r="B36" s="318" t="s">
        <v>2216</v>
      </c>
      <c r="C36" s="14">
        <f ca="1">ROUND(C29*F36,0)</f>
        <v>8667</v>
      </c>
      <c r="D36" s="1888" t="s">
        <v>2217</v>
      </c>
      <c r="E36" s="318" t="s">
        <v>2161</v>
      </c>
      <c r="F36" s="349">
        <f>'数据-取费表'!B44</f>
        <v>1.4999999999999999E-2</v>
      </c>
      <c r="G36" s="789"/>
      <c r="H36" s="1225"/>
      <c r="I36" s="368" t="s">
        <v>2218</v>
      </c>
      <c r="J36" s="369"/>
      <c r="K36" s="1229"/>
      <c r="L36" s="1225"/>
      <c r="M36" s="1225"/>
    </row>
    <row r="37" spans="1:18" ht="18" customHeight="1">
      <c r="A37" s="336" t="s">
        <v>2165</v>
      </c>
      <c r="B37" s="318" t="s">
        <v>2176</v>
      </c>
      <c r="C37" s="14">
        <f ca="1">ROUND(C13*F37,0)</f>
        <v>633</v>
      </c>
      <c r="D37" s="1888" t="s">
        <v>2177</v>
      </c>
      <c r="E37" s="318" t="s">
        <v>2178</v>
      </c>
      <c r="F37" s="350">
        <f>'数据-取费表'!B45</f>
        <v>1.5E-3</v>
      </c>
      <c r="G37" s="789"/>
      <c r="H37" s="1225"/>
      <c r="I37" s="215" t="s">
        <v>2219</v>
      </c>
      <c r="J37" s="370"/>
      <c r="K37" s="1229"/>
      <c r="L37" s="1225"/>
      <c r="M37" s="1225"/>
    </row>
    <row r="38" spans="1:18" ht="18" customHeight="1" thickBot="1">
      <c r="A38" s="1425" t="s">
        <v>2170</v>
      </c>
      <c r="B38" s="1426" t="s">
        <v>2159</v>
      </c>
      <c r="C38" s="1427">
        <f ca="1">ROUND(C5*F38,0)</f>
        <v>703</v>
      </c>
      <c r="D38" s="1428" t="s">
        <v>2182</v>
      </c>
      <c r="E38" s="1426" t="s">
        <v>2178</v>
      </c>
      <c r="F38" s="1421">
        <f>'数据-取费表'!B46</f>
        <v>0.01</v>
      </c>
      <c r="G38" s="789"/>
      <c r="H38" s="1225"/>
      <c r="I38" s="364" t="s">
        <v>2220</v>
      </c>
      <c r="J38" s="219">
        <f ca="1">ROUND(J34/C39,3)</f>
        <v>0.59399999999999997</v>
      </c>
      <c r="K38" s="1230"/>
      <c r="L38" s="1225"/>
      <c r="M38" s="1225"/>
    </row>
    <row r="39" spans="1:18" ht="18" customHeight="1" thickTop="1">
      <c r="A39" s="1415" t="s">
        <v>22</v>
      </c>
      <c r="B39" s="1430" t="s">
        <v>2221</v>
      </c>
      <c r="C39" s="326">
        <f ca="1">C5-C30</f>
        <v>56771</v>
      </c>
      <c r="D39" s="1431" t="s">
        <v>2222</v>
      </c>
      <c r="E39" s="1432"/>
      <c r="F39" s="1433"/>
      <c r="G39" s="789"/>
      <c r="H39" s="1225"/>
      <c r="I39" s="364" t="s">
        <v>2223</v>
      </c>
      <c r="J39" s="219">
        <f ca="1">1-J38</f>
        <v>0.40600000000000003</v>
      </c>
      <c r="K39" s="1230"/>
      <c r="L39" s="1225"/>
      <c r="M39" s="1225"/>
    </row>
    <row r="40" spans="1:18" s="789" customFormat="1" ht="18" customHeight="1">
      <c r="A40" s="315" t="s">
        <v>23</v>
      </c>
      <c r="B40" s="316" t="s">
        <v>2224</v>
      </c>
      <c r="C40" s="317">
        <f ca="1">ROUND(C39*(1-((1+F42)/(1+F40))^F41)/(F40-F42),0)</f>
        <v>2000203</v>
      </c>
      <c r="D40" s="345" t="s">
        <v>2192</v>
      </c>
      <c r="E40" s="318" t="s">
        <v>2193</v>
      </c>
      <c r="F40" s="328">
        <f>'数据-取费表'!B16</f>
        <v>4.4999999999999998E-2</v>
      </c>
      <c r="H40" s="1231"/>
      <c r="I40" s="215" t="s">
        <v>2225</v>
      </c>
      <c r="J40" s="216"/>
      <c r="K40" s="1230"/>
      <c r="L40" s="1231"/>
      <c r="M40" s="1231"/>
      <c r="Q40" s="793"/>
    </row>
    <row r="41" spans="1:18" s="789" customFormat="1" ht="18" customHeight="1">
      <c r="A41" s="320"/>
      <c r="B41" s="321"/>
      <c r="C41" s="322"/>
      <c r="D41" s="353" t="s">
        <v>2226</v>
      </c>
      <c r="E41" s="1820" t="s">
        <v>2840</v>
      </c>
      <c r="F41" s="354">
        <f>IF('数据-取费表'!B28="租赁期内按合同租金",'数据-取费表'!B34,IF(E41="收益年期(n)",'数据-取费表'!B33,'数据-取费表'!B13))</f>
        <v>52</v>
      </c>
      <c r="H41" s="1232"/>
      <c r="I41" s="218" t="s">
        <v>2097</v>
      </c>
      <c r="J41" s="219">
        <f ca="1">ROUND(C13/C40,3)</f>
        <v>0.21099999999999999</v>
      </c>
      <c r="K41" s="1229"/>
      <c r="L41" s="1232"/>
      <c r="M41" s="1232"/>
      <c r="Q41" s="793"/>
    </row>
    <row r="42" spans="1:18" s="789" customFormat="1" ht="18" customHeight="1">
      <c r="A42" s="324"/>
      <c r="B42" s="325"/>
      <c r="C42" s="326"/>
      <c r="D42" s="348"/>
      <c r="E42" s="318" t="s">
        <v>2202</v>
      </c>
      <c r="F42" s="328">
        <f>'数据-取费表'!B31</f>
        <v>0.03</v>
      </c>
      <c r="H42" s="1232"/>
      <c r="I42" s="218" t="s">
        <v>2098</v>
      </c>
      <c r="J42" s="220">
        <f ca="1">1-J41</f>
        <v>0.78900000000000003</v>
      </c>
      <c r="K42" s="1229"/>
      <c r="L42" s="1232"/>
      <c r="M42" s="1232"/>
      <c r="Q42" s="793"/>
    </row>
    <row r="43" spans="1:18" s="789" customFormat="1" ht="18" customHeight="1" thickBot="1">
      <c r="A43" s="355" t="s">
        <v>24</v>
      </c>
      <c r="B43" s="356" t="s">
        <v>2227</v>
      </c>
      <c r="C43" s="357">
        <f ca="1">ROUND(C40/F43,0)</f>
        <v>19287</v>
      </c>
      <c r="D43" s="358" t="s">
        <v>2228</v>
      </c>
      <c r="E43" s="359" t="s">
        <v>2229</v>
      </c>
      <c r="F43" s="360">
        <f>IF(D1="仅计算典型户型",'数据-取费表'!E5,'数据-取费表'!B5)</f>
        <v>103.71</v>
      </c>
      <c r="G43" s="791"/>
      <c r="H43" s="1232"/>
      <c r="I43" s="1232"/>
      <c r="J43" s="1232"/>
      <c r="K43" s="1229"/>
      <c r="L43" s="1232"/>
      <c r="M43" s="1232"/>
      <c r="O43" s="1356" t="s">
        <v>2230</v>
      </c>
      <c r="P43" s="1357"/>
      <c r="Q43" s="1353"/>
      <c r="R43" s="1357"/>
    </row>
    <row r="44" spans="1:18" s="789" customFormat="1" ht="18" customHeight="1" thickBot="1">
      <c r="A44" s="774"/>
      <c r="B44" s="774"/>
      <c r="C44" s="788"/>
      <c r="D44" s="774"/>
      <c r="E44" s="774"/>
      <c r="F44" s="774"/>
      <c r="G44" s="791"/>
      <c r="K44" s="790"/>
      <c r="O44" s="1358" t="s">
        <v>2231</v>
      </c>
      <c r="P44" s="1359" t="s">
        <v>2232</v>
      </c>
      <c r="Q44" s="1360" t="s">
        <v>2233</v>
      </c>
      <c r="R44" s="1361" t="s">
        <v>2234</v>
      </c>
    </row>
    <row r="45" spans="1:18" s="789" customFormat="1" ht="18" customHeight="1" thickBot="1">
      <c r="A45" s="774"/>
      <c r="B45" s="774"/>
      <c r="C45" s="788"/>
      <c r="D45" s="774"/>
      <c r="E45" s="774"/>
      <c r="F45" s="774"/>
      <c r="G45" s="792"/>
      <c r="K45" s="790"/>
      <c r="O45" s="1362" t="s">
        <v>957</v>
      </c>
      <c r="P45" s="1363" t="s">
        <v>2235</v>
      </c>
      <c r="Q45" s="1364">
        <f ca="1">C40+J29</f>
        <v>2000203</v>
      </c>
      <c r="R45" s="1365" t="s">
        <v>2236</v>
      </c>
    </row>
    <row r="46" spans="1:18" s="789" customFormat="1" ht="18" customHeight="1" thickBot="1">
      <c r="A46" s="774"/>
      <c r="D46" s="774"/>
      <c r="E46" s="774"/>
      <c r="F46" s="774"/>
      <c r="K46" s="790"/>
      <c r="O46" s="1362" t="s">
        <v>958</v>
      </c>
      <c r="P46" s="1363" t="s">
        <v>2237</v>
      </c>
      <c r="Q46" s="1364" t="str">
        <f>J61</f>
        <v>0</v>
      </c>
      <c r="R46" s="1365" t="s">
        <v>2238</v>
      </c>
    </row>
    <row r="47" spans="1:18" s="789" customFormat="1" ht="21.75" thickBot="1">
      <c r="A47" s="2340" t="s">
        <v>2239</v>
      </c>
      <c r="C47" s="1298">
        <f ca="1">IF(C2="元",C69-C40,ROUND((C69-C40)/10000,0))</f>
        <v>-2185918</v>
      </c>
      <c r="D47" s="2341" t="str">
        <f>C2</f>
        <v>元</v>
      </c>
      <c r="E47" s="774"/>
      <c r="F47" s="774"/>
      <c r="I47" s="2342" t="s">
        <v>2240</v>
      </c>
      <c r="J47" s="1338"/>
      <c r="K47" s="1339"/>
      <c r="L47" s="1352">
        <f>IF(M48="住宅",0,IF(L49&gt;J52,L61,J61))</f>
        <v>0</v>
      </c>
      <c r="O47" s="1366" t="s">
        <v>959</v>
      </c>
      <c r="P47" s="1363" t="s">
        <v>2241</v>
      </c>
      <c r="Q47" s="1364">
        <f ca="1">C29</f>
        <v>577810</v>
      </c>
      <c r="R47" s="1365" t="s">
        <v>2236</v>
      </c>
    </row>
    <row r="48" spans="1:18" s="789" customFormat="1" ht="15.75" thickBot="1">
      <c r="A48" s="311" t="s">
        <v>2242</v>
      </c>
      <c r="B48" s="312" t="s">
        <v>2243</v>
      </c>
      <c r="C48" s="312" t="s">
        <v>2244</v>
      </c>
      <c r="D48" s="312" t="s">
        <v>2245</v>
      </c>
      <c r="E48" s="1292" t="s">
        <v>2246</v>
      </c>
      <c r="F48" s="1293"/>
      <c r="I48" s="2343" t="s">
        <v>2247</v>
      </c>
      <c r="J48" s="2344" t="s">
        <v>2838</v>
      </c>
      <c r="K48" s="2345" t="s">
        <v>2248</v>
      </c>
      <c r="L48" s="1340">
        <f>'数据-取费表'!B11</f>
        <v>70</v>
      </c>
      <c r="M48" s="1353" t="str">
        <f>IF('数据-取费表'!B10="住宅","住宅","非住宅")</f>
        <v>住宅</v>
      </c>
      <c r="O48" s="1366" t="s">
        <v>960</v>
      </c>
      <c r="P48" s="1363" t="s">
        <v>2249</v>
      </c>
      <c r="Q48" s="1367" t="e">
        <f>J59</f>
        <v>#VALUE!</v>
      </c>
      <c r="R48" s="1365"/>
    </row>
    <row r="49" spans="1:18" s="789" customFormat="1" ht="15.75" thickBot="1">
      <c r="A49" s="1452" t="s">
        <v>1030</v>
      </c>
      <c r="B49" s="316" t="s">
        <v>2250</v>
      </c>
      <c r="C49" s="1453">
        <f ca="1">C50+C54+C56</f>
        <v>0</v>
      </c>
      <c r="D49" s="1454"/>
      <c r="E49" s="100"/>
      <c r="F49" s="16"/>
      <c r="I49" s="2346" t="s">
        <v>2251</v>
      </c>
      <c r="J49" s="2347" t="s">
        <v>2839</v>
      </c>
      <c r="K49" s="2348" t="s">
        <v>2252</v>
      </c>
      <c r="L49" s="1123">
        <f>'数据-取费表'!B13</f>
        <v>52</v>
      </c>
      <c r="O49" s="1366" t="s">
        <v>961</v>
      </c>
      <c r="P49" s="1363" t="s">
        <v>2253</v>
      </c>
      <c r="Q49" s="1367">
        <f>J53</f>
        <v>0</v>
      </c>
      <c r="R49" s="1365"/>
    </row>
    <row r="50" spans="1:18" s="789" customFormat="1" ht="15.75" thickBot="1">
      <c r="A50" s="344" t="s">
        <v>2109</v>
      </c>
      <c r="B50" s="2019" t="s">
        <v>2254</v>
      </c>
      <c r="C50" s="317">
        <f>ROUND(F50*F52*F51*(1-F53),0)</f>
        <v>0</v>
      </c>
      <c r="D50" s="92" t="s">
        <v>2808</v>
      </c>
      <c r="E50" s="2349" t="s">
        <v>2255</v>
      </c>
      <c r="F50" s="1294"/>
      <c r="I50" s="2346" t="s">
        <v>2256</v>
      </c>
      <c r="J50" s="1123">
        <f>'数据-取费表'!B26</f>
        <v>2002</v>
      </c>
      <c r="K50" s="2350" t="s">
        <v>2257</v>
      </c>
      <c r="L50" s="1341"/>
      <c r="O50" s="1366" t="s">
        <v>962</v>
      </c>
      <c r="P50" s="1363" t="s">
        <v>2258</v>
      </c>
      <c r="Q50" s="1364">
        <f>J54</f>
        <v>44</v>
      </c>
      <c r="R50" s="1365" t="s">
        <v>2259</v>
      </c>
    </row>
    <row r="51" spans="1:18" s="789" customFormat="1" ht="15.75" thickBot="1">
      <c r="A51" s="320"/>
      <c r="B51" s="321"/>
      <c r="C51" s="322"/>
      <c r="D51" s="323"/>
      <c r="E51" s="338" t="s">
        <v>2112</v>
      </c>
      <c r="F51" s="1291">
        <f>F7</f>
        <v>1</v>
      </c>
      <c r="I51" s="2346" t="s">
        <v>2260</v>
      </c>
      <c r="J51" s="1342">
        <f>SUMPRODUCT((I64:I66=J48)*(J63:L63=J49)*(J64:L66))</f>
        <v>60</v>
      </c>
      <c r="K51" s="2350" t="s">
        <v>2261</v>
      </c>
      <c r="L51" s="1341"/>
      <c r="O51" s="1362" t="s">
        <v>963</v>
      </c>
      <c r="P51" s="1363" t="str">
        <f>IF(C2="元","收益价值(元)","收益价值(万元)")</f>
        <v>收益价值(元)</v>
      </c>
      <c r="Q51" s="1364">
        <f ca="1">ROUND(IF(C2="元",Q45+Q46,(Q45+Q46)/10000),0)</f>
        <v>2000203</v>
      </c>
      <c r="R51" s="1365" t="s">
        <v>964</v>
      </c>
    </row>
    <row r="52" spans="1:18" s="789" customFormat="1" ht="16.5" thickBot="1">
      <c r="A52" s="320"/>
      <c r="B52" s="321"/>
      <c r="C52" s="322"/>
      <c r="D52" s="323"/>
      <c r="E52" s="318" t="s">
        <v>2114</v>
      </c>
      <c r="F52" s="319">
        <f>F8</f>
        <v>12</v>
      </c>
      <c r="I52" s="2351" t="s">
        <v>2262</v>
      </c>
      <c r="J52" s="1343">
        <f>IF(J50="",J51,J50+J51-YEAR('数据-取费表'!B2))</f>
        <v>44</v>
      </c>
      <c r="K52" s="2352" t="s">
        <v>2263</v>
      </c>
      <c r="L52" s="1344">
        <f ca="1">ROUND(-PV('数据-取费表'!B15,L49,(C40-C13*J35)),0)</f>
        <v>42765726</v>
      </c>
      <c r="O52" s="1356" t="s">
        <v>2264</v>
      </c>
      <c r="P52" s="1357"/>
      <c r="Q52" s="1353"/>
      <c r="R52" s="1357"/>
    </row>
    <row r="53" spans="1:18" s="789" customFormat="1" ht="15.75" thickBot="1">
      <c r="A53" s="324"/>
      <c r="B53" s="325"/>
      <c r="C53" s="326"/>
      <c r="D53" s="327"/>
      <c r="E53" s="318" t="s">
        <v>2115</v>
      </c>
      <c r="F53" s="1351"/>
      <c r="I53" s="2353" t="s">
        <v>2265</v>
      </c>
      <c r="J53" s="1345"/>
      <c r="K53" s="2353" t="s">
        <v>2266</v>
      </c>
      <c r="L53" s="1345"/>
      <c r="O53" s="1358" t="s">
        <v>2231</v>
      </c>
      <c r="P53" s="1359" t="s">
        <v>2232</v>
      </c>
      <c r="Q53" s="1360" t="s">
        <v>2233</v>
      </c>
      <c r="R53" s="1361" t="s">
        <v>2234</v>
      </c>
    </row>
    <row r="54" spans="1:18" s="789" customFormat="1" ht="29.25" customHeight="1" thickBot="1">
      <c r="A54" s="1379" t="s">
        <v>2116</v>
      </c>
      <c r="B54" s="2334" t="s">
        <v>2117</v>
      </c>
      <c r="C54" s="1380">
        <f ca="1">ROUND(IF(F54="押一",C50/12*F11,IF(F54="押二",C50/12*2*F11,IF(F54="押三",C50/12*3*F11,C55*F11))),0)</f>
        <v>0</v>
      </c>
      <c r="D54" s="2335" t="s">
        <v>2816</v>
      </c>
      <c r="E54" s="329" t="s">
        <v>2118</v>
      </c>
      <c r="F54" s="2336"/>
      <c r="I54" s="2354" t="s">
        <v>2267</v>
      </c>
      <c r="J54" s="1346">
        <f>IF(M48="住宅",J52,IF(E1="——",MIN(J52,L49),IF(E1="在建（套用方法）",MIN(J52,L49-'数据-取费表'!B25),IF(E1="土地（套用方法）",MIN(J52,L49-'数据-取费表'!B21)))))</f>
        <v>44</v>
      </c>
      <c r="K54" s="3092" t="s">
        <v>2806</v>
      </c>
      <c r="L54" s="3093"/>
      <c r="O54" s="1362" t="s">
        <v>957</v>
      </c>
      <c r="P54" s="1363" t="s">
        <v>2235</v>
      </c>
      <c r="Q54" s="1364">
        <f ca="1">C40+J29</f>
        <v>2000203</v>
      </c>
      <c r="R54" s="1365" t="s">
        <v>2236</v>
      </c>
    </row>
    <row r="55" spans="1:18" s="789" customFormat="1" ht="20.25" thickBot="1">
      <c r="A55" s="1379"/>
      <c r="B55" s="2355" t="s">
        <v>2122</v>
      </c>
      <c r="C55" s="1413"/>
      <c r="D55" s="92"/>
      <c r="E55" s="2356"/>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2" t="s">
        <v>958</v>
      </c>
      <c r="P55" s="1363" t="s">
        <v>2268</v>
      </c>
      <c r="Q55" s="1364">
        <f>L61</f>
        <v>0</v>
      </c>
      <c r="R55" s="1365" t="s">
        <v>2269</v>
      </c>
    </row>
    <row r="56" spans="1:18" s="789" customFormat="1" ht="20.25" thickBot="1">
      <c r="A56" s="1419" t="s">
        <v>2123</v>
      </c>
      <c r="B56" s="2338" t="s">
        <v>2124</v>
      </c>
      <c r="C56" s="1420"/>
      <c r="D56" s="1436"/>
      <c r="E56" s="2358"/>
      <c r="F56" s="1496"/>
      <c r="I56" s="2359" t="s">
        <v>2270</v>
      </c>
      <c r="J56" s="1866" t="e">
        <f>ROUND(IF(J48="钢混",J58/J51,1-(1-2%)*(J51-J58)/J51),3)</f>
        <v>#VALUE!</v>
      </c>
      <c r="K56" s="2360" t="s">
        <v>2271</v>
      </c>
      <c r="L56" s="1347"/>
      <c r="O56" s="1366" t="s">
        <v>959</v>
      </c>
      <c r="P56" s="1363" t="s">
        <v>2272</v>
      </c>
      <c r="Q56" s="1364">
        <f>IF(L56="比较法",L50,IF(L56="基准地价",L51,0))</f>
        <v>0</v>
      </c>
      <c r="R56" s="1365" t="s">
        <v>2236</v>
      </c>
    </row>
    <row r="57" spans="1:18" s="789" customFormat="1" ht="44.25" thickTop="1" thickBot="1">
      <c r="A57" s="1415">
        <v>2</v>
      </c>
      <c r="B57" s="1416" t="s">
        <v>2125</v>
      </c>
      <c r="C57" s="1495">
        <f ca="1">C13</f>
        <v>421801</v>
      </c>
      <c r="D57" s="1289"/>
      <c r="E57" s="1290"/>
      <c r="F57" s="1297"/>
      <c r="I57" s="2361" t="s">
        <v>2273</v>
      </c>
      <c r="J57" s="1350" t="s">
        <v>2828</v>
      </c>
      <c r="K57" s="2346" t="s">
        <v>2274</v>
      </c>
      <c r="L57" s="1123">
        <f>IF(L49&lt;J52,"——",L49-J52)</f>
        <v>8</v>
      </c>
      <c r="O57" s="1366" t="s">
        <v>960</v>
      </c>
      <c r="P57" s="1363" t="s">
        <v>2275</v>
      </c>
      <c r="Q57" s="1367">
        <f>L53</f>
        <v>0</v>
      </c>
      <c r="R57" s="1365"/>
    </row>
    <row r="58" spans="1:18" s="789" customFormat="1" ht="29.25" thickBot="1">
      <c r="A58" s="1296"/>
      <c r="B58" s="318" t="s">
        <v>2204</v>
      </c>
      <c r="C58" s="187">
        <f ca="1">C29</f>
        <v>577810</v>
      </c>
      <c r="D58" s="1289"/>
      <c r="E58" s="1290"/>
      <c r="F58" s="1297"/>
      <c r="I58" s="2362" t="s">
        <v>2276</v>
      </c>
      <c r="J58" s="1349" t="str">
        <f>IF(OR(M48="住宅",J52&lt;L49,J57="是"),"——",J52-L49)</f>
        <v>——</v>
      </c>
      <c r="K58" s="2346" t="s">
        <v>2277</v>
      </c>
      <c r="L58" s="1123">
        <f ca="1">IF(L49&lt;J52,"——",IF(L56="比较法",L50,IF(L56="基准地价",L51,L52)))</f>
        <v>42765726</v>
      </c>
      <c r="O58" s="1366" t="s">
        <v>961</v>
      </c>
      <c r="P58" s="1363" t="s">
        <v>2278</v>
      </c>
      <c r="Q58" s="1364" t="e">
        <f>L59</f>
        <v>#DIV/0!</v>
      </c>
      <c r="R58" s="1365" t="s">
        <v>2279</v>
      </c>
    </row>
    <row r="59" spans="1:18" s="789" customFormat="1" ht="29.25" thickBot="1">
      <c r="A59" s="331" t="s">
        <v>14</v>
      </c>
      <c r="B59" s="332" t="s">
        <v>2207</v>
      </c>
      <c r="C59" s="333">
        <f ca="1">ROUND(C60+C65+C66+C67,0)</f>
        <v>9300</v>
      </c>
      <c r="D59" s="12" t="s">
        <v>2208</v>
      </c>
      <c r="E59" s="1893"/>
      <c r="F59" s="16"/>
      <c r="I59" s="2362" t="s">
        <v>2280</v>
      </c>
      <c r="J59" s="1865" t="e">
        <f>IF(J56&lt;0.4,0.4,J56)</f>
        <v>#VALUE!</v>
      </c>
      <c r="K59" s="2352" t="s">
        <v>2281</v>
      </c>
      <c r="L59" s="1123" t="e">
        <f>ROUND(POWER(1+L53,L48-L49)*(POWER(1+L53,L49)-1)/(POWER(1+L53,L48)-1),4)</f>
        <v>#DIV/0!</v>
      </c>
      <c r="O59" s="1366" t="s">
        <v>962</v>
      </c>
      <c r="P59" s="1363" t="str">
        <f>K60</f>
        <v>建筑物剩余耐用年限下的土地年期修正系数Kn</v>
      </c>
      <c r="Q59" s="1364" t="e">
        <f>L60</f>
        <v>#DIV/0!</v>
      </c>
      <c r="R59" s="1365" t="s">
        <v>2282</v>
      </c>
    </row>
    <row r="60" spans="1:18" s="789" customFormat="1" ht="29.25" thickBot="1">
      <c r="A60" s="336" t="s">
        <v>15</v>
      </c>
      <c r="B60" s="318" t="s">
        <v>2147</v>
      </c>
      <c r="C60" s="14">
        <f ca="1">ROUND(IF(项目基本情况!B7="自然人",C49*F60,C61+C62+C63),1)</f>
        <v>0</v>
      </c>
      <c r="D60" s="1883" t="s">
        <v>2209</v>
      </c>
      <c r="E60" s="1888" t="s">
        <v>2210</v>
      </c>
      <c r="F60" s="342">
        <f>IF(项目基本情况!B7="企业","",IF('数据-取费表'!B10="住宅",5%,IF(F50*F51*F52/12/(1+'数据-取费表'!F30)&gt;20000,12%,7%)))</f>
        <v>0.05</v>
      </c>
      <c r="I60" s="2362" t="s">
        <v>2283</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963</v>
      </c>
      <c r="P60" s="1363" t="str">
        <f>IF(C2="元","收益价值(元)","收益价值(万元)")</f>
        <v>收益价值(元)</v>
      </c>
      <c r="Q60" s="1364">
        <f ca="1">ROUND(IF(C2="元",Q54+Q55,(Q54+Q55)/10000),0)</f>
        <v>2000203</v>
      </c>
      <c r="R60" s="1365" t="s">
        <v>964</v>
      </c>
    </row>
    <row r="61" spans="1:18" s="789" customFormat="1" ht="16.5" thickBot="1">
      <c r="A61" s="336" t="s">
        <v>16</v>
      </c>
      <c r="B61" s="318" t="s">
        <v>2211</v>
      </c>
      <c r="C61" s="14" t="str">
        <f>IF(项目基本情况!B7="自然人","——",ROUND(C49*F61/(1+'数据-取费表'!F30),0))</f>
        <v>——</v>
      </c>
      <c r="D61" s="1888" t="s">
        <v>2212</v>
      </c>
      <c r="E61" s="318" t="s">
        <v>2161</v>
      </c>
      <c r="F61" s="351">
        <f t="shared" ref="F61:F67" si="0">F32</f>
        <v>5.5000000000000007E-2</v>
      </c>
      <c r="I61" s="2363" t="s">
        <v>2284</v>
      </c>
      <c r="J61" s="1348" t="str">
        <f>IF(OR(M48="住宅",J52&lt;L49,J57="是"),"0",ROUND(J60/(1+J53)^J54,0))</f>
        <v>0</v>
      </c>
      <c r="K61" s="2364" t="s">
        <v>2285</v>
      </c>
      <c r="L61" s="1348">
        <f>IF(OR(M48="住宅",L49&lt;J52),0,ROUND(L58*(L59/L60-1),0))</f>
        <v>0</v>
      </c>
      <c r="O61" s="1356" t="s">
        <v>2286</v>
      </c>
      <c r="P61" s="1357"/>
      <c r="Q61" s="1353"/>
      <c r="R61" s="1357"/>
    </row>
    <row r="62" spans="1:18" s="789" customFormat="1" ht="15.75" thickBot="1">
      <c r="A62" s="336" t="s">
        <v>17</v>
      </c>
      <c r="B62" s="318" t="s">
        <v>2287</v>
      </c>
      <c r="C62" s="14" t="str">
        <f>IF(项目基本情况!B7="自然人","——",IF(D62="按租金收入计税",ROUND(C49*F62,1),IF(D62="按房产原值计税",ROUND(C58*F62*0.7,1),'数据-取费表'!B43)))</f>
        <v>——</v>
      </c>
      <c r="D62" s="2009" t="s">
        <v>2158</v>
      </c>
      <c r="E62" s="318" t="s">
        <v>2161</v>
      </c>
      <c r="F62" s="341">
        <f t="shared" si="0"/>
        <v>0.12</v>
      </c>
      <c r="O62" s="1358" t="s">
        <v>2231</v>
      </c>
      <c r="P62" s="1359" t="s">
        <v>2232</v>
      </c>
      <c r="Q62" s="1360" t="s">
        <v>2233</v>
      </c>
      <c r="R62" s="1361" t="s">
        <v>2234</v>
      </c>
    </row>
    <row r="63" spans="1:18" s="789" customFormat="1" ht="15.75" thickBot="1">
      <c r="A63" s="344" t="s">
        <v>18</v>
      </c>
      <c r="B63" s="79" t="s">
        <v>2288</v>
      </c>
      <c r="C63" s="15" t="str">
        <f>IF(项目基本情况!B7="自然人","——",ROUND(F63*F64,0))</f>
        <v>——</v>
      </c>
      <c r="D63" s="345" t="s">
        <v>2289</v>
      </c>
      <c r="E63" s="318" t="s">
        <v>2290</v>
      </c>
      <c r="F63" s="346">
        <f t="shared" si="0"/>
        <v>1.5</v>
      </c>
      <c r="I63" s="2365" t="s">
        <v>2291</v>
      </c>
      <c r="J63" s="1869" t="s">
        <v>2292</v>
      </c>
      <c r="K63" s="1869" t="s">
        <v>2293</v>
      </c>
      <c r="L63" s="1869" t="s">
        <v>2294</v>
      </c>
      <c r="M63" s="1868" t="s">
        <v>2295</v>
      </c>
      <c r="O63" s="1362" t="s">
        <v>957</v>
      </c>
      <c r="P63" s="1363" t="s">
        <v>2235</v>
      </c>
      <c r="Q63" s="1364">
        <f ca="1">C40+J29</f>
        <v>2000203</v>
      </c>
      <c r="R63" s="1365" t="s">
        <v>2236</v>
      </c>
    </row>
    <row r="64" spans="1:18" s="789" customFormat="1" ht="20.25" thickBot="1">
      <c r="A64" s="347"/>
      <c r="B64" s="327"/>
      <c r="C64" s="19"/>
      <c r="D64" s="348"/>
      <c r="E64" s="318" t="s">
        <v>2296</v>
      </c>
      <c r="F64" s="319">
        <f t="shared" si="0"/>
        <v>0</v>
      </c>
      <c r="I64" s="2365" t="s">
        <v>2297</v>
      </c>
      <c r="J64" s="1869">
        <v>70</v>
      </c>
      <c r="K64" s="1869">
        <v>50</v>
      </c>
      <c r="L64" s="1869">
        <v>80</v>
      </c>
      <c r="M64" s="1867">
        <v>0.02</v>
      </c>
      <c r="O64" s="1362" t="s">
        <v>958</v>
      </c>
      <c r="P64" s="1363" t="s">
        <v>2268</v>
      </c>
      <c r="Q64" s="1364">
        <f>L61</f>
        <v>0</v>
      </c>
      <c r="R64" s="1365" t="s">
        <v>2269</v>
      </c>
    </row>
    <row r="65" spans="1:18" s="789" customFormat="1" ht="23.25" thickBot="1">
      <c r="A65" s="336" t="s">
        <v>19</v>
      </c>
      <c r="B65" s="318" t="s">
        <v>2216</v>
      </c>
      <c r="C65" s="14">
        <f ca="1">ROUND(C58*F65,0)</f>
        <v>8667</v>
      </c>
      <c r="D65" s="1888" t="s">
        <v>2217</v>
      </c>
      <c r="E65" s="318" t="s">
        <v>2161</v>
      </c>
      <c r="F65" s="349">
        <f t="shared" si="0"/>
        <v>1.4999999999999999E-2</v>
      </c>
      <c r="I65" s="2365" t="s">
        <v>2298</v>
      </c>
      <c r="J65" s="1869">
        <v>50</v>
      </c>
      <c r="K65" s="1869">
        <v>35</v>
      </c>
      <c r="L65" s="1869">
        <v>60</v>
      </c>
      <c r="M65" s="1868">
        <v>0</v>
      </c>
      <c r="O65" s="1366" t="s">
        <v>959</v>
      </c>
      <c r="P65" s="1363" t="s">
        <v>2272</v>
      </c>
      <c r="Q65" s="1368">
        <f ca="1">L52</f>
        <v>42765726</v>
      </c>
      <c r="R65" s="1369" t="s">
        <v>2299</v>
      </c>
    </row>
    <row r="66" spans="1:18" s="789" customFormat="1" ht="20.25" thickBot="1">
      <c r="A66" s="336" t="s">
        <v>20</v>
      </c>
      <c r="B66" s="318" t="s">
        <v>2176</v>
      </c>
      <c r="C66" s="14">
        <f ca="1">ROUND(C57*F66,0)</f>
        <v>633</v>
      </c>
      <c r="D66" s="1888" t="s">
        <v>2177</v>
      </c>
      <c r="E66" s="318" t="s">
        <v>2178</v>
      </c>
      <c r="F66" s="350">
        <f t="shared" si="0"/>
        <v>1.5E-3</v>
      </c>
      <c r="I66" s="2365" t="s">
        <v>2300</v>
      </c>
      <c r="J66" s="1869">
        <v>40</v>
      </c>
      <c r="K66" s="1869">
        <v>30</v>
      </c>
      <c r="L66" s="1869">
        <v>50</v>
      </c>
      <c r="M66" s="1867">
        <v>0.02</v>
      </c>
      <c r="O66" s="1366" t="s">
        <v>960</v>
      </c>
      <c r="P66" s="1370" t="s">
        <v>2301</v>
      </c>
      <c r="Q66" s="1364">
        <f ca="1">ROUND(Q67-Q68*Q69,0)</f>
        <v>23027</v>
      </c>
      <c r="R66" s="1365"/>
    </row>
    <row r="67" spans="1:18" s="789" customFormat="1" ht="15.75" thickBot="1">
      <c r="A67" s="336" t="s">
        <v>21</v>
      </c>
      <c r="B67" s="318" t="s">
        <v>2159</v>
      </c>
      <c r="C67" s="14">
        <f ca="1">ROUND(C49*F67,0)</f>
        <v>0</v>
      </c>
      <c r="D67" s="1888" t="s">
        <v>2182</v>
      </c>
      <c r="E67" s="318" t="s">
        <v>2178</v>
      </c>
      <c r="F67" s="328">
        <f t="shared" si="0"/>
        <v>0.01</v>
      </c>
      <c r="O67" s="1366" t="s">
        <v>965</v>
      </c>
      <c r="P67" s="1370" t="s">
        <v>2302</v>
      </c>
      <c r="Q67" s="1364">
        <f ca="1">C39</f>
        <v>56771</v>
      </c>
      <c r="R67" s="1365" t="s">
        <v>2236</v>
      </c>
    </row>
    <row r="68" spans="1:18" ht="15.75" thickBot="1">
      <c r="A68" s="331" t="s">
        <v>22</v>
      </c>
      <c r="B68" s="88" t="s">
        <v>2186</v>
      </c>
      <c r="C68" s="333">
        <f ca="1">C49-C59</f>
        <v>-9300</v>
      </c>
      <c r="D68" s="1883" t="s">
        <v>2187</v>
      </c>
      <c r="E68" s="1887"/>
      <c r="F68" s="352"/>
      <c r="H68" s="789"/>
      <c r="I68" s="789"/>
      <c r="J68" s="789"/>
      <c r="K68" s="789"/>
      <c r="L68" s="789"/>
      <c r="M68" s="789"/>
      <c r="O68" s="1366" t="s">
        <v>966</v>
      </c>
      <c r="P68" s="1370" t="s">
        <v>2303</v>
      </c>
      <c r="Q68" s="1364">
        <f ca="1">C13</f>
        <v>421801</v>
      </c>
      <c r="R68" s="1365" t="s">
        <v>2236</v>
      </c>
    </row>
    <row r="69" spans="1:18" ht="15.75" thickBot="1">
      <c r="A69" s="315" t="s">
        <v>23</v>
      </c>
      <c r="B69" s="316" t="s">
        <v>2224</v>
      </c>
      <c r="C69" s="317">
        <f ca="1">ROUND(C68*(1-((1+F71)/(1+F69))^F70)/(F69-F71),0)</f>
        <v>-185715</v>
      </c>
      <c r="D69" s="345" t="s">
        <v>2192</v>
      </c>
      <c r="E69" s="318" t="s">
        <v>2193</v>
      </c>
      <c r="F69" s="328">
        <f>F40</f>
        <v>4.4999999999999998E-2</v>
      </c>
      <c r="H69" s="789"/>
      <c r="I69" s="789"/>
      <c r="J69" s="789"/>
      <c r="K69" s="789"/>
      <c r="L69" s="789"/>
      <c r="M69" s="789"/>
      <c r="O69" s="1366" t="s">
        <v>967</v>
      </c>
      <c r="P69" s="1370" t="s">
        <v>2304</v>
      </c>
      <c r="Q69" s="1367">
        <f>J35</f>
        <v>0.08</v>
      </c>
      <c r="R69" s="1365"/>
    </row>
    <row r="70" spans="1:18" ht="15.75" thickBot="1">
      <c r="A70" s="320"/>
      <c r="B70" s="321"/>
      <c r="C70" s="322"/>
      <c r="D70" s="353" t="s">
        <v>2226</v>
      </c>
      <c r="E70" s="318" t="s">
        <v>2198</v>
      </c>
      <c r="F70" s="354">
        <f>F41</f>
        <v>52</v>
      </c>
      <c r="H70" s="789"/>
      <c r="I70" s="789"/>
      <c r="J70" s="789"/>
      <c r="K70" s="789"/>
      <c r="L70" s="789"/>
      <c r="M70" s="789"/>
      <c r="O70" s="1366" t="s">
        <v>961</v>
      </c>
      <c r="P70" s="1363" t="s">
        <v>2275</v>
      </c>
      <c r="Q70" s="1367">
        <f>L53</f>
        <v>0</v>
      </c>
      <c r="R70" s="1365"/>
    </row>
    <row r="71" spans="1:18" ht="20.25" thickBot="1">
      <c r="A71" s="324"/>
      <c r="B71" s="325"/>
      <c r="C71" s="326"/>
      <c r="D71" s="348"/>
      <c r="E71" s="318" t="s">
        <v>2202</v>
      </c>
      <c r="F71" s="1351"/>
      <c r="H71" s="789"/>
      <c r="M71" s="789"/>
      <c r="O71" s="1366" t="s">
        <v>962</v>
      </c>
      <c r="P71" s="1363" t="s">
        <v>2278</v>
      </c>
      <c r="Q71" s="1364" t="e">
        <f>L59</f>
        <v>#DIV/0!</v>
      </c>
      <c r="R71" s="1365" t="s">
        <v>2279</v>
      </c>
    </row>
    <row r="72" spans="1:18" ht="15.75" thickBot="1">
      <c r="A72" s="355" t="s">
        <v>24</v>
      </c>
      <c r="B72" s="356" t="s">
        <v>2227</v>
      </c>
      <c r="C72" s="357">
        <f ca="1">ROUND(C69/F72,0)</f>
        <v>-1791</v>
      </c>
      <c r="D72" s="358" t="s">
        <v>2228</v>
      </c>
      <c r="E72" s="359" t="s">
        <v>2229</v>
      </c>
      <c r="F72" s="360">
        <f>F43</f>
        <v>103.71</v>
      </c>
      <c r="O72" s="1366" t="s">
        <v>968</v>
      </c>
      <c r="P72" s="1363" t="str">
        <f>K60</f>
        <v>建筑物剩余耐用年限下的土地年期修正系数Kn</v>
      </c>
      <c r="Q72" s="1364" t="e">
        <f>L60</f>
        <v>#DIV/0!</v>
      </c>
      <c r="R72" s="1365" t="s">
        <v>2282</v>
      </c>
    </row>
    <row r="73" spans="1:18" ht="15.75" thickBot="1">
      <c r="A73" s="789"/>
      <c r="B73" s="793"/>
      <c r="C73" s="793"/>
      <c r="D73" s="789"/>
      <c r="E73" s="789"/>
      <c r="F73" s="789"/>
      <c r="O73" s="1362" t="s">
        <v>963</v>
      </c>
      <c r="P73" s="1363" t="str">
        <f>IF(C2="元","收益价值(元)","收益价值(万元)")</f>
        <v>收益价值(元)</v>
      </c>
      <c r="Q73" s="1364">
        <f ca="1">ROUND(IF(C2="元",Q63+Q64,(Q63+Q64)/10000),0)</f>
        <v>2000203</v>
      </c>
      <c r="R73" s="1365"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5" sqref="I1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782</v>
      </c>
      <c r="B1" s="1922"/>
      <c r="C1" s="1922"/>
      <c r="D1" s="1922"/>
      <c r="E1" s="1922"/>
    </row>
    <row r="2" spans="1:5" ht="78.75" customHeight="1">
      <c r="A2" s="27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1"/>
      <c r="C2" s="2741"/>
      <c r="D2" s="2741"/>
      <c r="E2" s="2741"/>
    </row>
    <row r="3" spans="1:5" ht="13.5" customHeight="1">
      <c r="A3" s="1925"/>
      <c r="B3" s="1925"/>
      <c r="C3" s="1925"/>
      <c r="D3" s="1925"/>
      <c r="E3" s="1925"/>
    </row>
    <row r="4" spans="1:5" ht="19.5" thickBot="1">
      <c r="A4" s="2742" t="str">
        <f>IF(项目基本情况!D5="房地产市场价值","估价结果一览表（市场价值不需本页表格)","估价结果一览表")</f>
        <v>估价结果一览表</v>
      </c>
      <c r="B4" s="2742"/>
      <c r="C4" s="2742"/>
      <c r="D4" s="2742"/>
      <c r="E4" s="2742"/>
    </row>
    <row r="5" spans="1:5" ht="14.25" customHeight="1" thickTop="1">
      <c r="A5" s="1922"/>
      <c r="B5" s="1926" t="s">
        <v>742</v>
      </c>
      <c r="C5" s="2743" t="s">
        <v>783</v>
      </c>
      <c r="D5" s="2744"/>
      <c r="E5" s="1922"/>
    </row>
    <row r="6" spans="1:5" ht="14.25">
      <c r="A6" s="1922"/>
      <c r="B6" s="1927" t="str">
        <f>项目基本情况!I1</f>
        <v>北京市房地产</v>
      </c>
      <c r="C6" s="2745">
        <f>项目基本情况!C12</f>
        <v>103.71</v>
      </c>
      <c r="D6" s="2745"/>
      <c r="E6" s="1922"/>
    </row>
    <row r="7" spans="1:5" ht="14.25">
      <c r="A7" s="1922"/>
      <c r="B7" s="2739" t="s">
        <v>784</v>
      </c>
      <c r="C7" s="1928" t="str">
        <f>IF('数据-取费表'!B3="万元","总价（万元）","总价（元）")</f>
        <v>总价（元）</v>
      </c>
      <c r="D7" s="1929">
        <f ca="1">IF('数据-取费表'!E3="否",结果表!I102,'结果表 (1修多)'!I103)</f>
        <v>4134632</v>
      </c>
      <c r="E7" s="1922"/>
    </row>
    <row r="8" spans="1:5" ht="28.5">
      <c r="A8" s="1922"/>
      <c r="B8" s="2739"/>
      <c r="C8" s="1930" t="s">
        <v>1175</v>
      </c>
      <c r="D8" s="1931" t="str">
        <f ca="1">IF('数据-取费表'!B3="万元",NUMBERSTRING(INT(D7*10000),2)&amp;"元整",NUMBERSTRING(INT(D7),2)&amp;"元整")</f>
        <v>肆佰壹拾叁万肆仟陆佰叁拾贰元整</v>
      </c>
      <c r="E8" s="1922"/>
    </row>
    <row r="9" spans="1:5" ht="14.25">
      <c r="A9" s="1922"/>
      <c r="B9" s="2739"/>
      <c r="C9" s="1932" t="s">
        <v>1273</v>
      </c>
      <c r="D9" s="1929">
        <f ca="1">IF('数据-取费表'!E3="否",结果表!I103,'结果表 (1修多)'!I104)</f>
        <v>39867</v>
      </c>
      <c r="E9" s="1922"/>
    </row>
    <row r="10" spans="1:5" ht="14.25">
      <c r="A10" s="1922"/>
      <c r="B10" s="2746"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46"/>
      <c r="C11" s="1930" t="s">
        <v>1175</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46" t="str">
        <f>IF('数据-取费表'!E3="否",结果表!F110,'结果表 (1修多)'!F111)</f>
        <v>3.房地产抵押价值</v>
      </c>
      <c r="C15" s="1923" t="str">
        <f>C7</f>
        <v>总价（元）</v>
      </c>
      <c r="D15" s="1929">
        <f ca="1">IF('数据-取费表'!E3="否",结果表!I110,'结果表 (1修多)'!I111)</f>
        <v>4134632</v>
      </c>
      <c r="E15" s="1922"/>
    </row>
    <row r="16" spans="1:5" ht="28.5">
      <c r="A16" s="1922"/>
      <c r="B16" s="2746"/>
      <c r="C16" s="1930" t="s">
        <v>1175</v>
      </c>
      <c r="D16" s="1929" t="str">
        <f ca="1">IF('数据-取费表'!B3="万元",NUMBERSTRING(INT(D15*10000),2)&amp;"元整",NUMBERSTRING(INT(D15),2)&amp;"元整")</f>
        <v>肆佰壹拾叁万肆仟陆佰叁拾贰元整</v>
      </c>
      <c r="E16" s="1922"/>
    </row>
    <row r="17" spans="1:5" ht="14.25">
      <c r="A17" s="1922"/>
      <c r="B17" s="2746"/>
      <c r="C17" s="1932" t="s">
        <v>1273</v>
      </c>
      <c r="D17" s="1929">
        <f ca="1">IF('数据-取费表'!E3="否",结果表!I111,'结果表 (1修多)'!I112)</f>
        <v>39867</v>
      </c>
      <c r="E17" s="1922"/>
    </row>
    <row r="18" spans="1:5" ht="14.25">
      <c r="A18" s="1922"/>
      <c r="B18" s="2746" t="str">
        <f>IF('数据-取费表'!E3="否",结果表!F112,'结果表 (1修多)'!F113)</f>
        <v>——</v>
      </c>
      <c r="C18" s="1923" t="str">
        <f>C7</f>
        <v>总价（元）</v>
      </c>
      <c r="D18" s="1929" t="str">
        <f>IF('数据-取费表'!E3="否",结果表!I112,'结果表 (1修多)'!I113)</f>
        <v>——</v>
      </c>
      <c r="E18" s="1922"/>
    </row>
    <row r="19" spans="1:5" ht="14.25">
      <c r="A19" s="1922"/>
      <c r="B19" s="2746"/>
      <c r="C19" s="1930" t="s">
        <v>1175</v>
      </c>
      <c r="D19" s="1929" t="e">
        <f>IF('数据-取费表'!B3="万元",NUMBERSTRING(INT(D18*10000),2)&amp;"元整",NUMBERSTRING(INT(D18),2)&amp;"元整")</f>
        <v>#VALUE!</v>
      </c>
      <c r="E19" s="1922"/>
    </row>
    <row r="20" spans="1:5" ht="14.25">
      <c r="A20" s="1922"/>
      <c r="B20" s="2746"/>
      <c r="C20" s="1932" t="s">
        <v>1273</v>
      </c>
      <c r="D20" s="1929" t="str">
        <f>IF('数据-取费表'!E3="否",结果表!I113,'结果表 (1修多)'!I114)</f>
        <v>——</v>
      </c>
      <c r="E20" s="1922"/>
    </row>
    <row r="21" spans="1:5" ht="14.25">
      <c r="A21" s="1922"/>
      <c r="B21" s="2739" t="str">
        <f>IF('数据-取费表'!E3="否",结果表!F114,'结果表 (1修多)'!F115)</f>
        <v>——</v>
      </c>
      <c r="C21" s="1928" t="str">
        <f>C7</f>
        <v>总价（元）</v>
      </c>
      <c r="D21" s="1929" t="str">
        <f>IF('数据-取费表'!E3="否",结果表!I114,'结果表 (1修多)'!I115)</f>
        <v>——</v>
      </c>
      <c r="E21" s="1922"/>
    </row>
    <row r="22" spans="1:5" ht="14.25">
      <c r="A22" s="1922"/>
      <c r="B22" s="2739"/>
      <c r="C22" s="1930" t="s">
        <v>1175</v>
      </c>
      <c r="D22" s="1931" t="e">
        <f>IF('数据-取费表'!B3="万元",NUMBERSTRING(INT(D21*10000),2)&amp;"元整",NUMBERSTRING(INT(D21),2)&amp;"元整")</f>
        <v>#VALUE!</v>
      </c>
      <c r="E22" s="1922"/>
    </row>
    <row r="23" spans="1:5" ht="15" thickBot="1">
      <c r="A23" s="1922"/>
      <c r="B23" s="2740"/>
      <c r="C23" s="1937" t="s">
        <v>1273</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4" t="s">
        <v>1274</v>
      </c>
      <c r="C25" s="2754"/>
      <c r="D25" s="2754"/>
      <c r="E25" s="1922"/>
    </row>
    <row r="26" spans="1:5" ht="18.75" customHeight="1" thickTop="1">
      <c r="A26" s="1922"/>
      <c r="B26" s="2757" t="s">
        <v>1174</v>
      </c>
      <c r="C26" s="2758"/>
      <c r="D26" s="2755" t="s">
        <v>1173</v>
      </c>
      <c r="E26" s="1922"/>
    </row>
    <row r="27" spans="1:5" ht="18.75" customHeight="1">
      <c r="A27" s="1922"/>
      <c r="B27" s="2759"/>
      <c r="C27" s="2760"/>
      <c r="D27" s="2756"/>
      <c r="E27" s="1922"/>
    </row>
    <row r="28" spans="1:5" ht="14.25">
      <c r="A28" s="1922"/>
      <c r="B28" s="2747" t="s">
        <v>784</v>
      </c>
      <c r="C28" s="1939" t="s">
        <v>1176</v>
      </c>
      <c r="D28" s="1940">
        <f ca="1">IF('数据-取费表'!E3="否",结果表!I102,'结果表 (1修多)'!I103)</f>
        <v>4134632</v>
      </c>
      <c r="E28" s="1922"/>
    </row>
    <row r="29" spans="1:5" ht="28.5">
      <c r="A29" s="1922"/>
      <c r="B29" s="2748"/>
      <c r="C29" s="1941" t="s">
        <v>1175</v>
      </c>
      <c r="D29" s="1942" t="str">
        <f ca="1">IF('数据-取费表'!B3="万元",NUMBERSTRING(INT(D28*10000),2)&amp;"元整",NUMBERSTRING(INT(D28),2)&amp;"元整")</f>
        <v>肆佰壹拾叁万肆仟陆佰叁拾贰元整</v>
      </c>
      <c r="E29" s="1922"/>
    </row>
    <row r="30" spans="1:5" ht="14.25">
      <c r="A30" s="1922"/>
      <c r="B30" s="2749"/>
      <c r="C30" s="1932" t="s">
        <v>1178</v>
      </c>
      <c r="D30" s="1943">
        <f ca="1">IF('数据-取费表'!E3="否",结果表!I103,'结果表 (1修多)'!I104)</f>
        <v>39867</v>
      </c>
      <c r="E30" s="1922"/>
    </row>
    <row r="31" spans="1:5" ht="14.25">
      <c r="A31" s="1922"/>
      <c r="B31" s="2752" t="str">
        <f>B10</f>
        <v>2.估价师所知悉的法定优先受偿款</v>
      </c>
      <c r="C31" s="1944" t="s">
        <v>1177</v>
      </c>
      <c r="D31" s="1945">
        <f>IF('数据-取费表'!E3="否",结果表!I105,'结果表 (1修多)'!I106)</f>
        <v>0</v>
      </c>
      <c r="E31" s="1922"/>
    </row>
    <row r="32" spans="1:5" ht="14.25">
      <c r="A32" s="1922"/>
      <c r="B32" s="2761"/>
      <c r="C32" s="1941" t="s">
        <v>1175</v>
      </c>
      <c r="D32" s="1946" t="str">
        <f>IF('数据-取费表'!B3="万元",NUMBERSTRING(INT(D31*10000),2)&amp;"元整",NUMBERSTRING(INT(D31),2)&amp;"元整")</f>
        <v>零元整</v>
      </c>
      <c r="E32" s="1922"/>
    </row>
    <row r="33" spans="1:5" ht="14.25">
      <c r="A33" s="1922"/>
      <c r="B33" s="1930" t="s">
        <v>1158</v>
      </c>
      <c r="C33" s="1930" t="str">
        <f>C31</f>
        <v>总额</v>
      </c>
      <c r="D33" s="1943">
        <f>IF('数据-取费表'!E3="否",结果表!I106,'结果表 (1修多)'!I107)</f>
        <v>0</v>
      </c>
      <c r="E33" s="1922"/>
    </row>
    <row r="34" spans="1:5" ht="14.25">
      <c r="A34" s="1922"/>
      <c r="B34" s="1930" t="s">
        <v>1159</v>
      </c>
      <c r="C34" s="1930" t="str">
        <f>C31</f>
        <v>总额</v>
      </c>
      <c r="D34" s="1943">
        <f>IF('数据-取费表'!E3="否",结果表!I107,'结果表 (1修多)'!I108)</f>
        <v>0</v>
      </c>
      <c r="E34" s="1922"/>
    </row>
    <row r="35" spans="1:5" ht="14.25">
      <c r="A35" s="1922"/>
      <c r="B35" s="1930" t="s">
        <v>1160</v>
      </c>
      <c r="C35" s="1930" t="str">
        <f>C31</f>
        <v>总额</v>
      </c>
      <c r="D35" s="1943">
        <f>IF('数据-取费表'!E3="否",结果表!I108,'结果表 (1修多)'!I109)</f>
        <v>0</v>
      </c>
      <c r="E35" s="1922"/>
    </row>
    <row r="36" spans="1:5" ht="14.25">
      <c r="A36" s="1922"/>
      <c r="B36" s="2750" t="str">
        <f>B15</f>
        <v>3.房地产抵押价值</v>
      </c>
      <c r="C36" s="1944" t="str">
        <f>C28</f>
        <v>总价</v>
      </c>
      <c r="D36" s="1945">
        <f ca="1">IF('数据-取费表'!E3="否",结果表!I110,'结果表 (1修多)'!I111)</f>
        <v>4134632</v>
      </c>
      <c r="E36" s="1922"/>
    </row>
    <row r="37" spans="1:5" ht="28.5">
      <c r="A37" s="1922"/>
      <c r="B37" s="2750"/>
      <c r="C37" s="1941" t="s">
        <v>1175</v>
      </c>
      <c r="D37" s="1946" t="str">
        <f ca="1">IF('数据-取费表'!B3="万元",NUMBERSTRING(INT(D36*10000),2)&amp;"元整",NUMBERSTRING(INT(D36),2)&amp;"元整")</f>
        <v>肆佰壹拾叁万肆仟陆佰叁拾贰元整</v>
      </c>
      <c r="E37" s="1922"/>
    </row>
    <row r="38" spans="1:5" ht="14.25">
      <c r="A38" s="1922"/>
      <c r="B38" s="2750"/>
      <c r="C38" s="1932" t="s">
        <v>1179</v>
      </c>
      <c r="D38" s="1943">
        <f ca="1">IF('数据-取费表'!E3="否",结果表!D113,'结果表 (1修多)'!D116)</f>
        <v>39867</v>
      </c>
      <c r="E38" s="1922"/>
    </row>
    <row r="39" spans="1:5" ht="14.25">
      <c r="A39" s="1922"/>
      <c r="B39" s="2751" t="str">
        <f>B18</f>
        <v>——</v>
      </c>
      <c r="C39" s="1944" t="str">
        <f>C28</f>
        <v>总价</v>
      </c>
      <c r="D39" s="1945" t="str">
        <f>IF('数据-取费表'!E3="否",结果表!I112,'结果表 (1修多)'!I113)</f>
        <v>——</v>
      </c>
      <c r="E39" s="1922"/>
    </row>
    <row r="40" spans="1:5" ht="14.25">
      <c r="A40" s="1922"/>
      <c r="B40" s="2751"/>
      <c r="C40" s="1941" t="s">
        <v>1175</v>
      </c>
      <c r="D40" s="1946" t="e">
        <f>IF('数据-取费表'!B3="万元",NUMBERSTRING(INT(D39*10000),2)&amp;"元整",NUMBERSTRING(INT(D39),2)&amp;"元整")</f>
        <v>#VALUE!</v>
      </c>
      <c r="E40" s="1922"/>
    </row>
    <row r="41" spans="1:5" ht="14.25">
      <c r="A41" s="1922"/>
      <c r="B41" s="2751"/>
      <c r="C41" s="1932" t="s">
        <v>1179</v>
      </c>
      <c r="D41" s="1943" t="str">
        <f>IF('数据-取费表'!E3="否",结果表!D115,'结果表 (1修多)'!D118)</f>
        <v>——</v>
      </c>
      <c r="E41" s="1922"/>
    </row>
    <row r="42" spans="1:5" ht="14.25">
      <c r="A42" s="1922"/>
      <c r="B42" s="2750" t="str">
        <f>B21</f>
        <v>——</v>
      </c>
      <c r="C42" s="1944" t="str">
        <f>C28</f>
        <v>总价</v>
      </c>
      <c r="D42" s="1945" t="str">
        <f>IF('数据-取费表'!E3="否",结果表!I114,'结果表 (1修多)'!I115)</f>
        <v>——</v>
      </c>
      <c r="E42" s="1922"/>
    </row>
    <row r="43" spans="1:5" ht="14.25">
      <c r="A43" s="1922"/>
      <c r="B43" s="2752"/>
      <c r="C43" s="1941" t="s">
        <v>1175</v>
      </c>
      <c r="D43" s="1947" t="e">
        <f>IF('数据-取费表'!B3="万元",NUMBERSTRING(INT(D42*10000),2)&amp;"元整",NUMBERSTRING(INT(D42),2)&amp;"元整")</f>
        <v>#VALUE!</v>
      </c>
      <c r="E43" s="1922"/>
    </row>
    <row r="44" spans="1:5" ht="15" thickBot="1">
      <c r="A44" s="1922"/>
      <c r="B44" s="2753"/>
      <c r="C44" s="1937" t="s">
        <v>1179</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68" t="str">
        <f>IF(项目基本情况!D5="房地产市场价值","估价结果一览表","结果表-2")</f>
        <v>结果表-2</v>
      </c>
      <c r="B1" s="2768"/>
      <c r="C1" s="2768"/>
      <c r="D1" s="2768"/>
      <c r="E1" s="2768"/>
      <c r="F1" s="2768"/>
      <c r="G1" s="2768"/>
      <c r="H1" s="2768"/>
      <c r="I1" s="2768"/>
    </row>
    <row r="2" spans="1:9" ht="30" customHeight="1" thickTop="1">
      <c r="A2" s="2769" t="s">
        <v>1275</v>
      </c>
      <c r="B2" s="2769" t="s">
        <v>1276</v>
      </c>
      <c r="C2" s="2769" t="s">
        <v>1277</v>
      </c>
      <c r="D2" s="2769" t="str">
        <f>IF('数据-取费表'!E3="否",结果表!D119,'结果表 (1修多)'!D122)</f>
        <v>出让国有建设用地使用权价值</v>
      </c>
      <c r="E2" s="2769"/>
      <c r="F2" s="2769" t="s">
        <v>1278</v>
      </c>
      <c r="G2" s="2769"/>
      <c r="H2" s="2769" t="s">
        <v>1279</v>
      </c>
      <c r="I2" s="2769"/>
    </row>
    <row r="3" spans="1:9" ht="15">
      <c r="A3" s="2764"/>
      <c r="B3" s="2764"/>
      <c r="C3" s="2764"/>
      <c r="D3" s="1044" t="s">
        <v>1280</v>
      </c>
      <c r="E3" s="1044" t="s">
        <v>1281</v>
      </c>
      <c r="F3" s="1044" t="s">
        <v>1280</v>
      </c>
      <c r="G3" s="1044" t="s">
        <v>1282</v>
      </c>
      <c r="H3" s="1044" t="s">
        <v>1280</v>
      </c>
      <c r="I3" s="1044" t="s">
        <v>1282</v>
      </c>
    </row>
    <row r="4" spans="1:9" ht="46.5" customHeight="1">
      <c r="A4" s="1044" t="str">
        <f>项目基本情况!I1</f>
        <v>北京市房地产</v>
      </c>
      <c r="B4" s="1044">
        <f>结果表!B121</f>
        <v>103.71</v>
      </c>
      <c r="C4" s="1044">
        <f>结果表!C121</f>
        <v>0</v>
      </c>
      <c r="D4" s="1044">
        <f ca="1">IF('数据-取费表'!E3="否",结果表!D121,'结果表 (1修多)'!D124)</f>
        <v>3262225</v>
      </c>
      <c r="E4" s="1044">
        <f ca="1">IF('数据-取费表'!E3="否",结果表!E121,'结果表 (1修多)'!E124)</f>
        <v>31455</v>
      </c>
      <c r="F4" s="1044">
        <f ca="1">IF('数据-取费表'!E3="否",结果表!F121,'结果表 (1修多)'!F124)</f>
        <v>872407</v>
      </c>
      <c r="G4" s="1044">
        <f ca="1">IF('数据-取费表'!E3="否",结果表!G121,'结果表 (1修多)'!G124)</f>
        <v>8412</v>
      </c>
      <c r="H4" s="1044">
        <f ca="1">IF('数据-取费表'!E3="否",结果表!H121,'结果表 (1修多)'!H124)</f>
        <v>4134632</v>
      </c>
      <c r="I4" s="1044">
        <f ca="1">IF('数据-取费表'!E3="否",结果表!I121,'结果表 (1修多)'!I124)</f>
        <v>39867</v>
      </c>
    </row>
    <row r="5" spans="1:9" ht="15">
      <c r="A5" s="2764" t="s">
        <v>1283</v>
      </c>
      <c r="B5" s="2764"/>
      <c r="C5" s="2764"/>
      <c r="D5" s="2762" t="str">
        <f ca="1">IF('数据-取费表'!E3="否",结果表!D122,'结果表 (1修多)'!D125)</f>
        <v>叁佰贰拾陆万贰仟贰佰贰拾伍元整</v>
      </c>
      <c r="E5" s="2762"/>
      <c r="F5" s="2762" t="str">
        <f ca="1">IF('数据-取费表'!E3="否",结果表!F122,'结果表 (1修多)'!F125)</f>
        <v>捌拾柒万贰仟肆佰零柒元整</v>
      </c>
      <c r="G5" s="2762"/>
      <c r="H5" s="2762" t="str">
        <f ca="1">IF('数据-取费表'!E3="否",结果表!H122,'结果表 (1修多)'!H125)</f>
        <v>肆佰壹拾叁万肆仟陆佰叁拾贰元整</v>
      </c>
      <c r="I5" s="2762"/>
    </row>
    <row r="6" spans="1:9" ht="15.75">
      <c r="A6" s="2763" t="str">
        <f>IF('数据-取费表'!E3="否",结果表!A123,'结果表 (1修多)'!A126)</f>
        <v>估价师所知悉的法定优先受偿款</v>
      </c>
      <c r="B6" s="2763"/>
      <c r="C6" s="2763"/>
      <c r="D6" s="2763">
        <f>IF('数据-取费表'!E3="否",结果表!D123,'结果表 (1修多)'!D126)</f>
        <v>0</v>
      </c>
      <c r="E6" s="2763"/>
      <c r="F6" s="2763"/>
      <c r="G6" s="2763"/>
      <c r="H6" s="2763"/>
      <c r="I6" s="2763"/>
    </row>
    <row r="7" spans="1:9" ht="15">
      <c r="A7" s="2764" t="s">
        <v>1283</v>
      </c>
      <c r="B7" s="2764"/>
      <c r="C7" s="2764"/>
      <c r="D7" s="2765">
        <f>IF('数据-取费表'!E3="否",结果表!D124,'结果表 (1修多)'!D127)</f>
        <v>0</v>
      </c>
      <c r="E7" s="2766"/>
      <c r="F7" s="2766"/>
      <c r="G7" s="2766"/>
      <c r="H7" s="2766"/>
      <c r="I7" s="2767"/>
    </row>
    <row r="8" spans="1:9" ht="15.75">
      <c r="A8" s="2763" t="str">
        <f>IF('数据-取费表'!E3="否",结果表!A125,'结果表 (1修多)'!A128)</f>
        <v>房地产抵押价值</v>
      </c>
      <c r="B8" s="2763"/>
      <c r="C8" s="2763"/>
      <c r="D8" s="2763">
        <f ca="1">IF('数据-取费表'!E3="否",结果表!D125,'结果表 (1修多)'!D128)</f>
        <v>4134632</v>
      </c>
      <c r="E8" s="2763"/>
      <c r="F8" s="2763"/>
      <c r="G8" s="2763"/>
      <c r="H8" s="2763"/>
      <c r="I8" s="2763"/>
    </row>
    <row r="9" spans="1:9" ht="15">
      <c r="A9" s="2764" t="s">
        <v>1283</v>
      </c>
      <c r="B9" s="2764"/>
      <c r="C9" s="2764"/>
      <c r="D9" s="2762">
        <f ca="1">IF('数据-取费表'!E3="否",结果表!D126,'结果表 (1修多)'!D129)</f>
        <v>39867</v>
      </c>
      <c r="E9" s="2762"/>
      <c r="F9" s="2762"/>
      <c r="G9" s="2762"/>
      <c r="H9" s="2762"/>
      <c r="I9" s="2762"/>
    </row>
    <row r="10" spans="1:9" ht="15.75">
      <c r="A10" s="2763" t="str">
        <f>IF('数据-取费表'!E3="否",结果表!A127,'结果表 (1修多)'!A130)</f>
        <v/>
      </c>
      <c r="B10" s="2763"/>
      <c r="C10" s="2763"/>
      <c r="D10" s="2763" t="str">
        <f>IF('数据-取费表'!E3="否",结果表!D127,'结果表 (1修多)'!D129)</f>
        <v>——</v>
      </c>
      <c r="E10" s="2763"/>
      <c r="F10" s="2763"/>
      <c r="G10" s="2763"/>
      <c r="H10" s="2763"/>
      <c r="I10" s="2763"/>
    </row>
    <row r="11" spans="1:9" ht="15">
      <c r="A11" s="2764" t="s">
        <v>1283</v>
      </c>
      <c r="B11" s="2764"/>
      <c r="C11" s="2764"/>
      <c r="D11" s="2762" t="str">
        <f>IF('数据-取费表'!E3="否",结果表!D128,'结果表 (1修多)'!D131)</f>
        <v>——</v>
      </c>
      <c r="E11" s="2762"/>
      <c r="F11" s="2762"/>
      <c r="G11" s="2762"/>
      <c r="H11" s="2762"/>
      <c r="I11" s="2762"/>
    </row>
    <row r="12" spans="1:9" ht="15.75">
      <c r="A12" s="2763" t="str">
        <f>IF('数据-取费表'!E3="否",结果表!A129,'结果表 (1修多)'!A132)</f>
        <v/>
      </c>
      <c r="B12" s="2763"/>
      <c r="C12" s="2763"/>
      <c r="D12" s="2763" t="str">
        <f>IF('数据-取费表'!E3="否",结果表!D129,'结果表 (1修多)'!D132)</f>
        <v>——</v>
      </c>
      <c r="E12" s="2763"/>
      <c r="F12" s="2763"/>
      <c r="G12" s="2763"/>
      <c r="H12" s="2763"/>
      <c r="I12" s="2763"/>
    </row>
    <row r="13" spans="1:9" ht="15.75" thickBot="1">
      <c r="A13" s="2770" t="s">
        <v>1283</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单位：平方米、元、元/平方米（币种：人民币）</v>
      </c>
      <c r="B14" s="2772"/>
      <c r="C14" s="2772"/>
      <c r="D14" s="2772"/>
      <c r="E14" s="2772"/>
      <c r="F14" s="2772"/>
      <c r="G14" s="2772"/>
      <c r="H14" s="2772"/>
      <c r="I14" s="2772"/>
    </row>
    <row r="15" spans="1:9">
      <c r="A15" s="713"/>
      <c r="B15" s="713"/>
      <c r="C15" s="713"/>
      <c r="D15" s="713"/>
      <c r="E15" s="713"/>
      <c r="F15" s="713"/>
      <c r="G15" s="713"/>
      <c r="H15" s="713"/>
      <c r="I15" s="713"/>
    </row>
    <row r="16" spans="1:9" ht="18.75">
      <c r="A16" s="1950"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77" t="s">
        <v>1297</v>
      </c>
      <c r="B1" s="2777"/>
      <c r="C1" s="2777"/>
      <c r="D1" s="2777"/>
    </row>
    <row r="2" spans="1:4" ht="18">
      <c r="A2" s="2776" t="s">
        <v>1285</v>
      </c>
      <c r="B2" s="2776"/>
      <c r="C2" s="2776"/>
      <c r="D2" s="2776"/>
    </row>
    <row r="3" spans="1:4" ht="18.75">
      <c r="A3" s="1951" t="s">
        <v>1286</v>
      </c>
      <c r="B3" s="1951" t="s">
        <v>1287</v>
      </c>
      <c r="C3" s="1951" t="s">
        <v>1288</v>
      </c>
      <c r="D3" s="1951" t="s">
        <v>1289</v>
      </c>
    </row>
    <row r="4" spans="1:4" ht="56.25" customHeight="1">
      <c r="A4" s="1952" t="str">
        <f>项目基本情况!B3</f>
        <v>欧红伟</v>
      </c>
      <c r="B4" s="1953">
        <f ca="1">项目基本情况!C3</f>
        <v>1120000080</v>
      </c>
      <c r="C4" s="1954"/>
      <c r="D4" s="1955" t="s">
        <v>1298</v>
      </c>
    </row>
    <row r="5" spans="1:4" ht="56.25" customHeight="1">
      <c r="A5" s="1952" t="str">
        <f>项目基本情况!D3</f>
        <v>崔锴</v>
      </c>
      <c r="B5" s="1953">
        <f ca="1">项目基本情况!E3</f>
        <v>1120100036</v>
      </c>
      <c r="C5" s="1956"/>
      <c r="D5" s="1955" t="s">
        <v>1298</v>
      </c>
    </row>
    <row r="6" spans="1:4" ht="12" customHeight="1">
      <c r="A6" s="1952"/>
      <c r="B6" s="1953"/>
      <c r="C6" s="1957"/>
      <c r="D6" s="1955"/>
    </row>
    <row r="7" spans="1:4" ht="18">
      <c r="A7" s="2776" t="s">
        <v>1290</v>
      </c>
      <c r="B7" s="2776"/>
      <c r="C7" s="2776"/>
      <c r="D7" s="2776"/>
    </row>
    <row r="8" spans="1:4" ht="18.75">
      <c r="A8" s="1951" t="s">
        <v>1286</v>
      </c>
      <c r="B8" s="1953" t="s">
        <v>1291</v>
      </c>
      <c r="C8" s="1951" t="s">
        <v>1288</v>
      </c>
      <c r="D8" s="1951" t="s">
        <v>1289</v>
      </c>
    </row>
    <row r="9" spans="1:4" ht="56.25" customHeight="1">
      <c r="A9" s="1958" t="s">
        <v>785</v>
      </c>
      <c r="B9" s="1958" t="s">
        <v>786</v>
      </c>
      <c r="C9" s="1954"/>
      <c r="D9" s="1955" t="s">
        <v>1298</v>
      </c>
    </row>
    <row r="11" spans="1:4" ht="18.75">
      <c r="A11" s="1959" t="s">
        <v>1292</v>
      </c>
    </row>
    <row r="12" spans="1:4" ht="30" customHeight="1">
      <c r="A12" s="2773" t="s">
        <v>1299</v>
      </c>
      <c r="B12" s="2775"/>
      <c r="C12" s="2775"/>
      <c r="D12" s="2775"/>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5"/>
      <c r="C13" s="2775"/>
      <c r="D13" s="2775"/>
    </row>
    <row r="14" spans="1:4" ht="30" customHeight="1">
      <c r="A14" s="277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5"/>
      <c r="C14" s="2775"/>
      <c r="D14" s="2775"/>
    </row>
    <row r="15" spans="1:4" ht="15.75" customHeight="1">
      <c r="A15" s="2773" t="str">
        <f>IF(项目基本情况!D4="抵押","4.本次评估估价师所知悉的法定优先受偿款情况说明如下：","——")</f>
        <v>4.本次评估估价师所知悉的法定优先受偿款情况说明如下：</v>
      </c>
      <c r="B15" s="2775"/>
      <c r="C15" s="2775"/>
      <c r="D15" s="2775"/>
    </row>
    <row r="16" spans="1:4" ht="75" customHeight="1">
      <c r="A16" s="2773" t="str">
        <f>IF(项目基本情况!D4="抵押",CONCATENATE(项目基本情况!J13,项目基本情况!J14,项目基本情况!J15),"——")</f>
        <v>根据估价对象《不动产权证书》原件、，截至价值时点，估价对象抵押权未见登记。</v>
      </c>
      <c r="B16" s="2773"/>
      <c r="C16" s="2773"/>
      <c r="D16" s="2773"/>
    </row>
    <row r="17" spans="1:4" ht="63.75" customHeight="1">
      <c r="A17" s="2774" t="s">
        <v>1300</v>
      </c>
      <c r="B17" s="2774"/>
      <c r="C17" s="2774"/>
      <c r="D17" s="2774"/>
    </row>
    <row r="18" spans="1:4" ht="15.75" customHeight="1">
      <c r="A18" s="2773" t="str">
        <f>IF(项目基本情况!D4="抵押",结果表!K106,"——")</f>
        <v>本次评估不存在估价师所知悉的法定优先受偿款。</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4" t="s">
        <v>1293</v>
      </c>
      <c r="B20" s="2774"/>
      <c r="C20" s="2774"/>
      <c r="D20" s="2774"/>
    </row>
    <row r="21" spans="1:4">
      <c r="A21" s="1960"/>
      <c r="B21" s="1285"/>
      <c r="C21" s="1285"/>
      <c r="D21" s="1285"/>
    </row>
    <row r="22" spans="1:4">
      <c r="A22" s="1960"/>
      <c r="B22" s="1285"/>
      <c r="C22" s="1285"/>
      <c r="D22" s="1285"/>
    </row>
    <row r="23" spans="1:4" ht="18.75">
      <c r="A23" s="1921" t="s">
        <v>1294</v>
      </c>
    </row>
    <row r="24" spans="1:4" ht="18">
      <c r="A24" s="1921"/>
    </row>
    <row r="25" spans="1:4" ht="18.75">
      <c r="A25" s="1921" t="s">
        <v>1295</v>
      </c>
    </row>
    <row r="28" spans="1:4" ht="21" customHeight="1">
      <c r="D28" s="1961" t="s">
        <v>1296</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69" customWidth="1"/>
    <col min="2" max="16384" width="14.5" style="713"/>
  </cols>
  <sheetData>
    <row r="1" spans="1:7" s="1950" customFormat="1" ht="18.75">
      <c r="A1" s="711" t="s">
        <v>1367</v>
      </c>
    </row>
    <row r="3" spans="1:7" ht="14.25">
      <c r="A3" s="1967" t="s">
        <v>1368</v>
      </c>
      <c r="B3" s="713" t="s">
        <v>1369</v>
      </c>
      <c r="G3" s="1968"/>
    </row>
    <row r="4" spans="1:7">
      <c r="G4" s="1968"/>
    </row>
    <row r="5" spans="1:7" ht="14.25">
      <c r="A5" s="1970" t="s">
        <v>1370</v>
      </c>
      <c r="B5" s="713" t="s">
        <v>1371</v>
      </c>
      <c r="G5" s="1968"/>
    </row>
    <row r="6" spans="1:7">
      <c r="G6" s="1968"/>
    </row>
    <row r="7" spans="1:7" ht="14.25">
      <c r="A7" s="1971" t="s">
        <v>1372</v>
      </c>
      <c r="B7" s="713" t="s">
        <v>1373</v>
      </c>
      <c r="G7" s="1968"/>
    </row>
    <row r="8" spans="1:7">
      <c r="G8" s="1968"/>
    </row>
    <row r="9" spans="1:7">
      <c r="A9" s="1972" t="s">
        <v>1374</v>
      </c>
      <c r="B9" s="713" t="s">
        <v>1375</v>
      </c>
    </row>
    <row r="11" spans="1:7">
      <c r="A11" s="1973" t="s">
        <v>1376</v>
      </c>
      <c r="B11" s="1974" t="s">
        <v>1377</v>
      </c>
    </row>
    <row r="13" spans="1:7">
      <c r="A13" s="1676" t="s">
        <v>1378</v>
      </c>
    </row>
    <row r="15" spans="1:7" ht="14.25">
      <c r="A15" s="2783" t="s">
        <v>1379</v>
      </c>
      <c r="B15" s="2778" t="s">
        <v>1380</v>
      </c>
      <c r="C15" s="2779"/>
    </row>
    <row r="16" spans="1:7" ht="14.25">
      <c r="A16" s="2784"/>
      <c r="B16" s="2778" t="s">
        <v>1381</v>
      </c>
      <c r="C16" s="2779"/>
    </row>
    <row r="17" spans="1:3" ht="14.25">
      <c r="A17" s="2784"/>
      <c r="B17" s="2778" t="s">
        <v>1382</v>
      </c>
      <c r="C17" s="2779"/>
    </row>
    <row r="18" spans="1:3" ht="14.25">
      <c r="A18" s="2785"/>
      <c r="B18" s="2780" t="s">
        <v>1383</v>
      </c>
      <c r="C18" s="2779"/>
    </row>
    <row r="19" spans="1:3" ht="14.25">
      <c r="A19" s="1975" t="s">
        <v>1384</v>
      </c>
      <c r="B19" s="1976"/>
      <c r="C19" s="1977"/>
    </row>
    <row r="20" spans="1:3" ht="14.25">
      <c r="A20" s="2781" t="s">
        <v>1385</v>
      </c>
      <c r="B20" s="2780" t="s">
        <v>1386</v>
      </c>
      <c r="C20" s="2779"/>
    </row>
    <row r="21" spans="1:3" ht="14.25">
      <c r="A21" s="2781"/>
      <c r="B21" s="2780" t="s">
        <v>1387</v>
      </c>
      <c r="C21" s="2779"/>
    </row>
    <row r="22" spans="1:3" ht="14.25">
      <c r="A22" s="2781"/>
      <c r="B22" s="2780" t="s">
        <v>1388</v>
      </c>
      <c r="C22" s="2779"/>
    </row>
    <row r="23" spans="1:3" ht="14.25">
      <c r="A23" s="2781"/>
      <c r="B23" s="2782" t="s">
        <v>1389</v>
      </c>
      <c r="C23" s="1978" t="s">
        <v>1390</v>
      </c>
    </row>
    <row r="24" spans="1:3" ht="14.25">
      <c r="A24" s="2781"/>
      <c r="B24" s="2782"/>
      <c r="C24" s="1978" t="s">
        <v>1391</v>
      </c>
    </row>
    <row r="25" spans="1:3" ht="14.25">
      <c r="A25" s="2781"/>
      <c r="B25" s="2782"/>
      <c r="C25" s="1978" t="s">
        <v>1392</v>
      </c>
    </row>
    <row r="26" spans="1:3" ht="14.25">
      <c r="A26" s="2781"/>
      <c r="B26" s="2782"/>
      <c r="C26" s="1978" t="s">
        <v>1393</v>
      </c>
    </row>
    <row r="27" spans="1:3" ht="14.25">
      <c r="A27" s="2781"/>
      <c r="B27" s="2782"/>
      <c r="C27" s="1978" t="s">
        <v>1394</v>
      </c>
    </row>
    <row r="28" spans="1:3" ht="14.25">
      <c r="A28" s="2781"/>
      <c r="B28" s="2782"/>
      <c r="C28" s="1978" t="s">
        <v>1395</v>
      </c>
    </row>
    <row r="29" spans="1:3" ht="14.25">
      <c r="A29" s="2781"/>
      <c r="B29" s="2782"/>
      <c r="C29" s="1978" t="s">
        <v>1396</v>
      </c>
    </row>
    <row r="30" spans="1:3" ht="14.25">
      <c r="A30" s="2781"/>
      <c r="B30" s="2782"/>
      <c r="C30" s="1978" t="s">
        <v>1397</v>
      </c>
    </row>
    <row r="31" spans="1:3" ht="14.25">
      <c r="A31" s="2781"/>
      <c r="B31" s="2782"/>
      <c r="C31" s="1978" t="s">
        <v>1398</v>
      </c>
    </row>
    <row r="32" spans="1:3">
      <c r="A32" s="1979"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2"/>
    <col min="4" max="4" width="41.375" style="1022" customWidth="1"/>
    <col min="5" max="6" width="22.625" style="1022"/>
    <col min="7" max="7" width="25.625" style="1022" customWidth="1"/>
    <col min="8" max="16384" width="22.625" style="1022"/>
  </cols>
  <sheetData>
    <row r="2" spans="1:8" ht="24" customHeight="1">
      <c r="A2" s="1019" t="s">
        <v>746</v>
      </c>
      <c r="B2" s="1020">
        <f ca="1">TODAY()</f>
        <v>43263</v>
      </c>
      <c r="C2" s="1021" t="s">
        <v>747</v>
      </c>
      <c r="D2" s="1021"/>
      <c r="E2" s="1021"/>
    </row>
    <row r="3" spans="1:8" ht="24" customHeight="1">
      <c r="A3" s="1023" t="s">
        <v>748</v>
      </c>
      <c r="B3" s="1024" t="s">
        <v>749</v>
      </c>
      <c r="C3" s="1024" t="s">
        <v>750</v>
      </c>
      <c r="D3" s="1043" t="s">
        <v>780</v>
      </c>
      <c r="E3" s="1025" t="s">
        <v>751</v>
      </c>
      <c r="F3" s="1026" t="s">
        <v>752</v>
      </c>
      <c r="G3" s="1024" t="s">
        <v>750</v>
      </c>
      <c r="H3" s="1043" t="s">
        <v>781</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43359</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1806">
        <v>43483</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1806">
        <v>43622</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t="s">
        <v>2819</v>
      </c>
      <c r="B12" s="1026">
        <v>1120110054</v>
      </c>
      <c r="C12" s="1806">
        <v>43937</v>
      </c>
      <c r="D12" s="1807" t="str">
        <f t="shared" si="0"/>
        <v>白景生（注册号：1120110054）</v>
      </c>
      <c r="E12" s="1805" t="s">
        <v>2819</v>
      </c>
      <c r="F12" s="1026">
        <v>2008110060</v>
      </c>
      <c r="G12" s="1034">
        <v>47177</v>
      </c>
      <c r="H12" s="1808" t="str">
        <f t="shared" si="1"/>
        <v>白景生（注册号：2008110060）</v>
      </c>
    </row>
    <row r="13" spans="1:8" ht="24" customHeight="1">
      <c r="A13" s="1805" t="s">
        <v>761</v>
      </c>
      <c r="B13" s="1026">
        <f ca="1">IF(C13&lt;B2,"已过期",1120070131)</f>
        <v>1120070131</v>
      </c>
      <c r="C13" s="1806">
        <v>43814</v>
      </c>
      <c r="D13" s="1807" t="str">
        <f t="shared" ca="1" si="0"/>
        <v>郑燚（注册号：1120070131）</v>
      </c>
      <c r="E13" s="1805" t="s">
        <v>761</v>
      </c>
      <c r="F13" s="1026">
        <v>2014110011</v>
      </c>
      <c r="G13" s="1034">
        <v>49302</v>
      </c>
      <c r="H13" s="1808" t="str">
        <f t="shared" si="1"/>
        <v>郑燚（注册号：2014110011）</v>
      </c>
    </row>
    <row r="14" spans="1:8" ht="24" customHeight="1">
      <c r="A14" s="1805" t="s">
        <v>763</v>
      </c>
      <c r="B14" s="1026">
        <f ca="1">IF(C14&lt;B2,"已过期",1120130020)</f>
        <v>1120130020</v>
      </c>
      <c r="C14" s="1806">
        <v>43622</v>
      </c>
      <c r="D14" s="1807" t="str">
        <f t="shared" ca="1" si="0"/>
        <v>马琳琳（注册号：1120130020）</v>
      </c>
      <c r="E14" s="1805"/>
      <c r="F14" s="1026" t="s">
        <v>762</v>
      </c>
      <c r="G14" s="1026" t="s">
        <v>762</v>
      </c>
      <c r="H14" s="1808" t="str">
        <f t="shared" si="1"/>
        <v>（注册号：——）</v>
      </c>
    </row>
    <row r="15" spans="1:8" ht="24" customHeight="1">
      <c r="A15" s="1809" t="s">
        <v>1031</v>
      </c>
      <c r="B15" s="1026">
        <v>1120070085</v>
      </c>
      <c r="C15" s="1806">
        <v>43814</v>
      </c>
      <c r="D15" s="1807" t="str">
        <f t="shared" si="0"/>
        <v>杨红英（注册号：1120070085）</v>
      </c>
      <c r="E15" s="1809" t="s">
        <v>1032</v>
      </c>
      <c r="F15" s="1026">
        <v>2004110128</v>
      </c>
      <c r="G15" s="1027">
        <v>47118</v>
      </c>
      <c r="H15" s="1808" t="str">
        <f t="shared" si="1"/>
        <v>杨红英（注册号：2004110128）</v>
      </c>
    </row>
    <row r="16" spans="1:8" ht="24" customHeight="1">
      <c r="A16" s="1805" t="s">
        <v>764</v>
      </c>
      <c r="B16" s="1026">
        <f ca="1">IF(C16&lt;B2,"已过期",1120140022)</f>
        <v>1120140022</v>
      </c>
      <c r="C16" s="1806">
        <v>44029</v>
      </c>
      <c r="D16" s="1807" t="str">
        <f t="shared" ca="1" si="0"/>
        <v>刘梅（注册号：1120140022）</v>
      </c>
      <c r="E16" s="1805" t="s">
        <v>764</v>
      </c>
      <c r="F16" s="1026">
        <f ca="1">IF(G16&lt;B2,"已过期",2008110059)</f>
        <v>2008110059</v>
      </c>
      <c r="G16" s="1034">
        <v>47177</v>
      </c>
      <c r="H16" s="1808" t="str">
        <f t="shared" ca="1" si="1"/>
        <v>刘梅（注册号：2008110059）</v>
      </c>
    </row>
    <row r="17" spans="1:8" ht="24" customHeight="1">
      <c r="A17" s="1805"/>
      <c r="B17" s="1026"/>
      <c r="C17" s="1806"/>
      <c r="D17" s="1807"/>
      <c r="E17" s="1805"/>
      <c r="F17" s="1026"/>
      <c r="G17" s="1034"/>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765</v>
      </c>
      <c r="F21" s="1026">
        <f ca="1">IF(G21&lt;B2,"已过期",2011110090)</f>
        <v>2011110090</v>
      </c>
      <c r="G21" s="1034">
        <v>48302</v>
      </c>
      <c r="H21" s="1808" t="str">
        <f t="shared" ca="1" si="1"/>
        <v>赵雯（注册号：2011110090）</v>
      </c>
    </row>
    <row r="22" spans="1:8" ht="24" customHeight="1">
      <c r="A22" s="1805" t="s">
        <v>766</v>
      </c>
      <c r="B22" s="1026">
        <f ca="1">IF(C22&lt;B2,"已过期",1120020033)</f>
        <v>1120020033</v>
      </c>
      <c r="C22" s="1806">
        <v>43304</v>
      </c>
      <c r="D22" s="1807" t="str">
        <f t="shared" ca="1" si="0"/>
        <v>刘敬东（注册号：1120020033）</v>
      </c>
      <c r="E22" s="1805" t="s">
        <v>766</v>
      </c>
      <c r="F22" s="1026">
        <f ca="1">IF(G22&lt;B2,"已过期",2000110137)</f>
        <v>2000110137</v>
      </c>
      <c r="G22" s="1034">
        <v>46387</v>
      </c>
      <c r="H22" s="1808" t="str">
        <f t="shared" ca="1" si="1"/>
        <v>刘敬东（注册号：2000110137）</v>
      </c>
    </row>
    <row r="23" spans="1:8" ht="24" customHeight="1">
      <c r="A23" s="1805" t="s">
        <v>767</v>
      </c>
      <c r="B23" s="1026">
        <f ca="1">IF(C23&lt;B2,"已过期",1120130048)</f>
        <v>1120130048</v>
      </c>
      <c r="C23" s="1806">
        <v>43686</v>
      </c>
      <c r="D23" s="1807" t="str">
        <f t="shared" ca="1" si="0"/>
        <v>王萌（注册号：1120130048）</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786" t="s">
        <v>768</v>
      </c>
      <c r="B25" s="2786"/>
      <c r="C25" s="2786"/>
      <c r="D25" s="2786"/>
      <c r="E25" s="2786"/>
      <c r="F25" s="2786"/>
      <c r="G25" s="2786"/>
      <c r="H25" s="2786"/>
    </row>
    <row r="26" spans="1:8" s="1029" customFormat="1" ht="24" customHeight="1">
      <c r="A26" s="2787" t="s">
        <v>769</v>
      </c>
      <c r="B26" s="2787"/>
      <c r="C26" s="2787"/>
      <c r="D26" s="1057"/>
      <c r="E26" s="1057"/>
      <c r="F26" s="2787" t="s">
        <v>770</v>
      </c>
      <c r="G26" s="2787"/>
      <c r="H26" s="2787"/>
    </row>
    <row r="27" spans="1:8" s="1031" customFormat="1" ht="24" customHeight="1">
      <c r="A27" s="1030" t="s">
        <v>771</v>
      </c>
      <c r="B27" s="1024" t="s">
        <v>772</v>
      </c>
      <c r="C27" s="1024" t="s">
        <v>773</v>
      </c>
      <c r="D27" s="1024"/>
      <c r="E27" s="1024"/>
      <c r="F27" s="1026" t="s">
        <v>771</v>
      </c>
      <c r="G27" s="1024" t="s">
        <v>772</v>
      </c>
      <c r="H27" s="1024" t="s">
        <v>773</v>
      </c>
    </row>
    <row r="28" spans="1:8" s="1031" customFormat="1" ht="24" customHeight="1">
      <c r="A28" s="1032" t="s">
        <v>774</v>
      </c>
      <c r="B28" s="1033" t="s">
        <v>775</v>
      </c>
      <c r="C28" s="1034">
        <v>43725</v>
      </c>
      <c r="D28" s="1034"/>
      <c r="E28" s="1034"/>
      <c r="F28" s="1032" t="s">
        <v>776</v>
      </c>
      <c r="G28" s="1032" t="s">
        <v>777</v>
      </c>
      <c r="H28" s="1091">
        <v>44377</v>
      </c>
    </row>
    <row r="29" spans="1:8" s="1031" customFormat="1" ht="24" customHeight="1">
      <c r="A29" s="1032"/>
      <c r="B29" s="1032"/>
      <c r="C29" s="1035"/>
      <c r="D29" s="1035"/>
      <c r="E29" s="1035"/>
      <c r="F29" s="1032" t="s">
        <v>778</v>
      </c>
      <c r="G29" s="1036" t="s">
        <v>1258</v>
      </c>
      <c r="H29" s="1092">
        <v>43281</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1400</v>
      </c>
      <c r="B1" s="4" t="s">
        <v>1401</v>
      </c>
      <c r="C1" s="1981" t="s">
        <v>1402</v>
      </c>
      <c r="D1" s="5" t="s">
        <v>1403</v>
      </c>
      <c r="E1" s="5" t="s">
        <v>1404</v>
      </c>
      <c r="F1" s="5" t="s">
        <v>1405</v>
      </c>
      <c r="G1" s="5" t="s">
        <v>1406</v>
      </c>
      <c r="H1" s="5" t="s">
        <v>1407</v>
      </c>
      <c r="I1" s="5" t="s">
        <v>1408</v>
      </c>
      <c r="J1" s="5" t="s">
        <v>1409</v>
      </c>
      <c r="K1" s="5" t="s">
        <v>1410</v>
      </c>
      <c r="L1" s="5" t="s">
        <v>1411</v>
      </c>
      <c r="M1" s="5" t="s">
        <v>1412</v>
      </c>
      <c r="N1" s="5" t="s">
        <v>1413</v>
      </c>
      <c r="O1" s="5" t="s">
        <v>1414</v>
      </c>
      <c r="P1" s="1982" t="s">
        <v>1415</v>
      </c>
      <c r="Q1" s="1982" t="s">
        <v>1416</v>
      </c>
      <c r="R1" s="1982" t="s">
        <v>1417</v>
      </c>
      <c r="S1" s="5" t="s">
        <v>1418</v>
      </c>
      <c r="T1" s="6" t="s">
        <v>1419</v>
      </c>
      <c r="U1" s="5" t="s">
        <v>1420</v>
      </c>
      <c r="V1" s="5" t="s">
        <v>1421</v>
      </c>
      <c r="W1" s="5" t="s">
        <v>1422</v>
      </c>
      <c r="X1" s="5" t="s">
        <v>1423</v>
      </c>
      <c r="Y1" s="5" t="s">
        <v>1424</v>
      </c>
    </row>
    <row r="2" spans="1:25">
      <c r="A2" s="1983" t="s">
        <v>33</v>
      </c>
      <c r="B2" s="1983" t="s">
        <v>1425</v>
      </c>
      <c r="C2" s="1984"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3" t="s">
        <v>1438</v>
      </c>
      <c r="B3" s="1985" t="s">
        <v>1439</v>
      </c>
      <c r="C3" s="1272"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3" t="s">
        <v>1451</v>
      </c>
      <c r="B4" s="1985" t="s">
        <v>1452</v>
      </c>
      <c r="C4" s="1984"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3" t="s">
        <v>1462</v>
      </c>
      <c r="B5" s="1983" t="s">
        <v>1463</v>
      </c>
      <c r="C5" s="1984"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6"/>
    </row>
    <row r="6" spans="1:25">
      <c r="A6" s="1983" t="s">
        <v>1471</v>
      </c>
      <c r="B6" s="1983" t="s">
        <v>1472</v>
      </c>
      <c r="C6" s="1241"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6"/>
    </row>
    <row r="7" spans="1:25">
      <c r="A7" s="1983" t="s">
        <v>1479</v>
      </c>
      <c r="B7" s="1985" t="s">
        <v>1480</v>
      </c>
      <c r="C7" s="1984" t="s">
        <v>1481</v>
      </c>
      <c r="F7" s="7" t="s">
        <v>1482</v>
      </c>
      <c r="H7" s="7" t="s">
        <v>1483</v>
      </c>
      <c r="I7" s="7" t="s">
        <v>1484</v>
      </c>
      <c r="X7" s="1986"/>
    </row>
    <row r="8" spans="1:25">
      <c r="A8" s="1983" t="s">
        <v>1485</v>
      </c>
      <c r="B8" s="1985" t="s">
        <v>1486</v>
      </c>
      <c r="C8" s="1984" t="s">
        <v>1487</v>
      </c>
      <c r="F8" s="7" t="s">
        <v>1488</v>
      </c>
      <c r="H8" s="7" t="s">
        <v>1489</v>
      </c>
      <c r="I8" s="7" t="s">
        <v>1490</v>
      </c>
      <c r="X8" s="1986"/>
    </row>
    <row r="9" spans="1:25">
      <c r="A9" s="1983" t="s">
        <v>1491</v>
      </c>
      <c r="B9" s="1983" t="s">
        <v>1492</v>
      </c>
      <c r="C9" s="1984" t="s">
        <v>1493</v>
      </c>
      <c r="F9" s="7" t="s">
        <v>1494</v>
      </c>
      <c r="H9" s="7" t="s">
        <v>1495</v>
      </c>
    </row>
    <row r="10" spans="1:25">
      <c r="A10" s="1983" t="s">
        <v>1496</v>
      </c>
      <c r="B10" s="1983" t="s">
        <v>1497</v>
      </c>
      <c r="C10" s="1984" t="s">
        <v>1498</v>
      </c>
      <c r="F10" s="7" t="s">
        <v>13</v>
      </c>
    </row>
    <row r="11" spans="1:25">
      <c r="A11" s="1983" t="s">
        <v>1499</v>
      </c>
      <c r="B11" s="1983" t="s">
        <v>1500</v>
      </c>
      <c r="C11" s="1984" t="s">
        <v>1501</v>
      </c>
    </row>
    <row r="12" spans="1:25">
      <c r="A12" s="1983" t="s">
        <v>1502</v>
      </c>
      <c r="B12" s="1983" t="s">
        <v>1503</v>
      </c>
      <c r="C12" s="1984" t="s">
        <v>1504</v>
      </c>
    </row>
    <row r="13" spans="1:25">
      <c r="A13" s="1983" t="s">
        <v>1505</v>
      </c>
      <c r="B13" s="1983" t="s">
        <v>1506</v>
      </c>
      <c r="C13" s="1984" t="s">
        <v>1507</v>
      </c>
    </row>
    <row r="14" spans="1:25">
      <c r="A14" s="1983" t="s">
        <v>1508</v>
      </c>
      <c r="B14" s="1983" t="s">
        <v>1509</v>
      </c>
      <c r="C14" s="1984"/>
    </row>
    <row r="15" spans="1:25">
      <c r="A15" s="1983" t="s">
        <v>1510</v>
      </c>
      <c r="B15" s="1983" t="s">
        <v>1511</v>
      </c>
      <c r="C15" s="1984"/>
    </row>
    <row r="16" spans="1:25">
      <c r="A16" s="1983" t="s">
        <v>1512</v>
      </c>
      <c r="B16" s="1983" t="s">
        <v>1513</v>
      </c>
      <c r="C16" s="1984"/>
    </row>
    <row r="17" spans="1:3">
      <c r="A17" s="1983" t="s">
        <v>1514</v>
      </c>
      <c r="B17" s="1983" t="s">
        <v>1515</v>
      </c>
      <c r="C17" s="1984"/>
    </row>
    <row r="18" spans="1:3">
      <c r="A18" s="1983" t="s">
        <v>1516</v>
      </c>
      <c r="B18" s="1983" t="s">
        <v>1517</v>
      </c>
      <c r="C18" s="1984"/>
    </row>
    <row r="19" spans="1:3">
      <c r="A19" s="1983" t="s">
        <v>1518</v>
      </c>
      <c r="B19" s="1983" t="s">
        <v>1519</v>
      </c>
      <c r="C19" s="1984"/>
    </row>
    <row r="20" spans="1:3">
      <c r="A20" s="1983" t="s">
        <v>1520</v>
      </c>
      <c r="B20" s="1983" t="s">
        <v>740</v>
      </c>
      <c r="C20" s="1984"/>
    </row>
    <row r="21" spans="1:3">
      <c r="A21" s="1983" t="s">
        <v>1521</v>
      </c>
      <c r="B21" s="1983" t="s">
        <v>740</v>
      </c>
      <c r="C21" s="1984"/>
    </row>
    <row r="22" spans="1:3">
      <c r="A22" s="1983" t="s">
        <v>1522</v>
      </c>
      <c r="B22" s="1983" t="s">
        <v>740</v>
      </c>
      <c r="C22" s="1984"/>
    </row>
    <row r="23" spans="1:3">
      <c r="A23" s="1983" t="s">
        <v>1523</v>
      </c>
      <c r="B23" s="1983" t="s">
        <v>740</v>
      </c>
      <c r="C23" s="1984"/>
    </row>
    <row r="24" spans="1:3">
      <c r="A24" s="1983" t="s">
        <v>1524</v>
      </c>
      <c r="B24" s="1983" t="s">
        <v>740</v>
      </c>
      <c r="C24" s="1984"/>
    </row>
    <row r="25" spans="1:3">
      <c r="A25" s="1983" t="s">
        <v>1525</v>
      </c>
      <c r="B25" s="1983" t="s">
        <v>740</v>
      </c>
      <c r="C25" s="1984"/>
    </row>
    <row r="26" spans="1:3">
      <c r="A26" s="1983" t="s">
        <v>1526</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宁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6" t="s">
        <v>1528</v>
      </c>
    </row>
    <row r="52" spans="1:4">
      <c r="A52" s="1987" t="s">
        <v>1529</v>
      </c>
      <c r="B52" s="1987" t="s">
        <v>1530</v>
      </c>
      <c r="C52" s="9" t="s">
        <v>1531</v>
      </c>
      <c r="D52" s="9" t="s">
        <v>1532</v>
      </c>
    </row>
    <row r="53" spans="1:4" ht="14.25" customHeight="1">
      <c r="A53" s="278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row>
    <row r="54" spans="1:4">
      <c r="A54" s="2788"/>
      <c r="B54" s="9" t="s">
        <v>1535</v>
      </c>
      <c r="C54" s="9" t="s">
        <v>1536</v>
      </c>
    </row>
    <row r="55" spans="1:4">
      <c r="A55" s="2788"/>
      <c r="B55" s="9" t="s">
        <v>1537</v>
      </c>
      <c r="C55" s="9" t="s">
        <v>1538</v>
      </c>
    </row>
    <row r="56" spans="1:4">
      <c r="A56" s="2788"/>
      <c r="B56" s="9" t="s">
        <v>1539</v>
      </c>
      <c r="C56" s="9" t="s">
        <v>1540</v>
      </c>
    </row>
    <row r="57" spans="1:4">
      <c r="A57" s="2788"/>
      <c r="B57" s="9" t="s">
        <v>1541</v>
      </c>
      <c r="C57" s="9" t="s">
        <v>1542</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2018-06-12T07:56:36Z</dcterms:modified>
</cp:coreProperties>
</file>