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基准地价修正（商业）" sheetId="43" r:id="rId21"/>
    <sheet name="基准地价修正(办公)" sheetId="77" r:id="rId22"/>
    <sheet name="基准地价（汇总）" sheetId="76" state="hidden" r:id="rId23"/>
    <sheet name="成本法 (元)" sheetId="69" state="hidden" r:id="rId24"/>
    <sheet name="假设开发法" sheetId="12" state="hidden" r:id="rId25"/>
    <sheet name="收益法（汇总）" sheetId="70" r:id="rId26"/>
    <sheet name="收益法（商业）" sheetId="15" r:id="rId27"/>
    <sheet name="收益法(会展)" sheetId="88" r:id="rId28"/>
    <sheet name="收益法(酒店)" sheetId="80" r:id="rId29"/>
    <sheet name="收益法(车库)" sheetId="82" r:id="rId30"/>
    <sheet name="收益法(仓储)" sheetId="86" r:id="rId31"/>
    <sheet name="收益法 (元)" sheetId="67" state="hidden"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2" sheetId="78" r:id="rId50"/>
    <sheet name="Sheet1" sheetId="89" r:id="rId51"/>
    <sheet name="Sheet3" sheetId="90" r:id="rId52"/>
  </sheets>
  <externalReferences>
    <externalReference r:id="rId53"/>
    <externalReference r:id="rId54"/>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30">'收益法(仓储)'!$A$1:$AK$69</definedName>
    <definedName name="_xlnm.Print_Area" localSheetId="29">'收益法(车库)'!$A$1:$AK$69</definedName>
    <definedName name="_xlnm.Print_Area" localSheetId="27">'收益法(会展)'!$A$1:$AK$69</definedName>
    <definedName name="_xlnm.Print_Area" localSheetId="28">'收益法(酒店)'!$A$1:$AK$69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I10" i="78" l="1"/>
  <c r="I9" i="78"/>
  <c r="J9" i="78"/>
  <c r="J3" i="78"/>
  <c r="J4" i="78"/>
  <c r="J5" i="78"/>
  <c r="J6" i="78"/>
  <c r="J7" i="78"/>
  <c r="J8" i="78"/>
  <c r="J2" i="78"/>
  <c r="I8" i="78"/>
  <c r="I7" i="78"/>
  <c r="I6" i="78"/>
  <c r="I5" i="78"/>
  <c r="I4" i="78"/>
  <c r="I3" i="78"/>
  <c r="G9" i="78"/>
  <c r="G3" i="78"/>
  <c r="G4" i="78"/>
  <c r="G5" i="78"/>
  <c r="G6" i="78"/>
  <c r="G7" i="78"/>
  <c r="G8" i="78"/>
  <c r="G2" i="78"/>
  <c r="L10" i="1"/>
  <c r="L9" i="1"/>
  <c r="L8" i="1"/>
  <c r="L7" i="1"/>
  <c r="I46" i="39" l="1"/>
  <c r="E46" i="39"/>
  <c r="G46" i="39"/>
  <c r="I38" i="39"/>
  <c r="G38" i="39"/>
  <c r="E38" i="39"/>
  <c r="C38" i="39"/>
  <c r="I11" i="39"/>
  <c r="G11" i="39"/>
  <c r="E11" i="39"/>
  <c r="C11" i="39"/>
  <c r="I7" i="39"/>
  <c r="G7" i="39"/>
  <c r="E7" i="39"/>
  <c r="G6" i="39"/>
  <c r="I5" i="39"/>
  <c r="G5" i="39"/>
  <c r="E5" i="39"/>
  <c r="C16" i="74" l="1"/>
  <c r="C15" i="74"/>
  <c r="B15" i="74"/>
  <c r="D15" i="74" l="1"/>
  <c r="B16" i="74" l="1"/>
  <c r="G15" i="74" l="1"/>
  <c r="D12" i="78"/>
  <c r="E12" i="78" s="1"/>
  <c r="C13" i="78"/>
  <c r="C14" i="78"/>
  <c r="C15" i="78"/>
  <c r="C16" i="78"/>
  <c r="C17" i="78"/>
  <c r="C18" i="78"/>
  <c r="C12" i="78"/>
  <c r="B14" i="78"/>
  <c r="B19" i="78" s="1"/>
  <c r="B13" i="78"/>
  <c r="B12" i="78"/>
  <c r="B24" i="78"/>
  <c r="B23" i="78"/>
  <c r="B18" i="78"/>
  <c r="B17" i="78"/>
  <c r="B16" i="78"/>
  <c r="B15" i="78"/>
  <c r="D14" i="78" l="1"/>
  <c r="E14" i="78" s="1"/>
  <c r="D16" i="78"/>
  <c r="E16" i="78" s="1"/>
  <c r="D18" i="78"/>
  <c r="E18" i="78" s="1"/>
  <c r="D13" i="78"/>
  <c r="E13" i="78" s="1"/>
  <c r="D15" i="78"/>
  <c r="E15" i="78" s="1"/>
  <c r="D17" i="78"/>
  <c r="E17" i="78" s="1"/>
  <c r="P74" i="88"/>
  <c r="Q72" i="88"/>
  <c r="Q59" i="88"/>
  <c r="K59" i="88"/>
  <c r="P61" i="88" s="1"/>
  <c r="F59" i="88"/>
  <c r="Q58" i="88"/>
  <c r="Q51" i="88"/>
  <c r="J51" i="88"/>
  <c r="J50" i="88"/>
  <c r="M47" i="88"/>
  <c r="D46" i="88"/>
  <c r="F34" i="88"/>
  <c r="F62" i="88" s="1"/>
  <c r="F33" i="88"/>
  <c r="F61" i="88" s="1"/>
  <c r="F32" i="88"/>
  <c r="F60" i="88" s="1"/>
  <c r="F31" i="88"/>
  <c r="F28" i="88"/>
  <c r="C28" i="88"/>
  <c r="F23" i="88"/>
  <c r="D24" i="88" s="1"/>
  <c r="D23" i="88"/>
  <c r="D22" i="88"/>
  <c r="F21" i="88"/>
  <c r="M20" i="88"/>
  <c r="F20" i="88"/>
  <c r="M19" i="88"/>
  <c r="M18" i="88"/>
  <c r="F18" i="88"/>
  <c r="M17" i="88"/>
  <c r="F17" i="88"/>
  <c r="F15" i="88"/>
  <c r="I7" i="34"/>
  <c r="G7" i="34"/>
  <c r="E7" i="34"/>
  <c r="P74" i="86"/>
  <c r="Q72" i="86"/>
  <c r="Q59" i="86"/>
  <c r="K59" i="86"/>
  <c r="P61" i="86" s="1"/>
  <c r="F59" i="86"/>
  <c r="Q58" i="86"/>
  <c r="Q51" i="86"/>
  <c r="J51" i="86"/>
  <c r="J50" i="86"/>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P74" i="82"/>
  <c r="Q72" i="82"/>
  <c r="Q59" i="82"/>
  <c r="K59" i="82"/>
  <c r="P61" i="82" s="1"/>
  <c r="F59" i="82"/>
  <c r="Q58" i="82"/>
  <c r="Q51" i="82"/>
  <c r="J51" i="82"/>
  <c r="J50" i="82"/>
  <c r="M47" i="82"/>
  <c r="D46" i="82"/>
  <c r="F34" i="82"/>
  <c r="F62" i="82" s="1"/>
  <c r="F33" i="82"/>
  <c r="F61" i="82" s="1"/>
  <c r="F32" i="82"/>
  <c r="F60" i="82" s="1"/>
  <c r="F31" i="82"/>
  <c r="F28" i="82"/>
  <c r="C28" i="82"/>
  <c r="F23" i="82"/>
  <c r="D24" i="82" s="1"/>
  <c r="F21" i="82"/>
  <c r="M20" i="82"/>
  <c r="F20" i="82"/>
  <c r="M19" i="82"/>
  <c r="M18" i="82"/>
  <c r="F18" i="82"/>
  <c r="M17" i="82"/>
  <c r="F17" i="82"/>
  <c r="F15" i="82"/>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B3" i="78"/>
  <c r="B4" i="78"/>
  <c r="B5" i="78"/>
  <c r="B6" i="78"/>
  <c r="B7" i="78"/>
  <c r="B8" i="78"/>
  <c r="B2" i="78"/>
  <c r="B9" i="78" s="1"/>
  <c r="D8" i="78"/>
  <c r="E8" i="78" s="1"/>
  <c r="D7" i="78"/>
  <c r="E7" i="78" s="1"/>
  <c r="D6" i="78"/>
  <c r="E6" i="78" s="1"/>
  <c r="D5" i="78"/>
  <c r="E5" i="78" s="1"/>
  <c r="D4" i="78"/>
  <c r="E4" i="78" s="1"/>
  <c r="D3" i="78"/>
  <c r="E3" i="78" s="1"/>
  <c r="Y6" i="1"/>
  <c r="U10" i="43"/>
  <c r="D39" i="77"/>
  <c r="H39" i="77" s="1"/>
  <c r="D38" i="77"/>
  <c r="D29" i="77"/>
  <c r="D1" i="77" s="1"/>
  <c r="F113" i="77"/>
  <c r="G108" i="77"/>
  <c r="K100" i="77"/>
  <c r="N99" i="77"/>
  <c r="M99" i="77"/>
  <c r="M108" i="77" s="1"/>
  <c r="L99" i="77"/>
  <c r="K99" i="77"/>
  <c r="K108" i="77" s="1"/>
  <c r="J99" i="77"/>
  <c r="I99" i="77"/>
  <c r="I108" i="77" s="1"/>
  <c r="H99" i="77"/>
  <c r="G99" i="77"/>
  <c r="G100" i="77" s="1"/>
  <c r="F99" i="77"/>
  <c r="E99" i="77"/>
  <c r="E108" i="77" s="1"/>
  <c r="D99" i="77"/>
  <c r="D108" i="77" s="1"/>
  <c r="C99" i="77"/>
  <c r="C100" i="77" s="1"/>
  <c r="N88" i="77"/>
  <c r="M88" i="77"/>
  <c r="K88" i="77"/>
  <c r="J88" i="77" s="1"/>
  <c r="D88" i="77"/>
  <c r="B88" i="77"/>
  <c r="N87" i="77"/>
  <c r="M87" i="77"/>
  <c r="K87" i="77"/>
  <c r="J87" i="77" s="1"/>
  <c r="D87" i="77"/>
  <c r="M86" i="77"/>
  <c r="N86" i="77" s="1"/>
  <c r="K86" i="77"/>
  <c r="J86" i="77"/>
  <c r="D86" i="77"/>
  <c r="B86" i="77"/>
  <c r="N85" i="77"/>
  <c r="M85" i="77"/>
  <c r="K85" i="77"/>
  <c r="J85" i="77" s="1"/>
  <c r="D85" i="77"/>
  <c r="B85" i="77"/>
  <c r="M84" i="77"/>
  <c r="N84" i="77" s="1"/>
  <c r="K84" i="77"/>
  <c r="J84" i="77"/>
  <c r="D84" i="77"/>
  <c r="B84" i="77"/>
  <c r="N83" i="77"/>
  <c r="M83" i="77"/>
  <c r="K83" i="77"/>
  <c r="J83" i="77" s="1"/>
  <c r="D83" i="77"/>
  <c r="B83" i="77"/>
  <c r="M82" i="77"/>
  <c r="N82" i="77" s="1"/>
  <c r="K82" i="77"/>
  <c r="J82" i="77"/>
  <c r="D82" i="77"/>
  <c r="B82" i="77"/>
  <c r="N81" i="77"/>
  <c r="M81" i="77"/>
  <c r="K81" i="77"/>
  <c r="J81" i="77" s="1"/>
  <c r="F81" i="77"/>
  <c r="H87" i="77" s="1"/>
  <c r="E81" i="77"/>
  <c r="B79" i="77" s="1"/>
  <c r="D81" i="77"/>
  <c r="B81" i="77"/>
  <c r="N78" i="77"/>
  <c r="M78" i="77"/>
  <c r="K78" i="77"/>
  <c r="J78" i="77" s="1"/>
  <c r="D78" i="77"/>
  <c r="N77" i="77"/>
  <c r="M77" i="77"/>
  <c r="K77" i="77"/>
  <c r="J77" i="77" s="1"/>
  <c r="D77" i="77"/>
  <c r="B77" i="77"/>
  <c r="N76" i="77"/>
  <c r="M76" i="77"/>
  <c r="K76" i="77"/>
  <c r="J76" i="77" s="1"/>
  <c r="D76" i="77"/>
  <c r="M75" i="77"/>
  <c r="N75" i="77" s="1"/>
  <c r="K75" i="77"/>
  <c r="J75" i="77"/>
  <c r="D75" i="77"/>
  <c r="B75" i="77"/>
  <c r="N74" i="77"/>
  <c r="M74" i="77"/>
  <c r="K74" i="77"/>
  <c r="J74" i="77" s="1"/>
  <c r="D74" i="77"/>
  <c r="B74" i="77"/>
  <c r="M73" i="77"/>
  <c r="N73" i="77" s="1"/>
  <c r="K73" i="77"/>
  <c r="J73" i="77"/>
  <c r="D73" i="77"/>
  <c r="B73" i="77"/>
  <c r="N72" i="77"/>
  <c r="M72" i="77"/>
  <c r="K72" i="77"/>
  <c r="J72" i="77" s="1"/>
  <c r="D72" i="77"/>
  <c r="B72" i="77"/>
  <c r="M71" i="77"/>
  <c r="N71" i="77" s="1"/>
  <c r="K71" i="77"/>
  <c r="J71" i="77"/>
  <c r="D71" i="77"/>
  <c r="B71" i="77"/>
  <c r="N70" i="77"/>
  <c r="M70" i="77"/>
  <c r="K70" i="77"/>
  <c r="J70" i="77" s="1"/>
  <c r="F70" i="77"/>
  <c r="H76" i="77" s="1"/>
  <c r="E70" i="77"/>
  <c r="B68" i="77" s="1"/>
  <c r="D70" i="77"/>
  <c r="B70" i="77"/>
  <c r="D67" i="77"/>
  <c r="B67" i="77"/>
  <c r="B66" i="77"/>
  <c r="B65" i="77"/>
  <c r="B63" i="77"/>
  <c r="B61" i="77"/>
  <c r="B60" i="77"/>
  <c r="B59" i="77"/>
  <c r="D56" i="77"/>
  <c r="B56" i="77"/>
  <c r="B55" i="77"/>
  <c r="B54" i="77"/>
  <c r="B52" i="77"/>
  <c r="B50" i="77"/>
  <c r="B49" i="77"/>
  <c r="B48" i="77"/>
  <c r="G41" i="77"/>
  <c r="H38" i="77"/>
  <c r="H37" i="77"/>
  <c r="H36" i="77"/>
  <c r="H35" i="77"/>
  <c r="H34" i="77"/>
  <c r="H33" i="77"/>
  <c r="M20" i="77"/>
  <c r="J20" i="77"/>
  <c r="I20" i="77"/>
  <c r="O19" i="77"/>
  <c r="M19" i="77"/>
  <c r="I19" i="77"/>
  <c r="G19" i="77"/>
  <c r="C19" i="77"/>
  <c r="C18" i="77"/>
  <c r="F15" i="77"/>
  <c r="E15" i="77"/>
  <c r="D15" i="77"/>
  <c r="C15" i="77"/>
  <c r="C12" i="77" s="1"/>
  <c r="AI12" i="77"/>
  <c r="AG12" i="77"/>
  <c r="AE12" i="77"/>
  <c r="AC12" i="77"/>
  <c r="AA12" i="77"/>
  <c r="Y12" i="77"/>
  <c r="AJ11" i="77"/>
  <c r="AH11" i="77"/>
  <c r="AF11" i="77"/>
  <c r="AD11" i="77"/>
  <c r="AB11" i="77"/>
  <c r="Z11" i="77"/>
  <c r="Y10" i="77"/>
  <c r="C10" i="77"/>
  <c r="C11" i="77" s="1"/>
  <c r="AJ9" i="77"/>
  <c r="AJ12" i="77" s="1"/>
  <c r="AJ13" i="77" s="1"/>
  <c r="AI9" i="77"/>
  <c r="AI10" i="77" s="1"/>
  <c r="AH9" i="77"/>
  <c r="AH12" i="77" s="1"/>
  <c r="AH13" i="77" s="1"/>
  <c r="AG9" i="77"/>
  <c r="AG10" i="77" s="1"/>
  <c r="AF9" i="77"/>
  <c r="AF12" i="77" s="1"/>
  <c r="AF13" i="77" s="1"/>
  <c r="AE9" i="77"/>
  <c r="AE10" i="77" s="1"/>
  <c r="AD9" i="77"/>
  <c r="AD12" i="77" s="1"/>
  <c r="AD13" i="77" s="1"/>
  <c r="AC9" i="77"/>
  <c r="AC10" i="77" s="1"/>
  <c r="S8" i="77" s="1"/>
  <c r="AB9" i="77"/>
  <c r="AB12" i="77" s="1"/>
  <c r="AB13" i="77" s="1"/>
  <c r="AA9" i="77"/>
  <c r="AA10" i="77" s="1"/>
  <c r="Z9" i="77"/>
  <c r="Z12" i="77" s="1"/>
  <c r="Z13" i="77" s="1"/>
  <c r="C9" i="77"/>
  <c r="C7" i="77"/>
  <c r="A7" i="77"/>
  <c r="G3" i="77"/>
  <c r="I2" i="77"/>
  <c r="N12" i="77" s="1"/>
  <c r="G2" i="77"/>
  <c r="O17" i="77" s="1"/>
  <c r="M1" i="77"/>
  <c r="G41" i="43"/>
  <c r="C76" i="80"/>
  <c r="D22" i="82" l="1"/>
  <c r="D23" i="82"/>
  <c r="E19" i="78"/>
  <c r="D19" i="78" s="1"/>
  <c r="Q71" i="80"/>
  <c r="D24" i="80"/>
  <c r="P61" i="80"/>
  <c r="D22" i="80"/>
  <c r="E2" i="78"/>
  <c r="E9" i="78" s="1"/>
  <c r="D9" i="78" s="1"/>
  <c r="C108" i="77"/>
  <c r="S5" i="77"/>
  <c r="H70" i="77"/>
  <c r="H83" i="77"/>
  <c r="X7" i="77"/>
  <c r="I17" i="77"/>
  <c r="M17" i="77"/>
  <c r="S3" i="77"/>
  <c r="S6" i="77"/>
  <c r="D17" i="77"/>
  <c r="K17" i="77"/>
  <c r="H72" i="77"/>
  <c r="H81" i="77"/>
  <c r="E9" i="77"/>
  <c r="E11" i="77"/>
  <c r="E10" i="77"/>
  <c r="E8" i="77"/>
  <c r="N2" i="77"/>
  <c r="M3" i="77"/>
  <c r="N4" i="77"/>
  <c r="M5" i="77"/>
  <c r="M6" i="77"/>
  <c r="N7" i="77"/>
  <c r="N8" i="77"/>
  <c r="M9" i="77"/>
  <c r="N10" i="77"/>
  <c r="Z10" i="77"/>
  <c r="AB10" i="77"/>
  <c r="AD10" i="77"/>
  <c r="AF10" i="77"/>
  <c r="AH10" i="77"/>
  <c r="AJ10" i="77"/>
  <c r="N11" i="77"/>
  <c r="M12" i="77"/>
  <c r="N1" i="77"/>
  <c r="H113" i="77"/>
  <c r="F39" i="77"/>
  <c r="F38" i="77"/>
  <c r="F37" i="77"/>
  <c r="F36" i="77"/>
  <c r="F35" i="77"/>
  <c r="F34" i="77"/>
  <c r="F33" i="77"/>
  <c r="M2" i="77"/>
  <c r="S2" i="77"/>
  <c r="N101" i="77"/>
  <c r="L101" i="77"/>
  <c r="J101" i="77"/>
  <c r="H101" i="77"/>
  <c r="F101" i="77"/>
  <c r="D101" i="77"/>
  <c r="M101" i="77"/>
  <c r="I101" i="77"/>
  <c r="E101" i="77"/>
  <c r="H22" i="77"/>
  <c r="F22" i="77"/>
  <c r="B113" i="77"/>
  <c r="K101" i="77"/>
  <c r="G101" i="77"/>
  <c r="C101" i="77"/>
  <c r="N3" i="77"/>
  <c r="M4" i="77"/>
  <c r="S4" i="77"/>
  <c r="N5" i="77"/>
  <c r="F59" i="77" s="1"/>
  <c r="C6" i="77"/>
  <c r="N6" i="77"/>
  <c r="M7" i="77"/>
  <c r="S7" i="77"/>
  <c r="Z7" i="77"/>
  <c r="M8" i="77"/>
  <c r="N9" i="77"/>
  <c r="M10" i="77"/>
  <c r="M11" i="77"/>
  <c r="Y11" i="77"/>
  <c r="Y13" i="77" s="1"/>
  <c r="AA11" i="77"/>
  <c r="AA13" i="77" s="1"/>
  <c r="AC11" i="77"/>
  <c r="AC13" i="77" s="1"/>
  <c r="AE11" i="77"/>
  <c r="AE13" i="77" s="1"/>
  <c r="AG11" i="77"/>
  <c r="AG13" i="77" s="1"/>
  <c r="AI11" i="77"/>
  <c r="AI13" i="77" s="1"/>
  <c r="C17" i="77"/>
  <c r="E17" i="77"/>
  <c r="H17" i="77"/>
  <c r="J17" i="77"/>
  <c r="L17" i="77"/>
  <c r="N17" i="77"/>
  <c r="P24" i="77"/>
  <c r="P23" i="77"/>
  <c r="P22" i="77"/>
  <c r="P21" i="77"/>
  <c r="G22" i="77"/>
  <c r="C23" i="77"/>
  <c r="P25" i="77"/>
  <c r="E109" i="77"/>
  <c r="I109" i="77"/>
  <c r="M109" i="77"/>
  <c r="C109" i="77"/>
  <c r="K109" i="77"/>
  <c r="E22" i="77"/>
  <c r="D22" i="77" s="1"/>
  <c r="J22" i="77"/>
  <c r="F48" i="77"/>
  <c r="G109" i="77"/>
  <c r="H74" i="77"/>
  <c r="H77" i="77"/>
  <c r="H78" i="77"/>
  <c r="H85" i="77"/>
  <c r="H88" i="77"/>
  <c r="D109" i="77"/>
  <c r="F108" i="77"/>
  <c r="F109" i="77" s="1"/>
  <c r="F100" i="77"/>
  <c r="H108" i="77"/>
  <c r="H109" i="77" s="1"/>
  <c r="H100" i="77"/>
  <c r="J108" i="77"/>
  <c r="J109" i="77" s="1"/>
  <c r="J100" i="77"/>
  <c r="L108" i="77"/>
  <c r="L109" i="77" s="1"/>
  <c r="L100" i="77"/>
  <c r="N108" i="77"/>
  <c r="N109" i="77" s="1"/>
  <c r="N100" i="77"/>
  <c r="D100" i="77"/>
  <c r="H71" i="77"/>
  <c r="H73" i="77"/>
  <c r="H75" i="77"/>
  <c r="H82" i="77"/>
  <c r="H84" i="77"/>
  <c r="H86" i="77"/>
  <c r="E100" i="77"/>
  <c r="I100" i="77"/>
  <c r="M100" i="77"/>
  <c r="N10" i="1"/>
  <c r="Y10" i="1" s="1"/>
  <c r="N9" i="1"/>
  <c r="Y9" i="1" s="1"/>
  <c r="N8" i="1"/>
  <c r="N7" i="1"/>
  <c r="Y7" i="1" s="1"/>
  <c r="B55" i="1"/>
  <c r="B56" i="1"/>
  <c r="B57" i="1"/>
  <c r="B58" i="1"/>
  <c r="B59" i="1"/>
  <c r="B54" i="1"/>
  <c r="G23" i="6"/>
  <c r="G22" i="6"/>
  <c r="F21" i="6"/>
  <c r="F20" i="6"/>
  <c r="F19" i="6"/>
  <c r="H13" i="4"/>
  <c r="G13" i="4"/>
  <c r="C11" i="4"/>
  <c r="B7" i="4"/>
  <c r="F9" i="80"/>
  <c r="F8" i="80"/>
  <c r="M23" i="80"/>
  <c r="M24" i="80"/>
  <c r="F36" i="80"/>
  <c r="F42" i="80"/>
  <c r="M9" i="80"/>
  <c r="F13" i="80"/>
  <c r="M8" i="80"/>
  <c r="F37" i="80"/>
  <c r="F40" i="80"/>
  <c r="M26" i="80"/>
  <c r="L47" i="80"/>
  <c r="M6" i="80"/>
  <c r="M28" i="80"/>
  <c r="L48" i="80"/>
  <c r="J15" i="80"/>
  <c r="F38" i="80"/>
  <c r="M27" i="80"/>
  <c r="F26" i="80"/>
  <c r="M22" i="80"/>
  <c r="F16" i="80"/>
  <c r="Y8" i="1" l="1"/>
  <c r="C37" i="34"/>
  <c r="C21" i="77"/>
  <c r="N59" i="80"/>
  <c r="L59" i="80"/>
  <c r="L58" i="80"/>
  <c r="F66" i="80"/>
  <c r="F64" i="80"/>
  <c r="L57" i="80"/>
  <c r="L56" i="80"/>
  <c r="J60" i="80"/>
  <c r="Q48" i="80" s="1"/>
  <c r="J53" i="80"/>
  <c r="J57" i="80"/>
  <c r="J55" i="80" s="1"/>
  <c r="J58" i="80" s="1"/>
  <c r="Q50" i="80" s="1"/>
  <c r="I54" i="80"/>
  <c r="L60" i="80"/>
  <c r="J59" i="80"/>
  <c r="F68" i="80"/>
  <c r="F51" i="80"/>
  <c r="F65" i="80"/>
  <c r="C27" i="80"/>
  <c r="H66" i="77"/>
  <c r="G66" i="77" s="1"/>
  <c r="H59" i="77"/>
  <c r="G59" i="77" s="1"/>
  <c r="H61" i="77"/>
  <c r="G61" i="77" s="1"/>
  <c r="H63" i="77"/>
  <c r="G63" i="77" s="1"/>
  <c r="H62" i="77"/>
  <c r="G62" i="77" s="1"/>
  <c r="H67" i="77"/>
  <c r="G67" i="77" s="1"/>
  <c r="H60" i="77"/>
  <c r="G60" i="77" s="1"/>
  <c r="H64" i="77"/>
  <c r="G64" i="77" s="1"/>
  <c r="H65" i="77"/>
  <c r="G65" i="77" s="1"/>
  <c r="G107" i="77"/>
  <c r="G106" i="77"/>
  <c r="G105" i="77"/>
  <c r="G104" i="77"/>
  <c r="G103" i="77"/>
  <c r="G102" i="77"/>
  <c r="I118" i="77"/>
  <c r="J118" i="77" s="1"/>
  <c r="K118" i="77" s="1"/>
  <c r="L118" i="77" s="1"/>
  <c r="M118" i="77" s="1"/>
  <c r="G118" i="77"/>
  <c r="H118" i="77" s="1"/>
  <c r="I117" i="77"/>
  <c r="J117" i="77" s="1"/>
  <c r="K117" i="77" s="1"/>
  <c r="L117" i="77" s="1"/>
  <c r="M117" i="77" s="1"/>
  <c r="I116" i="77"/>
  <c r="J116" i="77" s="1"/>
  <c r="K116" i="77" s="1"/>
  <c r="L116" i="77" s="1"/>
  <c r="M116" i="77" s="1"/>
  <c r="I115" i="77"/>
  <c r="J115" i="77" s="1"/>
  <c r="K115" i="77" s="1"/>
  <c r="L115" i="77" s="1"/>
  <c r="M115" i="77" s="1"/>
  <c r="D118" i="77"/>
  <c r="E118" i="77" s="1"/>
  <c r="F118" i="77" s="1"/>
  <c r="D117" i="77"/>
  <c r="E117" i="77" s="1"/>
  <c r="F117" i="77" s="1"/>
  <c r="G117" i="77" s="1"/>
  <c r="H117" i="77" s="1"/>
  <c r="D116" i="77"/>
  <c r="E116" i="77" s="1"/>
  <c r="F116" i="77" s="1"/>
  <c r="G116" i="77" s="1"/>
  <c r="H116" i="77" s="1"/>
  <c r="D115" i="77"/>
  <c r="E115" i="77" s="1"/>
  <c r="F115" i="77" s="1"/>
  <c r="G115" i="77" s="1"/>
  <c r="H115" i="77" s="1"/>
  <c r="B118" i="77"/>
  <c r="C118" i="77" s="1"/>
  <c r="B117" i="77"/>
  <c r="C117" i="77" s="1"/>
  <c r="B116" i="77"/>
  <c r="C116" i="77" s="1"/>
  <c r="B115" i="77"/>
  <c r="I107" i="77"/>
  <c r="I106" i="77"/>
  <c r="I105" i="77"/>
  <c r="I104" i="77"/>
  <c r="I103" i="77"/>
  <c r="I102" i="77"/>
  <c r="D107" i="77"/>
  <c r="D106" i="77"/>
  <c r="D105" i="77"/>
  <c r="D104" i="77"/>
  <c r="D103" i="77"/>
  <c r="D102" i="77"/>
  <c r="H107" i="77"/>
  <c r="H106" i="77"/>
  <c r="H105" i="77"/>
  <c r="H104" i="77"/>
  <c r="H103" i="77"/>
  <c r="H102" i="77"/>
  <c r="L107" i="77"/>
  <c r="L106" i="77"/>
  <c r="L105" i="77"/>
  <c r="L104" i="77"/>
  <c r="L103" i="77"/>
  <c r="L102" i="77"/>
  <c r="H52" i="77"/>
  <c r="G52" i="77" s="1"/>
  <c r="H51" i="77"/>
  <c r="G51" i="77" s="1"/>
  <c r="H56" i="77"/>
  <c r="G56" i="77" s="1"/>
  <c r="H55" i="77"/>
  <c r="G55" i="77" s="1"/>
  <c r="H54" i="77"/>
  <c r="G54" i="77" s="1"/>
  <c r="H53" i="77"/>
  <c r="G53" i="77" s="1"/>
  <c r="H50" i="77"/>
  <c r="G50" i="77" s="1"/>
  <c r="H49" i="77"/>
  <c r="G49" i="77" s="1"/>
  <c r="H48" i="77"/>
  <c r="G48" i="77" s="1"/>
  <c r="G17" i="77"/>
  <c r="C16" i="77" s="1"/>
  <c r="D5" i="77" s="1"/>
  <c r="C107" i="77"/>
  <c r="C106" i="77"/>
  <c r="C105" i="77"/>
  <c r="C104" i="77"/>
  <c r="C103" i="77"/>
  <c r="C102" i="77"/>
  <c r="K107" i="77"/>
  <c r="K106" i="77"/>
  <c r="K105" i="77"/>
  <c r="K104" i="77"/>
  <c r="K103" i="77"/>
  <c r="K102" i="77"/>
  <c r="E107" i="77"/>
  <c r="E106" i="77"/>
  <c r="E105" i="77"/>
  <c r="E104" i="77"/>
  <c r="E103" i="77"/>
  <c r="E102" i="77"/>
  <c r="M107" i="77"/>
  <c r="M106" i="77"/>
  <c r="M105" i="77"/>
  <c r="M104" i="77"/>
  <c r="M103" i="77"/>
  <c r="M102" i="77"/>
  <c r="F107" i="77"/>
  <c r="F106" i="77"/>
  <c r="F105" i="77"/>
  <c r="F104" i="77"/>
  <c r="F103" i="77"/>
  <c r="F102" i="77"/>
  <c r="J107" i="77"/>
  <c r="J106" i="77"/>
  <c r="J105" i="77"/>
  <c r="J104" i="77"/>
  <c r="J103" i="77"/>
  <c r="J102" i="77"/>
  <c r="N107" i="77"/>
  <c r="N106" i="77"/>
  <c r="N105" i="77"/>
  <c r="N104" i="77"/>
  <c r="N103" i="77"/>
  <c r="N102" i="77"/>
  <c r="AB5" i="71"/>
  <c r="AA5" i="71"/>
  <c r="Y5" i="71"/>
  <c r="X5" i="71"/>
  <c r="M65" i="77" l="1"/>
  <c r="N65" i="77" s="1"/>
  <c r="K65" i="77"/>
  <c r="K62" i="77"/>
  <c r="M62" i="77"/>
  <c r="N62" i="77" s="1"/>
  <c r="K64" i="77"/>
  <c r="M64" i="77"/>
  <c r="N64" i="77" s="1"/>
  <c r="M67" i="77"/>
  <c r="N67" i="77" s="1"/>
  <c r="K67" i="77"/>
  <c r="J67" i="77" s="1"/>
  <c r="M63" i="77"/>
  <c r="N63" i="77" s="1"/>
  <c r="K63" i="77"/>
  <c r="M59" i="77"/>
  <c r="N59" i="77" s="1"/>
  <c r="K59" i="77"/>
  <c r="M60" i="77"/>
  <c r="N60" i="77" s="1"/>
  <c r="K60" i="77"/>
  <c r="M61" i="77"/>
  <c r="N61" i="77" s="1"/>
  <c r="K61" i="77"/>
  <c r="K66" i="77"/>
  <c r="J66" i="77" s="1"/>
  <c r="D66" i="77" s="1"/>
  <c r="M66" i="77"/>
  <c r="N66" i="77" s="1"/>
  <c r="Q60" i="80"/>
  <c r="Q73" i="80"/>
  <c r="Q66" i="80"/>
  <c r="Q57" i="80"/>
  <c r="F1" i="80"/>
  <c r="Q52" i="80"/>
  <c r="L46" i="80"/>
  <c r="Q61" i="80"/>
  <c r="Q74" i="80"/>
  <c r="M48" i="77"/>
  <c r="N48" i="77" s="1"/>
  <c r="K48" i="77"/>
  <c r="M50" i="77"/>
  <c r="N50" i="77" s="1"/>
  <c r="K50" i="77"/>
  <c r="M54" i="77"/>
  <c r="N54" i="77" s="1"/>
  <c r="K54" i="77"/>
  <c r="M56" i="77"/>
  <c r="N56" i="77" s="1"/>
  <c r="K56" i="77"/>
  <c r="J56" i="77" s="1"/>
  <c r="K52" i="77"/>
  <c r="M52" i="77"/>
  <c r="N52" i="77" s="1"/>
  <c r="C5" i="77"/>
  <c r="M49" i="77"/>
  <c r="N49" i="77" s="1"/>
  <c r="K49" i="77"/>
  <c r="M53" i="77"/>
  <c r="N53" i="77" s="1"/>
  <c r="K53" i="77"/>
  <c r="M55" i="77"/>
  <c r="N55" i="77" s="1"/>
  <c r="K55" i="77"/>
  <c r="J55" i="77" s="1"/>
  <c r="D55" i="77" s="1"/>
  <c r="K51" i="77"/>
  <c r="M51" i="77"/>
  <c r="N51" i="77" s="1"/>
  <c r="C115" i="77"/>
  <c r="D113" i="77"/>
  <c r="M15" i="45"/>
  <c r="L15" i="45"/>
  <c r="K15" i="45"/>
  <c r="J15" i="45"/>
  <c r="I15" i="45"/>
  <c r="H15" i="45"/>
  <c r="G15" i="45"/>
  <c r="F15" i="45"/>
  <c r="E15" i="45"/>
  <c r="D15" i="45"/>
  <c r="C15" i="45"/>
  <c r="B15" i="45"/>
  <c r="V6" i="71"/>
  <c r="U6" i="71"/>
  <c r="T6" i="71"/>
  <c r="S6" i="71"/>
  <c r="J61" i="77" l="1"/>
  <c r="D61" i="77"/>
  <c r="J60" i="77"/>
  <c r="D60" i="77"/>
  <c r="J59" i="77"/>
  <c r="D59" i="77"/>
  <c r="J63" i="77"/>
  <c r="D63" i="77"/>
  <c r="J65" i="77"/>
  <c r="D65" i="77"/>
  <c r="J64" i="77"/>
  <c r="D64" i="77"/>
  <c r="J62" i="77"/>
  <c r="D62" i="77"/>
  <c r="E59" i="77" s="1"/>
  <c r="B57" i="77" s="1"/>
  <c r="J53" i="77"/>
  <c r="D53" i="77"/>
  <c r="J49" i="77"/>
  <c r="D49" i="77"/>
  <c r="D52" i="77"/>
  <c r="J52" i="77"/>
  <c r="D51" i="77"/>
  <c r="J51" i="77"/>
  <c r="J54" i="77"/>
  <c r="D54" i="77"/>
  <c r="J50" i="77"/>
  <c r="D50" i="77"/>
  <c r="J48" i="77"/>
  <c r="D48" i="77"/>
  <c r="AH5" i="71"/>
  <c r="AG5" i="71"/>
  <c r="AE5" i="71"/>
  <c r="AF5" i="71" s="1"/>
  <c r="AD5" i="71"/>
  <c r="Q5" i="71"/>
  <c r="P5" i="71"/>
  <c r="O5" i="71"/>
  <c r="N5" i="71"/>
  <c r="E48" i="77" l="1"/>
  <c r="B46" i="77" s="1"/>
  <c r="C24" i="77" s="1"/>
  <c r="AD6" i="7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2" i="71"/>
  <c r="P12" i="71"/>
  <c r="O12" i="71"/>
  <c r="N12" i="71"/>
  <c r="A15" i="51"/>
  <c r="B12" i="72" s="1"/>
  <c r="C76" i="9"/>
  <c r="I107" i="40"/>
  <c r="K6" i="4"/>
  <c r="K56" i="9" s="1"/>
  <c r="B22" i="31"/>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B10" i="43"/>
  <c r="AF10" i="43"/>
  <c r="AJ10" i="43"/>
  <c r="K49" i="9"/>
  <c r="E107" i="9"/>
  <c r="A122" i="9" s="1"/>
  <c r="A8" i="52" s="1"/>
  <c r="B54" i="72" s="1"/>
  <c r="E111" i="9"/>
  <c r="A126" i="9" s="1"/>
  <c r="A12" i="52" s="1"/>
  <c r="B56" i="72" s="1"/>
  <c r="E109" i="9"/>
  <c r="A124" i="9"/>
  <c r="B44" i="72"/>
  <c r="B42" i="72"/>
  <c r="B69" i="72"/>
  <c r="B68" i="72"/>
  <c r="B63" i="72"/>
  <c r="B62" i="72"/>
  <c r="B65" i="72"/>
  <c r="B60" i="72"/>
  <c r="B59" i="72"/>
  <c r="B67" i="72"/>
  <c r="B66" i="72"/>
  <c r="B10" i="72"/>
  <c r="C53" i="10"/>
  <c r="B51" i="10"/>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I23" i="66"/>
  <c r="D20" i="66"/>
  <c r="I19" i="66"/>
  <c r="I18" i="66"/>
  <c r="I17" i="66"/>
  <c r="I20" i="66"/>
  <c r="E15" i="66"/>
  <c r="I14" i="66"/>
  <c r="I13" i="66"/>
  <c r="I12" i="66"/>
  <c r="I15" i="66"/>
  <c r="I9" i="66"/>
  <c r="I8" i="66"/>
  <c r="I7" i="66"/>
  <c r="I6" i="66"/>
  <c r="I5" i="66"/>
  <c r="I4" i="66"/>
  <c r="I3" i="66"/>
  <c r="I10" i="66"/>
  <c r="D1" i="43"/>
  <c r="F113" i="43"/>
  <c r="N99" i="43"/>
  <c r="N108" i="43" s="1"/>
  <c r="D99" i="43"/>
  <c r="D108" i="43" s="1"/>
  <c r="E99" i="43"/>
  <c r="E108" i="43" s="1"/>
  <c r="F99" i="43"/>
  <c r="F108" i="43" s="1"/>
  <c r="G99" i="43"/>
  <c r="G108" i="43" s="1"/>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M59" i="80"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J27" i="39"/>
  <c r="AC27" i="39" s="1"/>
  <c r="F27" i="39"/>
  <c r="S27"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AB34" i="39"/>
  <c r="S42" i="39"/>
  <c r="W14" i="39"/>
  <c r="W8" i="39"/>
  <c r="J19" i="40"/>
  <c r="AC19" i="40"/>
  <c r="J50" i="40"/>
  <c r="H103" i="9"/>
  <c r="D8" i="53"/>
  <c r="B16" i="53"/>
  <c r="B33" i="72" s="1"/>
  <c r="C7" i="37"/>
  <c r="C7" i="34"/>
  <c r="C7" i="36"/>
  <c r="W35" i="40"/>
  <c r="A118" i="9"/>
  <c r="A4" i="52"/>
  <c r="B41" i="72"/>
  <c r="I4" i="4"/>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D93" i="9"/>
  <c r="K6" i="1"/>
  <c r="G29" i="6"/>
  <c r="E29" i="6" s="1"/>
  <c r="K15" i="1"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AZ80" i="3"/>
  <c r="AZ84" i="3"/>
  <c r="AZ88" i="3"/>
  <c r="AZ107" i="3"/>
  <c r="AZ111" i="3"/>
  <c r="K12" i="1"/>
  <c r="M12" i="1" s="1"/>
  <c r="S13" i="1"/>
  <c r="R13" i="1"/>
  <c r="S11" i="1"/>
  <c r="R11"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AB27" i="39"/>
  <c r="U31" i="39"/>
  <c r="J21" i="39"/>
  <c r="F21" i="39"/>
  <c r="S21" i="39" s="1"/>
  <c r="H21" i="39"/>
  <c r="U21" i="39" s="1"/>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BL17" i="3"/>
  <c r="AZ17" i="3"/>
  <c r="BL13" i="3"/>
  <c r="G30" i="6"/>
  <c r="G31" i="6" s="1"/>
  <c r="A24" i="51"/>
  <c r="B18" i="72" s="1"/>
  <c r="U29" i="34"/>
  <c r="E5" i="6"/>
  <c r="D19" i="12" s="1"/>
  <c r="C19" i="12" s="1"/>
  <c r="E32" i="6"/>
  <c r="L19" i="6"/>
  <c r="G1" i="68"/>
  <c r="K1" i="12"/>
  <c r="F30" i="6"/>
  <c r="E28" i="6"/>
  <c r="AQ12" i="1"/>
  <c r="E19" i="69"/>
  <c r="E19" i="68"/>
  <c r="E19" i="11"/>
  <c r="E1" i="73"/>
  <c r="G41" i="69"/>
  <c r="G22" i="69"/>
  <c r="G41" i="68"/>
  <c r="G22" i="68"/>
  <c r="G27" i="12"/>
  <c r="G26" i="12"/>
  <c r="G41" i="11"/>
  <c r="G22" i="11"/>
  <c r="G25" i="12"/>
  <c r="C100" i="43"/>
  <c r="C7" i="43"/>
  <c r="E81" i="43"/>
  <c r="B79" i="43"/>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C52" i="37"/>
  <c r="D52" i="37" s="1"/>
  <c r="E52" i="37" s="1"/>
  <c r="F52" i="37" s="1"/>
  <c r="A4" i="51"/>
  <c r="B6" i="72" s="1"/>
  <c r="C48" i="35"/>
  <c r="D48" i="35" s="1"/>
  <c r="E48" i="35" s="1"/>
  <c r="C4" i="12"/>
  <c r="H62" i="43"/>
  <c r="H66" i="43"/>
  <c r="H61" i="43"/>
  <c r="H65" i="43"/>
  <c r="H60" i="43"/>
  <c r="H64" i="43"/>
  <c r="H59" i="43"/>
  <c r="H63" i="43"/>
  <c r="H67" i="43"/>
  <c r="H76" i="43"/>
  <c r="H72" i="43"/>
  <c r="H77"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AA27" i="39"/>
  <c r="W17" i="39"/>
  <c r="AC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E30" i="6"/>
  <c r="C24" i="12"/>
  <c r="AA39" i="40"/>
  <c r="S39" i="40"/>
  <c r="S12" i="33"/>
  <c r="AA12" i="33"/>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O6" i="3"/>
  <c r="E574" i="3"/>
  <c r="E359" i="3"/>
  <c r="E285" i="3"/>
  <c r="E97" i="3"/>
  <c r="K14" i="1"/>
  <c r="M14" i="1" s="1"/>
  <c r="O14" i="1" s="1"/>
  <c r="BL5" i="3"/>
  <c r="E314" i="3"/>
  <c r="E511" i="3"/>
  <c r="E16" i="3"/>
  <c r="AK6" i="3"/>
  <c r="E434" i="3"/>
  <c r="E306" i="3"/>
  <c r="E296" i="3"/>
  <c r="E262" i="3"/>
  <c r="E136" i="3"/>
  <c r="E236" i="3"/>
  <c r="E148" i="3"/>
  <c r="E269" i="3"/>
  <c r="E122" i="3"/>
  <c r="E89" i="3"/>
  <c r="E140" i="3"/>
  <c r="E85" i="3"/>
  <c r="E223" i="3"/>
  <c r="E238" i="3"/>
  <c r="E197" i="3"/>
  <c r="E116" i="3"/>
  <c r="E173" i="3"/>
  <c r="E105"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L27" i="6"/>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AC11" i="34"/>
  <c r="F34" i="11"/>
  <c r="C36" i="11" s="1"/>
  <c r="F11" i="12"/>
  <c r="F34" i="68"/>
  <c r="AG6" i="1"/>
  <c r="J7" i="33"/>
  <c r="W7" i="33" s="1"/>
  <c r="F7" i="33"/>
  <c r="S7" i="33" s="1"/>
  <c r="H7" i="33"/>
  <c r="AB7" i="33" s="1"/>
  <c r="T48" i="33" s="1"/>
  <c r="G48" i="33" s="1"/>
  <c r="AA7" i="33"/>
  <c r="R48" i="33" s="1"/>
  <c r="H112" i="9"/>
  <c r="D21" i="53" s="1"/>
  <c r="B39" i="72" s="1"/>
  <c r="H111" i="9"/>
  <c r="D126" i="9" s="1"/>
  <c r="I14" i="74" s="1"/>
  <c r="B8" i="74" s="1"/>
  <c r="D59" i="9"/>
  <c r="M55" i="9"/>
  <c r="AD3" i="71"/>
  <c r="F6" i="67"/>
  <c r="E11" i="76"/>
  <c r="M8" i="67"/>
  <c r="M27" i="67"/>
  <c r="C76" i="67"/>
  <c r="F36" i="67"/>
  <c r="AE7" i="1"/>
  <c r="F38" i="15"/>
  <c r="B9" i="76"/>
  <c r="M9" i="15"/>
  <c r="J15" i="67"/>
  <c r="F7" i="15"/>
  <c r="M29" i="80"/>
  <c r="F16" i="15"/>
  <c r="L48" i="67"/>
  <c r="B12" i="76"/>
  <c r="AO12" i="1"/>
  <c r="F20" i="31"/>
  <c r="E10" i="76"/>
  <c r="E8" i="76"/>
  <c r="F26" i="67"/>
  <c r="F9" i="15"/>
  <c r="M6" i="67"/>
  <c r="M29" i="15"/>
  <c r="F7" i="80"/>
  <c r="M28" i="67"/>
  <c r="F40" i="67"/>
  <c r="M29" i="67"/>
  <c r="B8" i="76"/>
  <c r="F41" i="67"/>
  <c r="F9" i="67"/>
  <c r="D2" i="33"/>
  <c r="M24" i="67"/>
  <c r="B10" i="76"/>
  <c r="L48" i="15"/>
  <c r="E13" i="76"/>
  <c r="F38" i="67"/>
  <c r="E9" i="76"/>
  <c r="J15" i="15"/>
  <c r="F37" i="67"/>
  <c r="L47" i="67"/>
  <c r="M28" i="15"/>
  <c r="F43" i="80"/>
  <c r="F42" i="67"/>
  <c r="F8" i="67"/>
  <c r="M23" i="67"/>
  <c r="F36" i="15"/>
  <c r="M9" i="67"/>
  <c r="F13" i="15"/>
  <c r="F16" i="67"/>
  <c r="F8" i="15"/>
  <c r="F4" i="73"/>
  <c r="L47" i="15"/>
  <c r="M22" i="15"/>
  <c r="M8" i="15"/>
  <c r="F35" i="67"/>
  <c r="AO11" i="1"/>
  <c r="D2" i="34"/>
  <c r="D2" i="21"/>
  <c r="M21" i="67"/>
  <c r="F26" i="15"/>
  <c r="C76" i="15"/>
  <c r="F7" i="73"/>
  <c r="F40" i="15"/>
  <c r="E12" i="76"/>
  <c r="M22" i="67"/>
  <c r="M23" i="15"/>
  <c r="F43" i="15"/>
  <c r="D2" i="36"/>
  <c r="AO13" i="1"/>
  <c r="M26" i="15"/>
  <c r="F3" i="73"/>
  <c r="M26" i="67"/>
  <c r="E2" i="68"/>
  <c r="F43" i="67"/>
  <c r="F7" i="67"/>
  <c r="F6" i="15"/>
  <c r="M6" i="15"/>
  <c r="B13" i="76"/>
  <c r="M24" i="15"/>
  <c r="B11" i="76"/>
  <c r="F42" i="15"/>
  <c r="E2" i="69"/>
  <c r="D2" i="35"/>
  <c r="F5" i="73"/>
  <c r="M27" i="15"/>
  <c r="F13" i="67"/>
  <c r="F37" i="15"/>
  <c r="F6" i="73"/>
  <c r="D2" i="37"/>
  <c r="D23" i="67" l="1"/>
  <c r="D22" i="67"/>
  <c r="W42" i="39"/>
  <c r="F41" i="39"/>
  <c r="J41" i="39"/>
  <c r="W41" i="39" s="1"/>
  <c r="H41" i="39"/>
  <c r="F124" i="39"/>
  <c r="G124" i="39" s="1"/>
  <c r="H124" i="39" s="1"/>
  <c r="I124" i="39" s="1"/>
  <c r="J124" i="39" s="1"/>
  <c r="K124" i="39" s="1"/>
  <c r="L124" i="39" s="1"/>
  <c r="M124" i="39" s="1"/>
  <c r="AC41" i="39"/>
  <c r="S40" i="39"/>
  <c r="U40" i="39"/>
  <c r="W39" i="39"/>
  <c r="F107" i="39"/>
  <c r="G107" i="39" s="1"/>
  <c r="H32" i="39"/>
  <c r="F32" i="39"/>
  <c r="W29" i="39"/>
  <c r="U29" i="39"/>
  <c r="S29" i="39"/>
  <c r="W27" i="39"/>
  <c r="H25" i="39"/>
  <c r="F25" i="39"/>
  <c r="F99" i="39"/>
  <c r="G99" i="39" s="1"/>
  <c r="J25" i="39"/>
  <c r="AC23" i="39"/>
  <c r="W23" i="39"/>
  <c r="AB21" i="39"/>
  <c r="AA21" i="39"/>
  <c r="AB15" i="39"/>
  <c r="AC15" i="39"/>
  <c r="AC12" i="39"/>
  <c r="W12" i="39"/>
  <c r="F12" i="39"/>
  <c r="G81" i="39"/>
  <c r="W9" i="39"/>
  <c r="U9" i="39"/>
  <c r="I21" i="66"/>
  <c r="C28" i="66"/>
  <c r="F71" i="80"/>
  <c r="F50" i="80"/>
  <c r="C49" i="80" s="1"/>
  <c r="M7" i="80"/>
  <c r="J6" i="80" s="1"/>
  <c r="M9" i="1"/>
  <c r="B8" i="1"/>
  <c r="E8" i="1" s="1"/>
  <c r="G1" i="88"/>
  <c r="G1" i="86"/>
  <c r="G1" i="82"/>
  <c r="N56" i="9"/>
  <c r="J56" i="9"/>
  <c r="J57" i="9" s="1"/>
  <c r="J59" i="9" s="1"/>
  <c r="J61" i="9" s="1"/>
  <c r="M56" i="9"/>
  <c r="W8" i="34"/>
  <c r="P61" i="15"/>
  <c r="J53" i="15"/>
  <c r="F1" i="15" s="1"/>
  <c r="AI10" i="43"/>
  <c r="AE10" i="43"/>
  <c r="AH10" i="43"/>
  <c r="AD10" i="43"/>
  <c r="Z10" i="43"/>
  <c r="AG10" i="43"/>
  <c r="AC10" i="43"/>
  <c r="E10" i="43"/>
  <c r="E8" i="43"/>
  <c r="E11" i="43"/>
  <c r="E9" i="43"/>
  <c r="H52" i="43"/>
  <c r="G52" i="43" s="1"/>
  <c r="H48" i="43"/>
  <c r="G48" i="43" s="1"/>
  <c r="H53" i="43"/>
  <c r="G53" i="43" s="1"/>
  <c r="H51" i="43"/>
  <c r="G51" i="43" s="1"/>
  <c r="H54" i="43"/>
  <c r="G54" i="43" s="1"/>
  <c r="H55" i="43"/>
  <c r="G55" i="43" s="1"/>
  <c r="H56" i="43"/>
  <c r="G56" i="43" s="1"/>
  <c r="C94" i="9"/>
  <c r="C92" i="9"/>
  <c r="F32" i="15"/>
  <c r="F60" i="15" s="1"/>
  <c r="F31" i="12"/>
  <c r="C31" i="12" s="1"/>
  <c r="F32" i="67"/>
  <c r="F60" i="67" s="1"/>
  <c r="F30" i="11"/>
  <c r="C48" i="11" s="1"/>
  <c r="F54" i="9"/>
  <c r="M18" i="15"/>
  <c r="F30" i="69"/>
  <c r="F28" i="67"/>
  <c r="C28" i="67" s="1"/>
  <c r="F30" i="68"/>
  <c r="C13" i="12"/>
  <c r="D68" i="9"/>
  <c r="F28" i="15"/>
  <c r="C28" i="15" s="1"/>
  <c r="M18" i="67"/>
  <c r="F52" i="9"/>
  <c r="C40" i="68"/>
  <c r="C40" i="69"/>
  <c r="Q16" i="1"/>
  <c r="M7" i="1"/>
  <c r="M16" i="1" s="1"/>
  <c r="C34" i="69"/>
  <c r="C38" i="69" s="1"/>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AQ11" i="1"/>
  <c r="AR11" i="1"/>
  <c r="AR13" i="1"/>
  <c r="T13" i="1"/>
  <c r="AR12" i="1"/>
  <c r="T12" i="1"/>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02" i="3"/>
  <c r="E552" i="3"/>
  <c r="R6" i="3"/>
  <c r="E542" i="3"/>
  <c r="E499" i="3"/>
  <c r="AD6" i="3"/>
  <c r="E575" i="3"/>
  <c r="E312" i="3"/>
  <c r="E286" i="3"/>
  <c r="E133" i="3"/>
  <c r="E193" i="3"/>
  <c r="E177" i="3"/>
  <c r="E224" i="3"/>
  <c r="E277" i="3"/>
  <c r="E45" i="3"/>
  <c r="E120" i="3"/>
  <c r="E157" i="3"/>
  <c r="E181" i="3"/>
  <c r="E228" i="3"/>
  <c r="E188" i="3"/>
  <c r="E156" i="3"/>
  <c r="E196" i="3"/>
  <c r="E244" i="3"/>
  <c r="E368" i="3"/>
  <c r="E453" i="3"/>
  <c r="E549" i="3"/>
  <c r="E536" i="3"/>
  <c r="I6" i="3"/>
  <c r="E568" i="3"/>
  <c r="E397" i="3"/>
  <c r="E143" i="3"/>
  <c r="E337" i="3"/>
  <c r="E410" i="3"/>
  <c r="E555" i="3"/>
  <c r="E388" i="3"/>
  <c r="D9" i="11"/>
  <c r="C9" i="11" s="1"/>
  <c r="D9" i="69"/>
  <c r="C9" i="69" s="1"/>
  <c r="I4" i="6"/>
  <c r="G3" i="43" s="1"/>
  <c r="B113" i="43" s="1"/>
  <c r="BD5" i="3"/>
  <c r="E8" i="6" s="1"/>
  <c r="BA13" i="3"/>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F27" i="69"/>
  <c r="C47" i="69" s="1"/>
  <c r="D45" i="69" s="1"/>
  <c r="F27" i="11"/>
  <c r="C36" i="69"/>
  <c r="O9" i="1"/>
  <c r="P9" i="1" s="1"/>
  <c r="O8" i="1"/>
  <c r="P8" i="1" s="1"/>
  <c r="P14" i="1"/>
  <c r="O11" i="1"/>
  <c r="P11" i="1" s="1"/>
  <c r="O12" i="1"/>
  <c r="P12" i="1" s="1"/>
  <c r="K16" i="1"/>
  <c r="G101" i="43"/>
  <c r="L101" i="43"/>
  <c r="F22" i="43"/>
  <c r="E22" i="43"/>
  <c r="D101" i="43"/>
  <c r="I101" i="43"/>
  <c r="AJ11" i="43"/>
  <c r="AJ13" i="43" s="1"/>
  <c r="AF11" i="43"/>
  <c r="AF13" i="43" s="1"/>
  <c r="AB11" i="43"/>
  <c r="AB13" i="43" s="1"/>
  <c r="Z7" i="43"/>
  <c r="AG11" i="43"/>
  <c r="AG13" i="43" s="1"/>
  <c r="AC11" i="43"/>
  <c r="AC13" i="43" s="1"/>
  <c r="Y11" i="43"/>
  <c r="Y13" i="43" s="1"/>
  <c r="H50" i="43"/>
  <c r="G50" i="43" s="1"/>
  <c r="H75" i="43"/>
  <c r="H49" i="43"/>
  <c r="G49" i="43" s="1"/>
  <c r="N17" i="43"/>
  <c r="L17" i="43"/>
  <c r="O17" i="43"/>
  <c r="M17" i="43"/>
  <c r="E17" i="43"/>
  <c r="T35" i="4"/>
  <c r="A19" i="51" s="1"/>
  <c r="B14" i="72" s="1"/>
  <c r="D19" i="53"/>
  <c r="D12" i="52"/>
  <c r="D127" i="9"/>
  <c r="D13" i="52" s="1"/>
  <c r="C65" i="40"/>
  <c r="D63" i="40"/>
  <c r="J1" i="73"/>
  <c r="E48" i="33"/>
  <c r="R49" i="33"/>
  <c r="G52" i="33"/>
  <c r="H52" i="33" s="1"/>
  <c r="U7" i="33"/>
  <c r="AC7" i="33"/>
  <c r="V48" i="33" s="1"/>
  <c r="I48"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L59" i="15"/>
  <c r="M59" i="15"/>
  <c r="L58" i="15"/>
  <c r="F65" i="15"/>
  <c r="C6" i="15"/>
  <c r="Q71" i="67"/>
  <c r="B13"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F31" i="15"/>
  <c r="F31" i="67"/>
  <c r="M17" i="15"/>
  <c r="F59" i="67"/>
  <c r="F59" i="15"/>
  <c r="M17" i="67"/>
  <c r="C36" i="68"/>
  <c r="D9" i="68"/>
  <c r="F27" i="68"/>
  <c r="F13" i="82"/>
  <c r="C16" i="15"/>
  <c r="F37" i="88"/>
  <c r="J15" i="82"/>
  <c r="C76" i="86"/>
  <c r="M22" i="88"/>
  <c r="C17" i="67"/>
  <c r="M24" i="82"/>
  <c r="F36" i="82"/>
  <c r="F36" i="88"/>
  <c r="F16" i="86"/>
  <c r="M27" i="86"/>
  <c r="M8" i="86"/>
  <c r="C16" i="80"/>
  <c r="F37" i="82"/>
  <c r="F7" i="82"/>
  <c r="D7" i="73"/>
  <c r="L47" i="88"/>
  <c r="M8" i="88"/>
  <c r="F42" i="86"/>
  <c r="F9" i="86"/>
  <c r="F8" i="82"/>
  <c r="M24" i="88"/>
  <c r="C76" i="88"/>
  <c r="F8" i="86"/>
  <c r="M29" i="88"/>
  <c r="M28" i="82"/>
  <c r="M26" i="86"/>
  <c r="C16" i="67"/>
  <c r="F42" i="82"/>
  <c r="M23" i="82"/>
  <c r="F38" i="88"/>
  <c r="J15" i="88"/>
  <c r="D5" i="73"/>
  <c r="L47" i="82"/>
  <c r="F7" i="86"/>
  <c r="F43" i="88"/>
  <c r="M28" i="88"/>
  <c r="F38" i="86"/>
  <c r="L48" i="88"/>
  <c r="F42" i="88"/>
  <c r="M29" i="86"/>
  <c r="F26" i="86"/>
  <c r="F40" i="82"/>
  <c r="M29" i="82"/>
  <c r="D4" i="73"/>
  <c r="F6" i="86"/>
  <c r="F43" i="82"/>
  <c r="F38" i="82"/>
  <c r="AE6" i="1"/>
  <c r="F16" i="88"/>
  <c r="F6" i="88"/>
  <c r="M22" i="86"/>
  <c r="F13" i="88"/>
  <c r="L47" i="86"/>
  <c r="M27" i="88"/>
  <c r="F8" i="88"/>
  <c r="F7" i="88"/>
  <c r="F40" i="88"/>
  <c r="M9" i="82"/>
  <c r="C76" i="82"/>
  <c r="F43" i="86"/>
  <c r="F16" i="82"/>
  <c r="L48" i="82"/>
  <c r="M23" i="88"/>
  <c r="F9" i="82"/>
  <c r="F36" i="86"/>
  <c r="F9" i="88"/>
  <c r="M23" i="86"/>
  <c r="F40" i="86"/>
  <c r="M9" i="88"/>
  <c r="M6" i="86"/>
  <c r="M24" i="86"/>
  <c r="C14" i="88"/>
  <c r="F26" i="82"/>
  <c r="L48" i="86"/>
  <c r="M27" i="82"/>
  <c r="F6" i="82"/>
  <c r="M26" i="88"/>
  <c r="M22" i="82"/>
  <c r="M6" i="88"/>
  <c r="D3" i="73"/>
  <c r="M6" i="82"/>
  <c r="F13" i="86"/>
  <c r="D6" i="73"/>
  <c r="F26" i="88"/>
  <c r="J15" i="86"/>
  <c r="M9" i="86"/>
  <c r="F37" i="86"/>
  <c r="F41" i="80"/>
  <c r="M26" i="82"/>
  <c r="M28" i="86"/>
  <c r="M8" i="82"/>
  <c r="C14" i="67"/>
  <c r="C4" i="4" l="1"/>
  <c r="G4" i="4"/>
  <c r="K5" i="4" s="1"/>
  <c r="B47" i="48" s="1"/>
  <c r="K49" i="43"/>
  <c r="M49" i="43"/>
  <c r="N49" i="43" s="1"/>
  <c r="M50" i="43"/>
  <c r="N50" i="43" s="1"/>
  <c r="K50" i="43"/>
  <c r="M56" i="43"/>
  <c r="N56" i="43" s="1"/>
  <c r="K56" i="43"/>
  <c r="J56" i="43" s="1"/>
  <c r="M54" i="43"/>
  <c r="N54" i="43" s="1"/>
  <c r="K54" i="43"/>
  <c r="K53" i="43"/>
  <c r="M53" i="43"/>
  <c r="N53" i="43" s="1"/>
  <c r="M52" i="43"/>
  <c r="N52" i="43" s="1"/>
  <c r="K52" i="43"/>
  <c r="M55" i="43"/>
  <c r="N55" i="43" s="1"/>
  <c r="K55" i="43"/>
  <c r="J55" i="43" s="1"/>
  <c r="D55" i="43" s="1"/>
  <c r="K51" i="43"/>
  <c r="M51" i="43"/>
  <c r="N51" i="43" s="1"/>
  <c r="M48" i="43"/>
  <c r="N48" i="43" s="1"/>
  <c r="K48" i="43"/>
  <c r="AB41" i="39"/>
  <c r="U41" i="39"/>
  <c r="S41" i="39"/>
  <c r="AA41" i="39"/>
  <c r="AB32" i="39"/>
  <c r="U32" i="39"/>
  <c r="S32" i="39"/>
  <c r="AA32" i="39"/>
  <c r="H107" i="39"/>
  <c r="I107" i="39" s="1"/>
  <c r="J107" i="39" s="1"/>
  <c r="K107" i="39" s="1"/>
  <c r="L107" i="39" s="1"/>
  <c r="M107" i="39" s="1"/>
  <c r="J32" i="39"/>
  <c r="AC25" i="39"/>
  <c r="W25" i="39"/>
  <c r="AA25" i="39"/>
  <c r="S25" i="39"/>
  <c r="AB25" i="39"/>
  <c r="U25" i="39"/>
  <c r="S12" i="39"/>
  <c r="AA12" i="39"/>
  <c r="H81" i="39"/>
  <c r="J11" i="39"/>
  <c r="D1" i="66"/>
  <c r="E10" i="66" s="1"/>
  <c r="C29" i="66"/>
  <c r="C27" i="66" s="1"/>
  <c r="F51" i="86"/>
  <c r="Q71" i="86"/>
  <c r="M7" i="86"/>
  <c r="F50" i="86"/>
  <c r="C6" i="86"/>
  <c r="C27" i="86"/>
  <c r="F64" i="86"/>
  <c r="N59" i="86"/>
  <c r="L58" i="86"/>
  <c r="L59" i="86"/>
  <c r="M59" i="86"/>
  <c r="F65" i="86"/>
  <c r="F71" i="86"/>
  <c r="F66" i="86"/>
  <c r="J6" i="86"/>
  <c r="F68" i="86"/>
  <c r="L57" i="86"/>
  <c r="J60" i="86"/>
  <c r="Q48" i="86" s="1"/>
  <c r="L60" i="86"/>
  <c r="J53" i="86"/>
  <c r="L56" i="86"/>
  <c r="I54" i="86"/>
  <c r="J59" i="86"/>
  <c r="J57" i="86"/>
  <c r="J55" i="86" s="1"/>
  <c r="J58" i="86" s="1"/>
  <c r="Q50" i="86" s="1"/>
  <c r="M7" i="82"/>
  <c r="F50" i="82"/>
  <c r="F51" i="82"/>
  <c r="Q71" i="82"/>
  <c r="C6" i="82"/>
  <c r="C27" i="82"/>
  <c r="F64" i="82"/>
  <c r="N59" i="82"/>
  <c r="L58" i="82"/>
  <c r="L59" i="82"/>
  <c r="M59" i="82"/>
  <c r="F68" i="82"/>
  <c r="L57" i="82"/>
  <c r="I54" i="82"/>
  <c r="J59" i="82"/>
  <c r="J53" i="82"/>
  <c r="L56" i="82"/>
  <c r="L60" i="82"/>
  <c r="J60" i="82"/>
  <c r="Q48" i="82" s="1"/>
  <c r="J57" i="82"/>
  <c r="J55" i="82" s="1"/>
  <c r="J58" i="82" s="1"/>
  <c r="Q50" i="82" s="1"/>
  <c r="L46" i="82"/>
  <c r="F66" i="82"/>
  <c r="J6" i="82"/>
  <c r="F65" i="82"/>
  <c r="F71" i="82"/>
  <c r="F51" i="88"/>
  <c r="Q71" i="88"/>
  <c r="M7" i="88"/>
  <c r="F50" i="88"/>
  <c r="C6" i="88"/>
  <c r="C27" i="88"/>
  <c r="F64" i="88"/>
  <c r="N59" i="88"/>
  <c r="L58" i="88"/>
  <c r="L59" i="88"/>
  <c r="M59" i="88"/>
  <c r="F65" i="88"/>
  <c r="F71" i="88"/>
  <c r="F66" i="88"/>
  <c r="J6" i="88"/>
  <c r="C15" i="88"/>
  <c r="C18" i="88"/>
  <c r="F68" i="88"/>
  <c r="L57" i="88"/>
  <c r="I54" i="88"/>
  <c r="J59" i="88"/>
  <c r="J53" i="88"/>
  <c r="L56" i="88"/>
  <c r="L60" i="88"/>
  <c r="J60" i="88"/>
  <c r="Q48" i="88" s="1"/>
  <c r="J57" i="88"/>
  <c r="J55" i="88" s="1"/>
  <c r="J58" i="88" s="1"/>
  <c r="Q50" i="88" s="1"/>
  <c r="E4" i="4"/>
  <c r="B5" i="62" s="1"/>
  <c r="B73" i="72" s="1"/>
  <c r="F11" i="88"/>
  <c r="M11" i="88"/>
  <c r="F11" i="86"/>
  <c r="M11" i="86"/>
  <c r="F11" i="82"/>
  <c r="M11" i="82"/>
  <c r="O7" i="1"/>
  <c r="P7" i="1" s="1"/>
  <c r="P16" i="1" s="1"/>
  <c r="C11" i="12" s="1"/>
  <c r="F69" i="80"/>
  <c r="F11" i="80"/>
  <c r="M11" i="80"/>
  <c r="J10" i="80" s="1"/>
  <c r="J5" i="80" s="1"/>
  <c r="Q52" i="15"/>
  <c r="E20" i="77"/>
  <c r="C35" i="69"/>
  <c r="C9" i="68"/>
  <c r="C29" i="68"/>
  <c r="D27" i="68" s="1"/>
  <c r="C30" i="11"/>
  <c r="C30" i="68"/>
  <c r="C48" i="68"/>
  <c r="C48" i="69"/>
  <c r="C30" i="69"/>
  <c r="F28" i="12"/>
  <c r="C29" i="12" s="1"/>
  <c r="D28" i="12" s="1"/>
  <c r="AA11" i="43"/>
  <c r="AA13" i="43" s="1"/>
  <c r="AE11" i="43"/>
  <c r="AE13" i="43" s="1"/>
  <c r="AI11" i="43"/>
  <c r="AI13" i="43" s="1"/>
  <c r="Z11" i="43"/>
  <c r="Z13" i="43" s="1"/>
  <c r="AD11" i="43"/>
  <c r="AD13" i="43" s="1"/>
  <c r="AH11" i="43"/>
  <c r="AH13" i="43" s="1"/>
  <c r="E101" i="43"/>
  <c r="M101" i="43"/>
  <c r="H22" i="43"/>
  <c r="F101" i="43"/>
  <c r="G22" i="43"/>
  <c r="J101" i="43"/>
  <c r="N101" i="43"/>
  <c r="K101" i="43"/>
  <c r="K102" i="43" s="1"/>
  <c r="J22" i="43"/>
  <c r="H101" i="43"/>
  <c r="H102" i="43" s="1"/>
  <c r="N104" i="46"/>
  <c r="C101" i="43"/>
  <c r="C103" i="43" s="1"/>
  <c r="AC6" i="3"/>
  <c r="F27" i="6"/>
  <c r="F31" i="6" s="1"/>
  <c r="E56" i="39"/>
  <c r="E51" i="40"/>
  <c r="C47" i="68"/>
  <c r="D45" i="68" s="1"/>
  <c r="BA5" i="3"/>
  <c r="E27" i="6" s="1"/>
  <c r="E31" i="6" s="1"/>
  <c r="AZ13" i="3"/>
  <c r="AZ5" i="3" s="1"/>
  <c r="E15" i="6"/>
  <c r="E13" i="6"/>
  <c r="E14" i="6"/>
  <c r="E10" i="6"/>
  <c r="E11" i="6"/>
  <c r="E12" i="6"/>
  <c r="K23" i="6"/>
  <c r="H6" i="3"/>
  <c r="K19" i="6"/>
  <c r="S6" i="1" s="1"/>
  <c r="E6" i="3"/>
  <c r="C29" i="69"/>
  <c r="D27" i="69" s="1"/>
  <c r="C47" i="11"/>
  <c r="D45" i="11" s="1"/>
  <c r="C29" i="11"/>
  <c r="D27" i="11" s="1"/>
  <c r="N16" i="1"/>
  <c r="L16" i="1"/>
  <c r="C34" i="11"/>
  <c r="E102" i="43"/>
  <c r="E106" i="43"/>
  <c r="E103" i="43"/>
  <c r="E107" i="43"/>
  <c r="E104" i="43"/>
  <c r="E105" i="43"/>
  <c r="E109" i="43"/>
  <c r="M109" i="43"/>
  <c r="M102" i="43"/>
  <c r="M106" i="43"/>
  <c r="M103" i="43"/>
  <c r="M104" i="43"/>
  <c r="M105" i="43"/>
  <c r="M107" i="43"/>
  <c r="N102" i="43"/>
  <c r="N105" i="43"/>
  <c r="N104" i="43"/>
  <c r="N109" i="43"/>
  <c r="N103" i="43"/>
  <c r="N106" i="43"/>
  <c r="N107" i="43"/>
  <c r="K103" i="43"/>
  <c r="K105" i="43"/>
  <c r="K107"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2" i="43"/>
  <c r="I107" i="43"/>
  <c r="I105" i="43"/>
  <c r="I106" i="43"/>
  <c r="I103" i="43"/>
  <c r="D109" i="43"/>
  <c r="D105" i="43"/>
  <c r="D106" i="43"/>
  <c r="D102" i="43"/>
  <c r="D103" i="43"/>
  <c r="D104" i="43"/>
  <c r="D107" i="43"/>
  <c r="F104" i="43"/>
  <c r="F102" i="43"/>
  <c r="F105" i="43"/>
  <c r="F109" i="43"/>
  <c r="F107" i="43"/>
  <c r="F106" i="43"/>
  <c r="F103" i="43"/>
  <c r="H103" i="43"/>
  <c r="H109" i="43"/>
  <c r="H107" i="43"/>
  <c r="C107" i="43"/>
  <c r="C104" i="43"/>
  <c r="C105"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G17" i="43"/>
  <c r="C16" i="43" s="1"/>
  <c r="D5" i="43" s="1"/>
  <c r="B38" i="72"/>
  <c r="D20" i="53"/>
  <c r="B40" i="72" s="1"/>
  <c r="B4" i="62"/>
  <c r="B71" i="72" s="1"/>
  <c r="E20" i="43"/>
  <c r="P28" i="43" s="1"/>
  <c r="K1" i="73"/>
  <c r="E63" i="40"/>
  <c r="D65" i="40"/>
  <c r="F46" i="36"/>
  <c r="H59" i="34"/>
  <c r="G48" i="35"/>
  <c r="I52" i="33"/>
  <c r="J52" i="33" s="1"/>
  <c r="I53" i="33"/>
  <c r="J53" i="33" s="1"/>
  <c r="G53" i="33"/>
  <c r="H53" i="33" s="1"/>
  <c r="C49" i="33"/>
  <c r="C48" i="33"/>
  <c r="E58" i="21"/>
  <c r="F58" i="21" s="1"/>
  <c r="G58" i="21" s="1"/>
  <c r="H58" i="21" s="1"/>
  <c r="I58" i="21" s="1"/>
  <c r="J58" i="21" s="1"/>
  <c r="K58" i="21" s="1"/>
  <c r="L58" i="21" s="1"/>
  <c r="M58" i="21" s="1"/>
  <c r="N58" i="21" s="1"/>
  <c r="O58" i="21" s="1"/>
  <c r="J7" i="21"/>
  <c r="H52" i="37"/>
  <c r="D70" i="39"/>
  <c r="E68" i="39"/>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F41" i="15"/>
  <c r="C16" i="86"/>
  <c r="C16" i="82"/>
  <c r="C16" i="88"/>
  <c r="C17" i="15"/>
  <c r="G1" i="73"/>
  <c r="C17" i="88"/>
  <c r="J48" i="43" l="1"/>
  <c r="D48" i="43"/>
  <c r="D52" i="43"/>
  <c r="J52" i="43"/>
  <c r="D54" i="43"/>
  <c r="J54" i="43"/>
  <c r="D50" i="43"/>
  <c r="J50" i="43"/>
  <c r="D22" i="43"/>
  <c r="J51" i="43"/>
  <c r="D51" i="43"/>
  <c r="J53" i="43"/>
  <c r="D53" i="43"/>
  <c r="J49" i="43"/>
  <c r="D49" i="43"/>
  <c r="AC32" i="39"/>
  <c r="W32" i="39"/>
  <c r="W11" i="39"/>
  <c r="AC11" i="39"/>
  <c r="I81" i="39"/>
  <c r="J81" i="39" s="1"/>
  <c r="K81" i="39" s="1"/>
  <c r="L81" i="39" s="1"/>
  <c r="M81" i="39" s="1"/>
  <c r="H11" i="39"/>
  <c r="F11" i="39"/>
  <c r="C32" i="66"/>
  <c r="C31" i="66"/>
  <c r="C30" i="66"/>
  <c r="E26" i="66" s="1"/>
  <c r="F69" i="15"/>
  <c r="J10" i="86"/>
  <c r="J5" i="86" s="1"/>
  <c r="J24" i="86" s="1"/>
  <c r="L46" i="88"/>
  <c r="C19" i="88"/>
  <c r="C20" i="88" s="1"/>
  <c r="C26" i="88" s="1"/>
  <c r="K4" i="4"/>
  <c r="B46" i="48" s="1"/>
  <c r="B4" i="72" s="1"/>
  <c r="C49" i="88"/>
  <c r="J10" i="82"/>
  <c r="J5" i="82" s="1"/>
  <c r="J24" i="82" s="1"/>
  <c r="L46" i="86"/>
  <c r="C49" i="86"/>
  <c r="Q57" i="88"/>
  <c r="Q66" i="88"/>
  <c r="E6" i="70"/>
  <c r="J10" i="88"/>
  <c r="J5" i="88" s="1"/>
  <c r="J24" i="88" s="1"/>
  <c r="Q74" i="88"/>
  <c r="Q61" i="88"/>
  <c r="Q73" i="82"/>
  <c r="Q60" i="82"/>
  <c r="C49" i="82"/>
  <c r="Q52" i="86"/>
  <c r="F1" i="86"/>
  <c r="Q74" i="86"/>
  <c r="Q61" i="86"/>
  <c r="Q52" i="88"/>
  <c r="F1" i="88"/>
  <c r="Q73" i="88"/>
  <c r="Q60" i="88"/>
  <c r="Q57" i="82"/>
  <c r="Q66" i="82"/>
  <c r="Q52" i="82"/>
  <c r="F1" i="82"/>
  <c r="Q74" i="82"/>
  <c r="Q61" i="82"/>
  <c r="Q57" i="86"/>
  <c r="Q66" i="86"/>
  <c r="Q73" i="86"/>
  <c r="Q60" i="86"/>
  <c r="J26" i="88"/>
  <c r="C53" i="88"/>
  <c r="C10" i="88"/>
  <c r="C5" i="88" s="1"/>
  <c r="J26" i="86"/>
  <c r="C53" i="86"/>
  <c r="C10" i="86"/>
  <c r="C5" i="86" s="1"/>
  <c r="C53" i="82"/>
  <c r="C10" i="82"/>
  <c r="C5" i="82" s="1"/>
  <c r="O16" i="1"/>
  <c r="C53" i="80"/>
  <c r="C48" i="80" s="1"/>
  <c r="J26" i="80"/>
  <c r="J29" i="80" s="1"/>
  <c r="J24" i="80"/>
  <c r="J18" i="80"/>
  <c r="O28" i="77"/>
  <c r="M28" i="77"/>
  <c r="P28" i="77"/>
  <c r="N28" i="77"/>
  <c r="C5" i="43"/>
  <c r="C102" i="43"/>
  <c r="C106" i="43"/>
  <c r="H105" i="43"/>
  <c r="H106" i="43"/>
  <c r="H104" i="43"/>
  <c r="K104" i="43"/>
  <c r="K109" i="43"/>
  <c r="K26" i="6"/>
  <c r="M26" i="6" s="1"/>
  <c r="I26" i="6" s="1"/>
  <c r="S26" i="6" s="1"/>
  <c r="M23" i="6"/>
  <c r="I23" i="6" s="1"/>
  <c r="S10" i="1"/>
  <c r="K24" i="6"/>
  <c r="M24" i="6" s="1"/>
  <c r="I24" i="6" s="1"/>
  <c r="S24" i="6" s="1"/>
  <c r="K25" i="6"/>
  <c r="M25" i="6" s="1"/>
  <c r="I25" i="6" s="1"/>
  <c r="S25" i="6" s="1"/>
  <c r="K21" i="6"/>
  <c r="K27" i="6" s="1"/>
  <c r="AQ6" i="1"/>
  <c r="AR6" i="1"/>
  <c r="T6" i="1"/>
  <c r="E16" i="6"/>
  <c r="E61" i="39"/>
  <c r="E56" i="40"/>
  <c r="E64" i="39"/>
  <c r="E59" i="40"/>
  <c r="E60" i="40"/>
  <c r="E65" i="39"/>
  <c r="K20" i="6"/>
  <c r="K22" i="6"/>
  <c r="E57" i="40"/>
  <c r="E62" i="39"/>
  <c r="E58" i="40"/>
  <c r="E63" i="39"/>
  <c r="E3" i="6"/>
  <c r="AY6" i="3"/>
  <c r="M19" i="6"/>
  <c r="C38" i="11"/>
  <c r="C35" i="11"/>
  <c r="F50" i="69"/>
  <c r="F50" i="68"/>
  <c r="F50" i="11"/>
  <c r="C15" i="12"/>
  <c r="C12" i="12"/>
  <c r="C115" i="43"/>
  <c r="D113" i="43" s="1"/>
  <c r="S2" i="43"/>
  <c r="S6" i="43"/>
  <c r="S7" i="43"/>
  <c r="S3" i="43"/>
  <c r="S5" i="43"/>
  <c r="S4" i="43"/>
  <c r="C23" i="43"/>
  <c r="C21" i="43" s="1"/>
  <c r="O28" i="43"/>
  <c r="M28" i="43"/>
  <c r="G20" i="43" s="1"/>
  <c r="N28" i="43"/>
  <c r="B40" i="1"/>
  <c r="E65" i="40"/>
  <c r="F63" i="40"/>
  <c r="F68" i="39"/>
  <c r="E70" i="39"/>
  <c r="I52" i="37"/>
  <c r="J52" i="37" s="1"/>
  <c r="K52" i="37" s="1"/>
  <c r="L52" i="37" s="1"/>
  <c r="M52" i="37" s="1"/>
  <c r="N52" i="37" s="1"/>
  <c r="O52" i="37" s="1"/>
  <c r="F7" i="37"/>
  <c r="AC7" i="21"/>
  <c r="V48" i="21" s="1"/>
  <c r="I48" i="21" s="1"/>
  <c r="W7" i="21"/>
  <c r="H48" i="35"/>
  <c r="F7" i="21"/>
  <c r="J7" i="37"/>
  <c r="H7" i="21"/>
  <c r="I59" i="34"/>
  <c r="G46" i="36"/>
  <c r="H7" i="37"/>
  <c r="D6" i="71"/>
  <c r="M20" i="43" s="1"/>
  <c r="C19" i="43" s="1"/>
  <c r="C19" i="67"/>
  <c r="C20" i="67" s="1"/>
  <c r="C26" i="67" s="1"/>
  <c r="J24" i="67"/>
  <c r="J26" i="67"/>
  <c r="J29" i="67" s="1"/>
  <c r="J18" i="67"/>
  <c r="C53" i="67"/>
  <c r="C48" i="67" s="1"/>
  <c r="C10" i="67"/>
  <c r="C5" i="67" s="1"/>
  <c r="J24" i="15"/>
  <c r="J18" i="15"/>
  <c r="J26" i="15"/>
  <c r="J29" i="15" s="1"/>
  <c r="C53" i="15"/>
  <c r="C48" i="15" s="1"/>
  <c r="C10" i="15"/>
  <c r="C5" i="15" s="1"/>
  <c r="C34" i="68"/>
  <c r="F6" i="80"/>
  <c r="AE9" i="1"/>
  <c r="AE10" i="1"/>
  <c r="C17" i="86"/>
  <c r="C14" i="15"/>
  <c r="AE8" i="1"/>
  <c r="E48" i="43" l="1"/>
  <c r="B46" i="43" s="1"/>
  <c r="C24" i="43" s="1"/>
  <c r="U11" i="39"/>
  <c r="AB11" i="39"/>
  <c r="AA11" i="39"/>
  <c r="S11" i="39"/>
  <c r="C6" i="80"/>
  <c r="C10" i="80" s="1"/>
  <c r="C5" i="80" s="1"/>
  <c r="C38" i="80" s="1"/>
  <c r="J18" i="86"/>
  <c r="J26" i="82"/>
  <c r="C48" i="86"/>
  <c r="C60" i="86" s="1"/>
  <c r="J18" i="82"/>
  <c r="C48" i="82"/>
  <c r="C66" i="82" s="1"/>
  <c r="J18" i="88"/>
  <c r="C48" i="88"/>
  <c r="C60" i="88" s="1"/>
  <c r="C38" i="68"/>
  <c r="C35" i="68"/>
  <c r="C15" i="15"/>
  <c r="C18" i="15"/>
  <c r="E10" i="70"/>
  <c r="S23" i="6"/>
  <c r="C38" i="88"/>
  <c r="C33" i="88"/>
  <c r="C32" i="88"/>
  <c r="F24" i="86"/>
  <c r="F24" i="88"/>
  <c r="C24" i="86"/>
  <c r="C38" i="86"/>
  <c r="C33" i="86"/>
  <c r="C32" i="86"/>
  <c r="C66" i="86"/>
  <c r="C38" i="82"/>
  <c r="C33" i="82"/>
  <c r="C32" i="82"/>
  <c r="F24" i="80"/>
  <c r="C24" i="80" s="1"/>
  <c r="F24" i="82"/>
  <c r="C66" i="80"/>
  <c r="C60" i="80"/>
  <c r="F22" i="68"/>
  <c r="C26" i="68" s="1"/>
  <c r="D22" i="68" s="1"/>
  <c r="G20" i="77"/>
  <c r="E41" i="43"/>
  <c r="G7" i="1" s="1"/>
  <c r="C20" i="43"/>
  <c r="AR10" i="1"/>
  <c r="T10" i="1"/>
  <c r="AQ10" i="1"/>
  <c r="M22" i="6"/>
  <c r="I22" i="6" s="1"/>
  <c r="S9" i="1"/>
  <c r="M21" i="6"/>
  <c r="I21" i="6" s="1"/>
  <c r="S21" i="6" s="1"/>
  <c r="S8" i="1"/>
  <c r="E8" i="70" s="1"/>
  <c r="M20" i="6"/>
  <c r="I20" i="6" s="1"/>
  <c r="S7" i="1"/>
  <c r="F24" i="67"/>
  <c r="C24" i="67" s="1"/>
  <c r="E66" i="39"/>
  <c r="AY103" i="3"/>
  <c r="AY67" i="3"/>
  <c r="AY50" i="3"/>
  <c r="AY196" i="3"/>
  <c r="AY160" i="3"/>
  <c r="AY139" i="3"/>
  <c r="AY289" i="3"/>
  <c r="AY74" i="3"/>
  <c r="AY183" i="3"/>
  <c r="AY123" i="3"/>
  <c r="AY261" i="3"/>
  <c r="AY204" i="3"/>
  <c r="AY284" i="3"/>
  <c r="AY252" i="3"/>
  <c r="AY209" i="3"/>
  <c r="AY363" i="3"/>
  <c r="AY319" i="3"/>
  <c r="AY98" i="3"/>
  <c r="AY82" i="3"/>
  <c r="AY18" i="3"/>
  <c r="AY191" i="3"/>
  <c r="AY171" i="3"/>
  <c r="AY132" i="3"/>
  <c r="AY90" i="3"/>
  <c r="AY31" i="3"/>
  <c r="AY163" i="3"/>
  <c r="AY292" i="3"/>
  <c r="AY75" i="3"/>
  <c r="AY147" i="3"/>
  <c r="AY237" i="3"/>
  <c r="AY220" i="3"/>
  <c r="AY387" i="3"/>
  <c r="AY350" i="3"/>
  <c r="AY334" i="3"/>
  <c r="AY83" i="3"/>
  <c r="AY23" i="3"/>
  <c r="AY155" i="3"/>
  <c r="AY59" i="3"/>
  <c r="AY131" i="3"/>
  <c r="AY58" i="3"/>
  <c r="AY268" i="3"/>
  <c r="AY371"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07" i="3"/>
  <c r="AY42" i="3"/>
  <c r="AY168" i="3"/>
  <c r="AY366"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87" i="3"/>
  <c r="AY144" i="3"/>
  <c r="AY152" i="3"/>
  <c r="AY253" i="3"/>
  <c r="AY30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51" i="3"/>
  <c r="AY124" i="3"/>
  <c r="AY281" i="3"/>
  <c r="AY236"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34" i="3"/>
  <c r="AY95" i="3"/>
  <c r="AY111" i="3"/>
  <c r="AY382"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D3" i="33"/>
  <c r="B2" i="33" s="1"/>
  <c r="B3" i="33" s="1"/>
  <c r="C17" i="4"/>
  <c r="B4" i="52" s="1"/>
  <c r="B43" i="72" s="1"/>
  <c r="D3" i="37"/>
  <c r="D3" i="34"/>
  <c r="E6" i="6"/>
  <c r="L18" i="9"/>
  <c r="D19" i="11"/>
  <c r="C19" i="11" s="1"/>
  <c r="D14" i="12"/>
  <c r="D3" i="21"/>
  <c r="D37" i="11"/>
  <c r="C37" i="11" s="1"/>
  <c r="M18" i="9"/>
  <c r="B118" i="9" s="1"/>
  <c r="B14" i="74" s="1"/>
  <c r="C33" i="11"/>
  <c r="C39" i="11" s="1"/>
  <c r="C46" i="11" s="1"/>
  <c r="C45" i="11" s="1"/>
  <c r="I19" i="6"/>
  <c r="M27" i="6"/>
  <c r="F24" i="15"/>
  <c r="C24" i="15" s="1"/>
  <c r="F22" i="69"/>
  <c r="C44" i="69" s="1"/>
  <c r="D41" i="69" s="1"/>
  <c r="F25" i="12"/>
  <c r="C26" i="12" s="1"/>
  <c r="D25" i="12" s="1"/>
  <c r="F22" i="11"/>
  <c r="C44" i="11" s="1"/>
  <c r="D41" i="11" s="1"/>
  <c r="F65" i="40"/>
  <c r="G63" i="40"/>
  <c r="H46" i="36"/>
  <c r="AB7" i="37"/>
  <c r="T42" i="37" s="1"/>
  <c r="G42" i="37" s="1"/>
  <c r="U7" i="37"/>
  <c r="J59" i="34"/>
  <c r="W7" i="37"/>
  <c r="AC7" i="37"/>
  <c r="V42" i="37" s="1"/>
  <c r="I42" i="37" s="1"/>
  <c r="I48" i="35"/>
  <c r="I52" i="21"/>
  <c r="J52" i="21" s="1"/>
  <c r="G68" i="39"/>
  <c r="F70" i="39"/>
  <c r="AB7" i="21"/>
  <c r="T48" i="21" s="1"/>
  <c r="G48" i="21" s="1"/>
  <c r="U7" i="21"/>
  <c r="AA7" i="21"/>
  <c r="R48" i="21" s="1"/>
  <c r="S7" i="21"/>
  <c r="AA7" i="37"/>
  <c r="R42" i="37" s="1"/>
  <c r="S7" i="37"/>
  <c r="C37" i="43"/>
  <c r="C38" i="15"/>
  <c r="C32" i="15"/>
  <c r="C66" i="15"/>
  <c r="C60" i="15"/>
  <c r="C60" i="67"/>
  <c r="C66" i="67"/>
  <c r="C38" i="67"/>
  <c r="C32" i="67"/>
  <c r="F41" i="88"/>
  <c r="F41" i="86"/>
  <c r="C17" i="82"/>
  <c r="C17" i="80"/>
  <c r="C14" i="86"/>
  <c r="F41" i="82"/>
  <c r="T14" i="43" l="1"/>
  <c r="V14" i="43" s="1"/>
  <c r="C20" i="77"/>
  <c r="C35" i="77" s="1"/>
  <c r="C32" i="80"/>
  <c r="C33" i="80"/>
  <c r="F69" i="82"/>
  <c r="J29" i="82"/>
  <c r="F69" i="86"/>
  <c r="J29" i="86"/>
  <c r="F69" i="88"/>
  <c r="J29" i="88"/>
  <c r="C19" i="15"/>
  <c r="C20" i="15" s="1"/>
  <c r="C26" i="15" s="1"/>
  <c r="C60" i="82"/>
  <c r="C66" i="88"/>
  <c r="C15" i="86"/>
  <c r="C18" i="86"/>
  <c r="S20" i="6"/>
  <c r="S22" i="6"/>
  <c r="S16" i="1"/>
  <c r="E7" i="70"/>
  <c r="E9" i="70"/>
  <c r="C24" i="88"/>
  <c r="C23" i="88"/>
  <c r="C24" i="82"/>
  <c r="C44" i="68"/>
  <c r="D41" i="68" s="1"/>
  <c r="C33" i="43"/>
  <c r="E33" i="43" s="1"/>
  <c r="C36" i="43"/>
  <c r="E36" i="43" s="1"/>
  <c r="C23" i="67"/>
  <c r="C29" i="67" s="1"/>
  <c r="C33" i="67" s="1"/>
  <c r="C31" i="67" s="1"/>
  <c r="T16" i="43"/>
  <c r="V16" i="43" s="1"/>
  <c r="C29" i="43"/>
  <c r="E29" i="43" s="1"/>
  <c r="C35" i="43"/>
  <c r="E35" i="43" s="1"/>
  <c r="E41" i="77"/>
  <c r="G9" i="1" s="1"/>
  <c r="T15" i="43"/>
  <c r="V15" i="43" s="1"/>
  <c r="T5" i="43"/>
  <c r="V5" i="43" s="1"/>
  <c r="T2" i="43"/>
  <c r="V2" i="43" s="1"/>
  <c r="T8" i="43"/>
  <c r="V8" i="43" s="1"/>
  <c r="T13" i="43"/>
  <c r="V13" i="43" s="1"/>
  <c r="T3" i="43"/>
  <c r="V3" i="43" s="1"/>
  <c r="T6" i="43"/>
  <c r="V6" i="43" s="1"/>
  <c r="T9" i="43"/>
  <c r="V9" i="43" s="1"/>
  <c r="T7" i="43"/>
  <c r="V7" i="43" s="1"/>
  <c r="T12" i="43"/>
  <c r="V12" i="43" s="1"/>
  <c r="T10" i="43"/>
  <c r="V10" i="43" s="1"/>
  <c r="T11" i="43"/>
  <c r="V11" i="43" s="1"/>
  <c r="C34" i="43"/>
  <c r="E34" i="43" s="1"/>
  <c r="T4" i="43"/>
  <c r="V4" i="43" s="1"/>
  <c r="C42" i="11"/>
  <c r="C41" i="43"/>
  <c r="C26" i="69"/>
  <c r="D22" i="69" s="1"/>
  <c r="AR9" i="1"/>
  <c r="T9" i="1"/>
  <c r="AQ9" i="1"/>
  <c r="AR8" i="1"/>
  <c r="T8" i="1"/>
  <c r="AQ8" i="1"/>
  <c r="T7" i="1"/>
  <c r="AR7" i="1"/>
  <c r="AQ7" i="1"/>
  <c r="C20" i="11"/>
  <c r="C28" i="11" s="1"/>
  <c r="C27" i="11" s="1"/>
  <c r="D10" i="11"/>
  <c r="C10" i="11" s="1"/>
  <c r="D10" i="69"/>
  <c r="D20" i="12"/>
  <c r="C20" i="12" s="1"/>
  <c r="D17" i="12"/>
  <c r="C17" i="12" s="1"/>
  <c r="C14" i="12"/>
  <c r="C16" i="12" s="1"/>
  <c r="H22" i="6"/>
  <c r="H25" i="6"/>
  <c r="H20" i="6"/>
  <c r="H23" i="6"/>
  <c r="H21" i="6"/>
  <c r="M19" i="9"/>
  <c r="C118" i="9" s="1"/>
  <c r="C14" i="74" s="1"/>
  <c r="D15" i="6"/>
  <c r="D22" i="6"/>
  <c r="D24" i="6"/>
  <c r="D11" i="6"/>
  <c r="D28" i="6"/>
  <c r="D19" i="6"/>
  <c r="D8" i="6"/>
  <c r="D20" i="6"/>
  <c r="D9" i="6"/>
  <c r="D6" i="6"/>
  <c r="H26" i="6"/>
  <c r="D25" i="6"/>
  <c r="D26" i="6"/>
  <c r="D21" i="6"/>
  <c r="R21" i="6" s="1"/>
  <c r="R8" i="1" s="1"/>
  <c r="D12" i="6"/>
  <c r="D13" i="6"/>
  <c r="E61" i="40"/>
  <c r="C18" i="4"/>
  <c r="D23" i="6"/>
  <c r="R23" i="6" s="1"/>
  <c r="R10" i="1" s="1"/>
  <c r="D5" i="6"/>
  <c r="D10" i="6"/>
  <c r="D29" i="6"/>
  <c r="H24" i="6"/>
  <c r="D14" i="6"/>
  <c r="C26" i="11"/>
  <c r="D22" i="11" s="1"/>
  <c r="C25" i="11"/>
  <c r="C23" i="11"/>
  <c r="C24" i="11"/>
  <c r="C43" i="11"/>
  <c r="I27" i="6"/>
  <c r="S19" i="6"/>
  <c r="S27" i="6" s="1"/>
  <c r="H19" i="6"/>
  <c r="L19" i="9" s="1"/>
  <c r="D124" i="9"/>
  <c r="H110" i="9"/>
  <c r="D18" i="53" s="1"/>
  <c r="B35" i="72" s="1"/>
  <c r="D16" i="53"/>
  <c r="H63" i="40"/>
  <c r="G65" i="40"/>
  <c r="H68" i="39"/>
  <c r="G70" i="39"/>
  <c r="J48" i="35"/>
  <c r="I46" i="37"/>
  <c r="J46" i="37" s="1"/>
  <c r="G46" i="37"/>
  <c r="H46" i="37" s="1"/>
  <c r="G47" i="37"/>
  <c r="H47" i="37" s="1"/>
  <c r="I46" i="36"/>
  <c r="E42" i="37"/>
  <c r="R43" i="37"/>
  <c r="E48" i="21"/>
  <c r="R49" i="21"/>
  <c r="G52" i="21"/>
  <c r="H52" i="21" s="1"/>
  <c r="G53" i="21"/>
  <c r="H53" i="21" s="1"/>
  <c r="K59" i="34"/>
  <c r="L59" i="34" s="1"/>
  <c r="M59" i="34" s="1"/>
  <c r="N59" i="34" s="1"/>
  <c r="O59" i="34" s="1"/>
  <c r="H7" i="34"/>
  <c r="G37" i="43"/>
  <c r="I37" i="43" s="1"/>
  <c r="E37" i="43"/>
  <c r="D10" i="68"/>
  <c r="M21" i="88"/>
  <c r="C14" i="80"/>
  <c r="C14" i="82"/>
  <c r="F35" i="88"/>
  <c r="C37" i="77" l="1"/>
  <c r="E37" i="77" s="1"/>
  <c r="T15" i="77"/>
  <c r="V15" i="77" s="1"/>
  <c r="T3" i="77"/>
  <c r="V3" i="77" s="1"/>
  <c r="T2" i="77"/>
  <c r="V2" i="77" s="1"/>
  <c r="T4" i="77"/>
  <c r="V4" i="77" s="1"/>
  <c r="C34" i="77"/>
  <c r="G34" i="77" s="1"/>
  <c r="I34" i="77" s="1"/>
  <c r="T9" i="77"/>
  <c r="V9" i="77" s="1"/>
  <c r="T10" i="77"/>
  <c r="V10" i="77" s="1"/>
  <c r="T12" i="77"/>
  <c r="V12" i="77" s="1"/>
  <c r="T11" i="77"/>
  <c r="V11" i="77" s="1"/>
  <c r="C33" i="77"/>
  <c r="E33" i="77" s="1"/>
  <c r="T7" i="77"/>
  <c r="V7" i="77" s="1"/>
  <c r="T13" i="77"/>
  <c r="V13" i="77" s="1"/>
  <c r="T5" i="77"/>
  <c r="V5" i="77" s="1"/>
  <c r="T16" i="77"/>
  <c r="V16" i="77" s="1"/>
  <c r="T8" i="77"/>
  <c r="V8" i="77" s="1"/>
  <c r="T14" i="77"/>
  <c r="V14" i="77" s="1"/>
  <c r="T6" i="77"/>
  <c r="V6" i="77" s="1"/>
  <c r="C29" i="77"/>
  <c r="E29" i="77" s="1"/>
  <c r="C36" i="77"/>
  <c r="E36" i="77" s="1"/>
  <c r="Q49" i="67"/>
  <c r="C23" i="15"/>
  <c r="C29" i="15" s="1"/>
  <c r="Q49" i="15" s="1"/>
  <c r="G36" i="43"/>
  <c r="I36" i="43" s="1"/>
  <c r="C41" i="11"/>
  <c r="C49" i="11" s="1"/>
  <c r="C51" i="11" s="1"/>
  <c r="C19" i="86"/>
  <c r="C20" i="86" s="1"/>
  <c r="C15" i="80"/>
  <c r="C18" i="80"/>
  <c r="C18" i="82"/>
  <c r="C15" i="82"/>
  <c r="E2" i="70"/>
  <c r="J20" i="88"/>
  <c r="F63" i="88"/>
  <c r="C62" i="88" s="1"/>
  <c r="C34" i="88"/>
  <c r="C31" i="88" s="1"/>
  <c r="C29" i="88"/>
  <c r="J14" i="67"/>
  <c r="J22" i="67" s="1"/>
  <c r="C30" i="43"/>
  <c r="E30" i="43" s="1"/>
  <c r="J59" i="67"/>
  <c r="J60" i="67" s="1"/>
  <c r="L46" i="67" s="1"/>
  <c r="C13" i="67"/>
  <c r="C37" i="67" s="1"/>
  <c r="G33" i="43"/>
  <c r="I33" i="43" s="1"/>
  <c r="G35" i="43"/>
  <c r="I35" i="43" s="1"/>
  <c r="C41" i="77"/>
  <c r="G8" i="1"/>
  <c r="G34" i="43"/>
  <c r="I34" i="43" s="1"/>
  <c r="C36" i="67"/>
  <c r="J19" i="67"/>
  <c r="J17" i="67" s="1"/>
  <c r="C57" i="67"/>
  <c r="C61" i="67" s="1"/>
  <c r="C59" i="67" s="1"/>
  <c r="C33" i="15"/>
  <c r="G35" i="77"/>
  <c r="I35" i="77" s="1"/>
  <c r="E35" i="77"/>
  <c r="J59" i="15"/>
  <c r="J60" i="15" s="1"/>
  <c r="G6" i="1"/>
  <c r="H16" i="1"/>
  <c r="C38" i="43"/>
  <c r="C39" i="43"/>
  <c r="C22" i="11"/>
  <c r="C31" i="11" s="1"/>
  <c r="T16" i="1"/>
  <c r="R26" i="6"/>
  <c r="R25" i="6"/>
  <c r="R24" i="6"/>
  <c r="R20" i="6"/>
  <c r="R7" i="1" s="1"/>
  <c r="D27" i="6"/>
  <c r="R22" i="6"/>
  <c r="R9" i="1" s="1"/>
  <c r="C4" i="52"/>
  <c r="B45" i="72" s="1"/>
  <c r="A7" i="51"/>
  <c r="B7" i="72" s="1"/>
  <c r="A10" i="51"/>
  <c r="B9" i="72" s="1"/>
  <c r="D16" i="6"/>
  <c r="D30" i="6"/>
  <c r="C10" i="69"/>
  <c r="C8" i="69" s="1"/>
  <c r="C5" i="69" s="1"/>
  <c r="D19" i="69"/>
  <c r="C10" i="68"/>
  <c r="B29" i="1" s="1"/>
  <c r="D19" i="68"/>
  <c r="H27" i="6"/>
  <c r="R19" i="6"/>
  <c r="B34" i="72"/>
  <c r="D17" i="53"/>
  <c r="B36" i="72" s="1"/>
  <c r="D10" i="52"/>
  <c r="D125" i="9"/>
  <c r="D11" i="52" s="1"/>
  <c r="H14" i="74"/>
  <c r="B7" i="74" s="1"/>
  <c r="I63" i="40"/>
  <c r="H65" i="40"/>
  <c r="J7" i="34"/>
  <c r="C48" i="21"/>
  <c r="C49" i="21"/>
  <c r="B2" i="21" s="1"/>
  <c r="B3" i="21" s="1"/>
  <c r="C42" i="37"/>
  <c r="C43" i="37"/>
  <c r="B2" i="37" s="1"/>
  <c r="B3" i="37" s="1"/>
  <c r="K48" i="35"/>
  <c r="I68" i="39"/>
  <c r="H70" i="39"/>
  <c r="U7" i="34"/>
  <c r="AB7" i="34"/>
  <c r="T49" i="34" s="1"/>
  <c r="G49" i="34" s="1"/>
  <c r="E52" i="21"/>
  <c r="F52" i="21" s="1"/>
  <c r="E53" i="21"/>
  <c r="F53" i="21" s="1"/>
  <c r="I53" i="21"/>
  <c r="J53" i="21" s="1"/>
  <c r="E47" i="37"/>
  <c r="F47" i="37" s="1"/>
  <c r="E46" i="37"/>
  <c r="F46" i="37" s="1"/>
  <c r="J46" i="36"/>
  <c r="K46" i="36" s="1"/>
  <c r="L46" i="36" s="1"/>
  <c r="M46" i="36" s="1"/>
  <c r="N46" i="36" s="1"/>
  <c r="O46" i="36" s="1"/>
  <c r="J7" i="36" s="1"/>
  <c r="H7" i="36"/>
  <c r="F7" i="36"/>
  <c r="I47" i="37"/>
  <c r="J47" i="37" s="1"/>
  <c r="F7" i="34"/>
  <c r="F35" i="86"/>
  <c r="F35" i="82"/>
  <c r="M21" i="86"/>
  <c r="M21" i="82"/>
  <c r="G37" i="77" l="1"/>
  <c r="I37" i="77" s="1"/>
  <c r="G33" i="77"/>
  <c r="I33" i="77" s="1"/>
  <c r="C30" i="77"/>
  <c r="E30" i="77" s="1"/>
  <c r="G36" i="77"/>
  <c r="I36" i="77" s="1"/>
  <c r="C13" i="15"/>
  <c r="C56" i="15" s="1"/>
  <c r="C65" i="15" s="1"/>
  <c r="E34" i="77"/>
  <c r="C36" i="15"/>
  <c r="Q70" i="67"/>
  <c r="J14" i="15"/>
  <c r="J22" i="15" s="1"/>
  <c r="J19" i="15"/>
  <c r="C57" i="15"/>
  <c r="C61" i="15" s="1"/>
  <c r="J13" i="67"/>
  <c r="J23" i="67" s="1"/>
  <c r="J16" i="67" s="1"/>
  <c r="J25" i="67" s="1"/>
  <c r="C75" i="67"/>
  <c r="C52" i="11"/>
  <c r="B2" i="11" s="1"/>
  <c r="B3" i="11" s="1"/>
  <c r="C19" i="80"/>
  <c r="C20" i="80" s="1"/>
  <c r="C26" i="80" s="1"/>
  <c r="C26" i="86"/>
  <c r="C23" i="86"/>
  <c r="C19" i="82"/>
  <c r="C20" i="82" s="1"/>
  <c r="C8" i="68"/>
  <c r="C56" i="67"/>
  <c r="C65" i="67" s="1"/>
  <c r="Q48" i="67"/>
  <c r="C57" i="88"/>
  <c r="C36" i="88"/>
  <c r="J19" i="88"/>
  <c r="J17" i="88" s="1"/>
  <c r="J14" i="88"/>
  <c r="C13" i="88"/>
  <c r="Q49" i="88"/>
  <c r="J20" i="86"/>
  <c r="F63" i="86"/>
  <c r="C62" i="86" s="1"/>
  <c r="C34" i="86"/>
  <c r="C31" i="86" s="1"/>
  <c r="C75" i="15"/>
  <c r="J20" i="82"/>
  <c r="F63" i="82"/>
  <c r="C62" i="82" s="1"/>
  <c r="C34" i="82"/>
  <c r="C31" i="82" s="1"/>
  <c r="C64" i="67"/>
  <c r="Q48" i="15"/>
  <c r="J13" i="15"/>
  <c r="J23" i="15" s="1"/>
  <c r="C18" i="12"/>
  <c r="C21" i="12" s="1"/>
  <c r="C22" i="12" s="1"/>
  <c r="C30" i="12" s="1"/>
  <c r="C28" i="12" s="1"/>
  <c r="G16" i="1"/>
  <c r="H10" i="40" s="1"/>
  <c r="C38" i="77"/>
  <c r="C39" i="77"/>
  <c r="C30" i="67"/>
  <c r="C39" i="67" s="1"/>
  <c r="C40" i="67" s="1"/>
  <c r="C64" i="15"/>
  <c r="E39" i="43"/>
  <c r="G39" i="43"/>
  <c r="I39" i="43" s="1"/>
  <c r="G38" i="43"/>
  <c r="I38" i="43" s="1"/>
  <c r="E38" i="43"/>
  <c r="R27" i="6"/>
  <c r="R6" i="1"/>
  <c r="D31" i="6"/>
  <c r="I5" i="6" s="1"/>
  <c r="C19" i="68"/>
  <c r="D37" i="68"/>
  <c r="C37" i="68" s="1"/>
  <c r="C33" i="68" s="1"/>
  <c r="C19" i="69"/>
  <c r="C24" i="69" s="1"/>
  <c r="D37" i="69"/>
  <c r="C37" i="69" s="1"/>
  <c r="C33" i="69" s="1"/>
  <c r="C23" i="69"/>
  <c r="J63" i="40"/>
  <c r="I65" i="40"/>
  <c r="AC7" i="36"/>
  <c r="V36" i="36" s="1"/>
  <c r="I36" i="36" s="1"/>
  <c r="W7" i="36"/>
  <c r="S7" i="34"/>
  <c r="AA7" i="34"/>
  <c r="R49" i="34" s="1"/>
  <c r="S7" i="36"/>
  <c r="AA7" i="36"/>
  <c r="R36" i="36" s="1"/>
  <c r="G53" i="34"/>
  <c r="H53" i="34" s="1"/>
  <c r="W7" i="34"/>
  <c r="AC7" i="34"/>
  <c r="V49" i="34" s="1"/>
  <c r="I49" i="34" s="1"/>
  <c r="U7" i="36"/>
  <c r="AB7" i="36"/>
  <c r="T36" i="36" s="1"/>
  <c r="G36" i="36" s="1"/>
  <c r="J68" i="39"/>
  <c r="I70" i="39"/>
  <c r="L48" i="35"/>
  <c r="M48" i="35" s="1"/>
  <c r="N48" i="35" s="1"/>
  <c r="O48" i="35" s="1"/>
  <c r="H7" i="35" s="1"/>
  <c r="F7" i="35"/>
  <c r="M21" i="15"/>
  <c r="M21" i="80"/>
  <c r="F35" i="80"/>
  <c r="L51" i="67"/>
  <c r="F35" i="15"/>
  <c r="C37" i="15" l="1"/>
  <c r="Q70" i="15"/>
  <c r="C56" i="11"/>
  <c r="C57" i="11" s="1"/>
  <c r="C58" i="67"/>
  <c r="C67" i="67" s="1"/>
  <c r="C68" i="67" s="1"/>
  <c r="C45" i="67" s="1"/>
  <c r="C46" i="67" s="1"/>
  <c r="C29" i="86"/>
  <c r="C36" i="86" s="1"/>
  <c r="C23" i="80"/>
  <c r="C29" i="80" s="1"/>
  <c r="J14" i="80" s="1"/>
  <c r="C26" i="82"/>
  <c r="C23" i="82"/>
  <c r="J13" i="88"/>
  <c r="J23" i="88" s="1"/>
  <c r="J22" i="88"/>
  <c r="C75" i="88"/>
  <c r="Q70" i="88"/>
  <c r="C37" i="88"/>
  <c r="C30" i="88" s="1"/>
  <c r="C39" i="88" s="1"/>
  <c r="C56" i="88"/>
  <c r="C65" i="88" s="1"/>
  <c r="C64" i="88"/>
  <c r="C61" i="88"/>
  <c r="C59" i="88" s="1"/>
  <c r="F63" i="80"/>
  <c r="C62" i="80" s="1"/>
  <c r="C34" i="80"/>
  <c r="C31" i="80" s="1"/>
  <c r="J20" i="80"/>
  <c r="J20" i="15"/>
  <c r="J17" i="15" s="1"/>
  <c r="J16" i="15" s="1"/>
  <c r="J25" i="15" s="1"/>
  <c r="F63" i="15"/>
  <c r="C62" i="15" s="1"/>
  <c r="C59" i="15" s="1"/>
  <c r="C58" i="15" s="1"/>
  <c r="C67" i="15" s="1"/>
  <c r="C68" i="15" s="1"/>
  <c r="C71" i="15" s="1"/>
  <c r="C34" i="15"/>
  <c r="C31" i="15" s="1"/>
  <c r="R16" i="1"/>
  <c r="J10" i="39"/>
  <c r="W10" i="39" s="1"/>
  <c r="F10" i="40"/>
  <c r="S10" i="40" s="1"/>
  <c r="J10" i="40"/>
  <c r="AC10" i="40" s="1"/>
  <c r="F10" i="39"/>
  <c r="S10" i="39" s="1"/>
  <c r="H10" i="39"/>
  <c r="U10" i="39" s="1"/>
  <c r="E39" i="77"/>
  <c r="G39" i="77"/>
  <c r="I39" i="77" s="1"/>
  <c r="E38" i="77"/>
  <c r="G38" i="77"/>
  <c r="I38" i="77" s="1"/>
  <c r="Q69" i="67"/>
  <c r="Q68" i="67" s="1"/>
  <c r="C80" i="67"/>
  <c r="C79" i="67" s="1"/>
  <c r="C20" i="69"/>
  <c r="C28" i="69" s="1"/>
  <c r="C27" i="69" s="1"/>
  <c r="C27" i="43"/>
  <c r="AB10" i="40"/>
  <c r="U10" i="40"/>
  <c r="C26" i="43"/>
  <c r="I6" i="6"/>
  <c r="C27" i="12"/>
  <c r="C25" i="12" s="1"/>
  <c r="C32" i="12" s="1"/>
  <c r="B2" i="12" s="1"/>
  <c r="B3" i="12" s="1"/>
  <c r="C39" i="69"/>
  <c r="C42" i="69"/>
  <c r="C39" i="68"/>
  <c r="C43" i="68" s="1"/>
  <c r="C42" i="68"/>
  <c r="C24" i="68"/>
  <c r="K63" i="40"/>
  <c r="J65" i="40"/>
  <c r="U7" i="35"/>
  <c r="AB7" i="35"/>
  <c r="T38" i="35" s="1"/>
  <c r="G38" i="35" s="1"/>
  <c r="K68" i="39"/>
  <c r="J70" i="39"/>
  <c r="J7" i="35"/>
  <c r="G40" i="36"/>
  <c r="H40" i="36" s="1"/>
  <c r="G41" i="36"/>
  <c r="H41" i="36" s="1"/>
  <c r="I53" i="34"/>
  <c r="J53" i="34" s="1"/>
  <c r="I41" i="36"/>
  <c r="J41" i="36" s="1"/>
  <c r="I40" i="36"/>
  <c r="J40" i="36" s="1"/>
  <c r="AA7" i="35"/>
  <c r="R38" i="35" s="1"/>
  <c r="S7" i="35"/>
  <c r="G54" i="34"/>
  <c r="H54" i="34" s="1"/>
  <c r="E36" i="36"/>
  <c r="R37" i="36"/>
  <c r="R50" i="34"/>
  <c r="E49" i="34"/>
  <c r="Q67" i="67"/>
  <c r="L57" i="67"/>
  <c r="L60" i="67" s="1"/>
  <c r="C71" i="67"/>
  <c r="Q56" i="67"/>
  <c r="Q47" i="67"/>
  <c r="Q53" i="67" s="1"/>
  <c r="Q65" i="67"/>
  <c r="C43" i="67"/>
  <c r="D2" i="67"/>
  <c r="C83" i="67"/>
  <c r="C82" i="67" s="1"/>
  <c r="E6" i="76"/>
  <c r="C30" i="15" l="1"/>
  <c r="C39" i="15" s="1"/>
  <c r="Q69" i="15" s="1"/>
  <c r="Q68" i="15" s="1"/>
  <c r="J19" i="86"/>
  <c r="J17" i="86" s="1"/>
  <c r="C36" i="80"/>
  <c r="Q49" i="86"/>
  <c r="C57" i="86"/>
  <c r="C61" i="86" s="1"/>
  <c r="C59" i="86" s="1"/>
  <c r="J14" i="86"/>
  <c r="J22" i="86" s="1"/>
  <c r="C13" i="86"/>
  <c r="C37" i="86" s="1"/>
  <c r="C30" i="86" s="1"/>
  <c r="C39" i="86" s="1"/>
  <c r="Q49" i="80"/>
  <c r="C57" i="80"/>
  <c r="C64" i="80" s="1"/>
  <c r="C13" i="80"/>
  <c r="C56" i="80" s="1"/>
  <c r="C65" i="80" s="1"/>
  <c r="J19" i="80"/>
  <c r="J17" i="80" s="1"/>
  <c r="C29" i="82"/>
  <c r="J22" i="80"/>
  <c r="J13" i="80"/>
  <c r="J23" i="80" s="1"/>
  <c r="C58" i="88"/>
  <c r="C67" i="88" s="1"/>
  <c r="C68" i="88" s="1"/>
  <c r="C71" i="88" s="1"/>
  <c r="J16" i="88"/>
  <c r="J25" i="88" s="1"/>
  <c r="Q69" i="88"/>
  <c r="Q68" i="88" s="1"/>
  <c r="C40" i="88"/>
  <c r="C80" i="88"/>
  <c r="C79" i="88" s="1"/>
  <c r="C26" i="77"/>
  <c r="AA10" i="40"/>
  <c r="L57" i="15"/>
  <c r="L60" i="15" s="1"/>
  <c r="L46" i="15" s="1"/>
  <c r="C40" i="15"/>
  <c r="C27" i="77"/>
  <c r="W10" i="40"/>
  <c r="AA10" i="39"/>
  <c r="AC10" i="39"/>
  <c r="AB10" i="39"/>
  <c r="C25" i="69"/>
  <c r="C22" i="69" s="1"/>
  <c r="C31" i="69" s="1"/>
  <c r="B2" i="43"/>
  <c r="C41" i="68"/>
  <c r="C46" i="68"/>
  <c r="C45" i="68" s="1"/>
  <c r="C46" i="69"/>
  <c r="C45" i="69" s="1"/>
  <c r="C43" i="69"/>
  <c r="C41" i="69" s="1"/>
  <c r="L63" i="40"/>
  <c r="K65" i="40"/>
  <c r="E54" i="34"/>
  <c r="F54" i="34" s="1"/>
  <c r="E53" i="34"/>
  <c r="F53" i="34" s="1"/>
  <c r="E38" i="35"/>
  <c r="R39" i="35"/>
  <c r="C50" i="34"/>
  <c r="B2" i="34" s="1"/>
  <c r="B3" i="34" s="1"/>
  <c r="C49" i="34"/>
  <c r="E40" i="36"/>
  <c r="F40" i="36" s="1"/>
  <c r="E41" i="36"/>
  <c r="F41" i="36" s="1"/>
  <c r="I54" i="34"/>
  <c r="J54" i="34" s="1"/>
  <c r="G42" i="35"/>
  <c r="H42" i="35" s="1"/>
  <c r="C36" i="36"/>
  <c r="C37" i="36"/>
  <c r="B2" i="36" s="1"/>
  <c r="B3" i="36" s="1"/>
  <c r="W7" i="35"/>
  <c r="AC7" i="35"/>
  <c r="V38" i="35" s="1"/>
  <c r="I38" i="35" s="1"/>
  <c r="L68" i="39"/>
  <c r="K70" i="39"/>
  <c r="Q66" i="67"/>
  <c r="Q75" i="67" s="1"/>
  <c r="Q57" i="67"/>
  <c r="Q62" i="67" s="1"/>
  <c r="B2" i="67"/>
  <c r="B3" i="67"/>
  <c r="E7" i="76"/>
  <c r="B6" i="76"/>
  <c r="L51" i="15"/>
  <c r="L51" i="86"/>
  <c r="L51" i="88"/>
  <c r="Q67" i="15" l="1"/>
  <c r="C80" i="15"/>
  <c r="C79" i="15" s="1"/>
  <c r="J13" i="86"/>
  <c r="J23" i="86" s="1"/>
  <c r="J16" i="86" s="1"/>
  <c r="J25" i="86" s="1"/>
  <c r="C64" i="86"/>
  <c r="Q70" i="86"/>
  <c r="E2" i="76"/>
  <c r="Q70" i="80"/>
  <c r="C61" i="80"/>
  <c r="C59" i="80" s="1"/>
  <c r="C58" i="80" s="1"/>
  <c r="C67" i="80" s="1"/>
  <c r="C68" i="80" s="1"/>
  <c r="C71" i="80" s="1"/>
  <c r="C75" i="86"/>
  <c r="C80" i="86" s="1"/>
  <c r="C79" i="86" s="1"/>
  <c r="C40" i="86"/>
  <c r="B2" i="86" s="1"/>
  <c r="Q69" i="86"/>
  <c r="Q68" i="86" s="1"/>
  <c r="C56" i="86"/>
  <c r="C65" i="86" s="1"/>
  <c r="C58" i="86" s="1"/>
  <c r="C67" i="86" s="1"/>
  <c r="C68" i="86" s="1"/>
  <c r="C71" i="86" s="1"/>
  <c r="C75" i="80"/>
  <c r="C37" i="80"/>
  <c r="C30" i="80" s="1"/>
  <c r="C39" i="80" s="1"/>
  <c r="Q69" i="80" s="1"/>
  <c r="J16" i="80"/>
  <c r="J25" i="80" s="1"/>
  <c r="J14" i="82"/>
  <c r="C57" i="82"/>
  <c r="C13" i="82"/>
  <c r="C36" i="82"/>
  <c r="Q49" i="82"/>
  <c r="J19" i="82"/>
  <c r="J17" i="82" s="1"/>
  <c r="B2" i="77"/>
  <c r="C46" i="88"/>
  <c r="Q67" i="88"/>
  <c r="Q47" i="88"/>
  <c r="Q53" i="88" s="1"/>
  <c r="B2" i="88"/>
  <c r="Q65" i="88"/>
  <c r="Q75" i="88" s="1"/>
  <c r="Q56" i="88"/>
  <c r="Q62" i="88" s="1"/>
  <c r="C43" i="88"/>
  <c r="C83" i="88"/>
  <c r="C82" i="88" s="1"/>
  <c r="Q67" i="86"/>
  <c r="Q57" i="15"/>
  <c r="B2" i="15"/>
  <c r="C46" i="15"/>
  <c r="Q65" i="15"/>
  <c r="C43" i="15"/>
  <c r="Q56" i="15"/>
  <c r="Q47" i="15"/>
  <c r="Q53" i="15" s="1"/>
  <c r="C83" i="15"/>
  <c r="C82" i="15" s="1"/>
  <c r="Q66" i="15"/>
  <c r="B3" i="43"/>
  <c r="C49" i="69"/>
  <c r="C51" i="69" s="1"/>
  <c r="C52" i="69" s="1"/>
  <c r="B2" i="69" s="1"/>
  <c r="B3" i="69" s="1"/>
  <c r="C49" i="68"/>
  <c r="C51" i="68" s="1"/>
  <c r="L65" i="40"/>
  <c r="M63" i="40"/>
  <c r="M68" i="39"/>
  <c r="L70" i="39"/>
  <c r="C38" i="35"/>
  <c r="C39" i="35"/>
  <c r="B2" i="35" s="1"/>
  <c r="B3" i="35" s="1"/>
  <c r="I42" i="35"/>
  <c r="J42" i="35" s="1"/>
  <c r="I43" i="35"/>
  <c r="J43" i="35" s="1"/>
  <c r="G43" i="35"/>
  <c r="H43" i="35" s="1"/>
  <c r="E43" i="35"/>
  <c r="F43" i="35" s="1"/>
  <c r="E42" i="35"/>
  <c r="F42" i="35" s="1"/>
  <c r="AO8" i="1"/>
  <c r="B7" i="76"/>
  <c r="AO10" i="1"/>
  <c r="L51" i="80"/>
  <c r="AO6" i="1"/>
  <c r="Q68" i="80" l="1"/>
  <c r="Q47" i="86"/>
  <c r="Q53" i="86" s="1"/>
  <c r="B2" i="76"/>
  <c r="B3" i="76" s="1"/>
  <c r="B3" i="77"/>
  <c r="C43" i="86"/>
  <c r="Q65" i="86"/>
  <c r="Q75" i="86" s="1"/>
  <c r="C83" i="86"/>
  <c r="C82" i="86" s="1"/>
  <c r="Q56" i="86"/>
  <c r="Q62" i="86" s="1"/>
  <c r="C80" i="80"/>
  <c r="C79" i="80" s="1"/>
  <c r="C40" i="80"/>
  <c r="C43" i="80" s="1"/>
  <c r="C46" i="86"/>
  <c r="Q67" i="80"/>
  <c r="C64" i="82"/>
  <c r="C61" i="82"/>
  <c r="C59" i="82" s="1"/>
  <c r="C75" i="82"/>
  <c r="C37" i="82"/>
  <c r="C30" i="82" s="1"/>
  <c r="C39" i="82" s="1"/>
  <c r="Q70" i="82"/>
  <c r="C56" i="82"/>
  <c r="C65" i="82" s="1"/>
  <c r="J13" i="82"/>
  <c r="J23" i="82" s="1"/>
  <c r="J22" i="82"/>
  <c r="B8" i="70"/>
  <c r="B3" i="88"/>
  <c r="B10" i="70"/>
  <c r="B3" i="86"/>
  <c r="Q62" i="15"/>
  <c r="B6" i="70"/>
  <c r="Q75" i="15"/>
  <c r="B3" i="15"/>
  <c r="C57" i="69"/>
  <c r="C56" i="69" s="1"/>
  <c r="M65" i="40"/>
  <c r="N63" i="40"/>
  <c r="N68" i="39"/>
  <c r="M70" i="39"/>
  <c r="L51" i="82"/>
  <c r="C46" i="80" l="1"/>
  <c r="B2" i="80"/>
  <c r="C83" i="80"/>
  <c r="C82" i="80" s="1"/>
  <c r="Q47" i="80"/>
  <c r="Q53" i="80" s="1"/>
  <c r="Q56" i="80"/>
  <c r="Q62" i="80" s="1"/>
  <c r="Q65" i="80"/>
  <c r="Q75" i="80" s="1"/>
  <c r="J16" i="82"/>
  <c r="J25" i="82" s="1"/>
  <c r="Q67" i="82"/>
  <c r="Q69" i="82"/>
  <c r="Q68" i="82" s="1"/>
  <c r="C40" i="82"/>
  <c r="C58" i="82"/>
  <c r="C67" i="82" s="1"/>
  <c r="C68" i="82" s="1"/>
  <c r="C80" i="82"/>
  <c r="C79" i="82" s="1"/>
  <c r="O63" i="40"/>
  <c r="O65" i="40" s="1"/>
  <c r="N65" i="40"/>
  <c r="O68" i="39"/>
  <c r="O70" i="39" s="1"/>
  <c r="N70" i="39"/>
  <c r="AO7" i="1"/>
  <c r="B7" i="70" l="1"/>
  <c r="B3" i="80"/>
  <c r="B2" i="82"/>
  <c r="Q56" i="82"/>
  <c r="Q62" i="82" s="1"/>
  <c r="C83" i="82"/>
  <c r="C82" i="82" s="1"/>
  <c r="Q47" i="82"/>
  <c r="Q53" i="82" s="1"/>
  <c r="Q65" i="82"/>
  <c r="Q75" i="82" s="1"/>
  <c r="C43" i="82"/>
  <c r="C71" i="82"/>
  <c r="C46" i="82"/>
  <c r="F7" i="40"/>
  <c r="H7" i="40"/>
  <c r="J7" i="40"/>
  <c r="F7" i="39"/>
  <c r="H7" i="39"/>
  <c r="J7" i="39"/>
  <c r="AO9" i="1"/>
  <c r="B9" i="70" l="1"/>
  <c r="B2" i="70" s="1"/>
  <c r="B3" i="82"/>
  <c r="U7" i="40"/>
  <c r="AB7" i="40"/>
  <c r="T42" i="40" s="1"/>
  <c r="G42" i="40" s="1"/>
  <c r="AC7" i="40"/>
  <c r="V42" i="40" s="1"/>
  <c r="I42" i="40" s="1"/>
  <c r="W7" i="40"/>
  <c r="S7" i="40"/>
  <c r="AA7" i="40"/>
  <c r="R42" i="40" s="1"/>
  <c r="AB7" i="39"/>
  <c r="T47" i="39" s="1"/>
  <c r="G47" i="39" s="1"/>
  <c r="U7" i="39"/>
  <c r="AC7" i="39"/>
  <c r="V47" i="39" s="1"/>
  <c r="I47" i="39" s="1"/>
  <c r="W7" i="39"/>
  <c r="S7" i="39"/>
  <c r="AA7" i="39"/>
  <c r="R47" i="39" s="1"/>
  <c r="D19" i="9"/>
  <c r="D102" i="9" l="1"/>
  <c r="D21" i="9"/>
  <c r="B3" i="70"/>
  <c r="R43" i="40"/>
  <c r="E42" i="40"/>
  <c r="G47" i="40"/>
  <c r="H47" i="40" s="1"/>
  <c r="G46" i="40"/>
  <c r="H46" i="40" s="1"/>
  <c r="I46" i="40"/>
  <c r="J46" i="40" s="1"/>
  <c r="I47" i="40"/>
  <c r="J47" i="40" s="1"/>
  <c r="E47" i="39"/>
  <c r="R48" i="39"/>
  <c r="I51" i="39"/>
  <c r="J51" i="39" s="1"/>
  <c r="G51" i="39"/>
  <c r="H51" i="39" s="1"/>
  <c r="G52" i="39"/>
  <c r="H52" i="39" s="1"/>
  <c r="D20" i="9"/>
  <c r="D103" i="9" l="1"/>
  <c r="E17" i="74"/>
  <c r="F17" i="74"/>
  <c r="H109" i="9"/>
  <c r="E46" i="40"/>
  <c r="F46" i="40" s="1"/>
  <c r="E47" i="40"/>
  <c r="F47" i="40" s="1"/>
  <c r="C42" i="40"/>
  <c r="C43" i="40"/>
  <c r="E52" i="39"/>
  <c r="F52" i="39" s="1"/>
  <c r="E51" i="39"/>
  <c r="F51" i="39" s="1"/>
  <c r="I52" i="39"/>
  <c r="J52" i="39" s="1"/>
  <c r="C48" i="39"/>
  <c r="C47" i="39"/>
  <c r="E18" i="74" l="1"/>
  <c r="F18" i="74"/>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s="1"/>
  <c r="C5" i="68" s="1"/>
  <c r="C23" i="68" l="1"/>
  <c r="C20" i="68"/>
  <c r="C28" i="68" l="1"/>
  <c r="C27" i="68" s="1"/>
  <c r="C25" i="68"/>
  <c r="C22" i="68" s="1"/>
  <c r="C31" i="68" l="1"/>
  <c r="C52" i="68" s="1"/>
  <c r="B2" i="68" s="1"/>
  <c r="C19" i="9"/>
  <c r="C57" i="68" l="1"/>
  <c r="C56" i="68" s="1"/>
  <c r="C102" i="9"/>
  <c r="C21" i="9"/>
  <c r="D22" i="9"/>
  <c r="G19" i="9"/>
  <c r="B3" i="68"/>
  <c r="D34" i="9"/>
  <c r="D35" i="9"/>
  <c r="C20" i="9"/>
  <c r="C103" i="9" l="1"/>
  <c r="G20" i="9"/>
  <c r="C32" i="9"/>
  <c r="G21" i="9"/>
  <c r="C35" i="9" l="1"/>
  <c r="F118" i="9" s="1"/>
  <c r="H118" i="9"/>
  <c r="C34" i="9" l="1"/>
  <c r="D118" i="9" s="1"/>
  <c r="D4" i="52" s="1"/>
  <c r="B47" i="72" s="1"/>
  <c r="F4" i="52"/>
  <c r="B51" i="72" s="1"/>
  <c r="F119" i="9"/>
  <c r="F5" i="52" s="1"/>
  <c r="B53" i="72" s="1"/>
  <c r="G118" i="9"/>
  <c r="G4" i="52" s="1"/>
  <c r="B52" i="72" s="1"/>
  <c r="C104" i="9"/>
  <c r="H119" i="9"/>
  <c r="H5" i="52" s="1"/>
  <c r="I118" i="9"/>
  <c r="D14" i="74"/>
  <c r="H101" i="9"/>
  <c r="H4" i="52"/>
  <c r="B1" i="74"/>
  <c r="D119" i="9" l="1"/>
  <c r="D5" i="52" s="1"/>
  <c r="B49" i="72" s="1"/>
  <c r="E14" i="74"/>
  <c r="F14" i="74"/>
  <c r="M48" i="9"/>
  <c r="D45" i="9"/>
  <c r="D5" i="53"/>
  <c r="H107" i="9"/>
  <c r="E118" i="9"/>
  <c r="E4" i="52" s="1"/>
  <c r="B48" i="72" s="1"/>
  <c r="H102" i="9"/>
  <c r="D7" i="53" s="1"/>
  <c r="B21" i="72" s="1"/>
  <c r="I4" i="52"/>
  <c r="C105" i="9"/>
  <c r="B2" i="74"/>
  <c r="C8" i="74"/>
  <c r="C7" i="74"/>
  <c r="D122" i="9" l="1"/>
  <c r="D13" i="53"/>
  <c r="M49" i="9"/>
  <c r="H108" i="9"/>
  <c r="D15" i="53" s="1"/>
  <c r="B31" i="72" s="1"/>
  <c r="C85" i="9"/>
  <c r="C78" i="9"/>
  <c r="C73" i="9" s="1"/>
  <c r="D52" i="9"/>
  <c r="D53" i="9"/>
  <c r="C64" i="9"/>
  <c r="C63" i="9" s="1"/>
  <c r="C67" i="9" s="1"/>
  <c r="C68" i="9" s="1"/>
  <c r="D54" i="9" s="1"/>
  <c r="D55" i="9"/>
  <c r="M53" i="9" s="1"/>
  <c r="C93" i="9"/>
  <c r="C86" i="9" s="1"/>
  <c r="C72" i="9"/>
  <c r="C79" i="9" s="1"/>
  <c r="D6" i="53"/>
  <c r="B22" i="72" s="1"/>
  <c r="B20" i="72"/>
  <c r="D8" i="74"/>
  <c r="D7" i="74"/>
  <c r="C80" i="9" l="1"/>
  <c r="E80" i="9" s="1"/>
  <c r="E81" i="9" s="1"/>
  <c r="D14" i="53"/>
  <c r="B32" i="72" s="1"/>
  <c r="B30" i="72"/>
  <c r="C95" i="9"/>
  <c r="L68" i="9"/>
  <c r="M68" i="9" s="1"/>
  <c r="L65" i="9"/>
  <c r="M65" i="9" s="1"/>
  <c r="L66" i="9"/>
  <c r="M66" i="9" s="1"/>
  <c r="L64" i="9"/>
  <c r="M64" i="9" s="1"/>
  <c r="L63" i="9"/>
  <c r="M63" i="9" s="1"/>
  <c r="L67" i="9"/>
  <c r="M67" i="9" s="1"/>
  <c r="D123" i="9"/>
  <c r="D9" i="52" s="1"/>
  <c r="G14" i="74"/>
  <c r="D8" i="52"/>
  <c r="D16" i="74"/>
  <c r="C81" i="9" l="1"/>
  <c r="C96" i="9"/>
  <c r="E96" i="9" s="1"/>
  <c r="E97" i="9" s="1"/>
  <c r="M69" i="9"/>
  <c r="N69" i="9" s="1"/>
  <c r="F16" i="74"/>
  <c r="E16" i="74"/>
  <c r="F15" i="74"/>
  <c r="E15" i="74"/>
  <c r="B5" i="74"/>
  <c r="C97" i="9" l="1"/>
  <c r="D58" i="9" s="1"/>
  <c r="D56" i="9" s="1"/>
  <c r="M54" i="9" s="1"/>
  <c r="N57" i="9" s="1"/>
  <c r="D5" i="74"/>
  <c r="C5" i="74"/>
  <c r="N58" i="9" l="1"/>
  <c r="P57" i="9"/>
  <c r="N59" i="9"/>
  <c r="G16" i="74"/>
  <c r="N61" i="9" l="1"/>
  <c r="N60" i="9"/>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<sst xmlns="http://schemas.openxmlformats.org/spreadsheetml/2006/main" count="9532" uniqueCount="3243">
  <si>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</si>
  <si>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</si>
  <si>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</si>
  <si>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</si>
  <si>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</si>
  <si>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</si>
  <si>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</si>
  <si>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</si>
  <si>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</si>
  <si>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</si>
  <si>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</si>
  <si>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</si>
  <si>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</si>
  <si>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</si>
  <si>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</si>
  <si>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</si>
  <si>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</si>
  <si>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</si>
  <si>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</si>
  <si>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</si>
  <si>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</si>
  <si>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</si>
  <si>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</si>
  <si>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</si>
  <si>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</si>
  <si>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</si>
  <si>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</si>
  <si>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</si>
  <si>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</si>
  <si>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</si>
  <si>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</si>
  <si>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</si>
  <si>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</si>
  <si>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</si>
  <si>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</si>
  <si>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</si>
  <si>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</si>
  <si>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</si>
  <si>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</si>
  <si>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</si>
  <si>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</si>
  <si>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</si>
  <si>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</si>
  <si>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</si>
  <si>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</si>
  <si>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</si>
  <si>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</si>
  <si>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</si>
  <si>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</si>
  <si>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</si>
  <si>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</si>
  <si>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</si>
  <si>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</si>
  <si>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</si>
  <si>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</si>
  <si>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</si>
  <si>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</si>
  <si>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</si>
  <si>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</si>
  <si>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</si>
  <si>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</si>
  <si>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</si>
  <si>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</si>
  <si>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</si>
  <si>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</si>
  <si>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</si>
  <si>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</si>
  <si>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</si>
  <si>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</si>
  <si>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</si>
  <si>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</si>
  <si>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</si>
  <si>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</si>
  <si>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</si>
  <si>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</si>
  <si>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</si>
  <si>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</si>
  <si>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</si>
  <si>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</si>
  <si>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</si>
  <si>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</si>
  <si>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</si>
  <si>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</si>
  <si>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</si>
  <si>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</si>
  <si>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</si>
  <si>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</si>
  <si>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</si>
  <si>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</si>
  <si>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</si>
  <si>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</si>
  <si>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</si>
  <si>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</si>
  <si>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</si>
  <si>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</si>
  <si>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</si>
  <si>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</si>
  <si>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</si>
  <si>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</si>
  <si>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</si>
  <si>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</si>
  <si>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</si>
  <si>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</si>
  <si>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</si>
  <si>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</si>
  <si>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</si>
  <si>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</si>
  <si>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</si>
  <si>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</si>
  <si>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</si>
  <si>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</si>
  <si>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</si>
  <si>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</si>
  <si>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</si>
  <si>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</si>
  <si>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</si>
  <si>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</si>
  <si>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</si>
  <si>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</si>
  <si>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</si>
  <si>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</si>
  <si>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</si>
  <si>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</si>
  <si>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</si>
  <si>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</si>
  <si>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</si>
  <si>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</si>
  <si>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</si>
  <si>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</si>
  <si>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</si>
  <si>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</si>
  <si>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</si>
  <si>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</si>
  <si>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</si>
  <si>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</si>
  <si>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</si>
  <si>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</si>
  <si>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</si>
  <si>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</si>
  <si>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</si>
  <si>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</si>
  <si>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</si>
  <si>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</si>
  <si>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</si>
  <si>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</si>
  <si>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</si>
  <si>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</si>
  <si>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</si>
  <si>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</si>
  <si>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</si>
  <si>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</si>
  <si>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</si>
  <si>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</si>
  <si>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</si>
  <si>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</si>
  <si>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</si>
  <si>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</si>
  <si>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</si>
  <si>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</si>
  <si>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</si>
  <si>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</si>
  <si>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</si>
  <si>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</si>
  <si>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</si>
  <si>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</si>
  <si>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</si>
  <si>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</si>
  <si>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</si>
  <si>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</si>
  <si>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</si>
  <si>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</si>
  <si>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</si>
  <si>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</si>
  <si>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</si>
  <si>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</si>
  <si>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</si>
  <si>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</si>
  <si>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</si>
  <si>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</si>
  <si>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</si>
  <si>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</si>
  <si>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</si>
  <si>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</si>
  <si>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</si>
  <si>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</si>
  <si>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</si>
  <si>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</si>
  <si>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</si>
  <si>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</si>
  <si>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</si>
  <si>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</si>
  <si>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</si>
  <si>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</si>
  <si>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</si>
  <si>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</si>
  <si>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</si>
  <si>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</si>
  <si>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</si>
  <si>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</si>
  <si>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</si>
  <si>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</si>
  <si>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</si>
  <si>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</si>
  <si>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</si>
  <si>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</si>
  <si>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</si>
  <si>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</si>
  <si>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</si>
  <si>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</si>
  <si>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</si>
  <si>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</si>
  <si>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</si>
  <si>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</si>
  <si>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</si>
  <si>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</si>
  <si>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</si>
  <si>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</si>
  <si>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</si>
  <si>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</si>
  <si>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</si>
  <si>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</si>
  <si>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</si>
  <si>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</si>
  <si>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</si>
  <si>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</si>
  <si>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</si>
  <si>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</si>
  <si>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</si>
  <si>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</si>
  <si>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</si>
  <si>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</si>
  <si>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</si>
  <si>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</si>
  <si>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</si>
  <si>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</si>
  <si>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</si>
  <si>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</si>
  <si>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</si>
  <si>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</si>
  <si>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</si>
  <si>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</si>
  <si>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</si>
  <si>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</si>
  <si>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</si>
  <si>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</si>
  <si>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</si>
  <si>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</si>
  <si>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</si>
  <si>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</si>
  <si>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</si>
  <si>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</si>
  <si>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</si>
  <si>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</si>
  <si>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</si>
  <si>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</si>
  <si>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</si>
  <si>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</si>
  <si>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</si>
  <si>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</si>
  <si>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</si>
  <si>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</si>
  <si>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</si>
  <si>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</si>
  <si>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</si>
  <si>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</si>
  <si>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</si>
  <si>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</si>
  <si>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</si>
  <si>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</si>
  <si>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</si>
  <si>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</si>
  <si>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</si>
  <si>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</si>
  <si>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</si>
  <si>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</si>
  <si>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</si>
  <si>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</si>
  <si>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</si>
  <si>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</si>
  <si>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</si>
  <si>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</si>
  <si>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</si>
  <si>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</si>
  <si>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</si>
  <si>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</si>
  <si>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</si>
  <si>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</si>
  <si>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</si>
  <si>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</si>
  <si>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</si>
  <si>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</si>
  <si>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</si>
  <si>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</si>
  <si>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</si>
  <si>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</si>
  <si>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</si>
  <si>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</si>
  <si>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</si>
  <si>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</si>
  <si>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</si>
  <si>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</si>
  <si>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</si>
  <si>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</si>
  <si>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</si>
  <si>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</si>
  <si>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</si>
  <si>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</si>
  <si>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</si>
  <si>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</si>
  <si>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</si>
  <si>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</si>
  <si>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</si>
  <si>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</si>
  <si>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</si>
  <si>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</si>
  <si>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</si>
  <si>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</si>
  <si>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</si>
  <si>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</si>
  <si>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</si>
  <si>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</si>
  <si>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</si>
  <si>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</si>
  <si>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</si>
  <si>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</si>
  <si>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</si>
  <si>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</si>
  <si>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</si>
  <si>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</si>
  <si>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</si>
  <si>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</si>
  <si>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</si>
  <si>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</si>
  <si>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</si>
  <si>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</si>
  <si>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</si>
  <si>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</si>
  <si>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</si>
  <si>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</si>
  <si>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</si>
  <si>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</si>
  <si>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</si>
  <si>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</si>
  <si>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</si>
  <si>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</si>
  <si>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</si>
  <si>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</si>
  <si>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</si>
  <si>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</si>
  <si>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</si>
  <si>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</si>
  <si>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</si>
  <si>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</si>
  <si>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</si>
  <si>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</si>
  <si>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</si>
  <si>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</si>
  <si>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</si>
  <si>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</si>
  <si>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</si>
  <si>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</si>
  <si>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</si>
  <si>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</si>
  <si>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</si>
  <si>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</si>
  <si>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</si>
  <si>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</si>
  <si>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</si>
  <si>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</si>
  <si>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</si>
  <si>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</si>
  <si>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</si>
  <si>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</si>
  <si>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</si>
  <si>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</si>
  <si>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</si>
  <si>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</si>
  <si>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</si>
  <si>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</si>
  <si>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</si>
  <si>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</si>
  <si>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</si>
  <si>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</si>
  <si>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</si>
  <si>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</si>
  <si>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</si>
  <si>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</si>
  <si>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</si>
  <si>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</si>
  <si>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</si>
  <si>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</si>
  <si>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</si>
  <si>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</si>
  <si>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</si>
  <si>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</si>
  <si>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</si>
  <si>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</si>
  <si>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</si>
  <si>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</si>
  <si>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</si>
  <si>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</si>
  <si>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</si>
  <si>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</si>
  <si>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</si>
  <si>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</si>
  <si>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</si>
  <si>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</si>
  <si>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</si>
  <si>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</si>
  <si>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</si>
  <si>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</si>
  <si>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</si>
  <si>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</si>
  <si>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</si>
  <si>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</si>
  <si>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</si>
  <si>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</si>
  <si>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</si>
  <si>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</si>
  <si>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</si>
  <si>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</si>
  <si>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</si>
  <si>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</si>
  <si>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</si>
  <si>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</si>
  <si>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</si>
  <si>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</si>
  <si>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</si>
  <si>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</si>
  <si>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</si>
  <si>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</si>
  <si>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</si>
  <si>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</si>
  <si>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</si>
  <si>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</si>
  <si>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</si>
  <si>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</si>
  <si>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</si>
  <si>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</si>
  <si>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</si>
  <si>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</si>
  <si>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</si>
  <si>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</si>
  <si>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</si>
  <si>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</si>
  <si>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</si>
  <si>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</si>
  <si>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</si>
  <si>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</si>
  <si>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</si>
  <si>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</si>
  <si>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</si>
  <si>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</si>
  <si>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</si>
  <si>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</si>
  <si>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</si>
  <si>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</si>
  <si>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</si>
  <si>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</si>
  <si>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</si>
  <si>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</si>
  <si>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</si>
  <si>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</si>
  <si>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</si>
  <si>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</si>
  <si>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</si>
  <si>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</si>
  <si>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</si>
  <si>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</si>
  <si>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</si>
  <si>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</si>
  <si>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</si>
  <si>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</si>
  <si>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</si>
  <si>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</si>
  <si>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</si>
  <si>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</si>
  <si>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</si>
  <si>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</si>
  <si>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</si>
  <si>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</si>
  <si>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</si>
  <si>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</si>
  <si>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</si>
  <si>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</si>
  <si>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</si>
  <si>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</si>
  <si>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</si>
  <si>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</si>
  <si>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</si>
  <si>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</si>
  <si>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</si>
  <si>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</si>
  <si>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</si>
  <si>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</si>
  <si>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</si>
  <si>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</si>
  <si>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</si>
  <si>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</si>
  <si>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</si>
  <si>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</si>
  <si>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</si>
  <si>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</si>
  <si>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</si>
  <si>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</si>
  <si>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</si>
  <si>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</si>
  <si>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</si>
  <si>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</si>
  <si>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</si>
  <si>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</si>
  <si>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</si>
  <si>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</si>
  <si>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</si>
  <si>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</si>
  <si>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</si>
  <si>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</si>
  <si>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</si>
  <si>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</si>
  <si>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</si>
  <si>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</si>
  <si>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</si>
  <si>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</si>
  <si>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</si>
  <si>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</si>
  <si>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</si>
  <si>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</si>
  <si>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</si>
  <si>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</si>
  <si>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</si>
  <si>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</si>
  <si>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</si>
  <si>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</si>
  <si>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</si>
  <si>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</si>
  <si>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</si>
  <si>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</si>
  <si>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</si>
  <si>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</si>
  <si>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</si>
  <si>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</si>
  <si>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</si>
  <si>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</si>
  <si>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</si>
  <si>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</si>
  <si>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</si>
  <si>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</si>
  <si>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</si>
  <si>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</si>
  <si>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</si>
  <si>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</si>
  <si>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</si>
  <si>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</si>
  <si>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</si>
  <si>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</si>
  <si>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</si>
  <si>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</si>
  <si>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</si>
  <si>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</si>
  <si>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</si>
  <si>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</si>
  <si>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</si>
  <si>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</si>
  <si>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</si>
  <si>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</si>
  <si>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</si>
  <si>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</si>
  <si>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</si>
  <si>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</si>
  <si>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</si>
  <si>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</si>
  <si>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</si>
  <si>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</si>
  <si>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</si>
  <si>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</si>
  <si>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</si>
  <si>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</si>
  <si>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</si>
  <si>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</si>
  <si>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</si>
  <si>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</si>
  <si>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</si>
  <si>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</si>
  <si>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</si>
  <si>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</si>
  <si>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</si>
  <si>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</si>
  <si>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</si>
  <si>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</si>
  <si>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</si>
  <si>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</si>
  <si>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</si>
  <si>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</si>
  <si>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</si>
  <si>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</si>
  <si>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</si>
  <si>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</si>
  <si>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</si>
  <si>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</si>
  <si>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</si>
  <si>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</si>
  <si>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</si>
  <si>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</si>
  <si>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</si>
  <si>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</si>
  <si>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</si>
  <si>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</si>
  <si>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</si>
  <si>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</si>
  <si>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</si>
  <si>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</si>
  <si>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</si>
  <si>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</si>
  <si>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</si>
  <si>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</si>
  <si>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</si>
  <si>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</si>
  <si>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</si>
  <si>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</si>
  <si>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</si>
  <si>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</si>
  <si>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</si>
  <si>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</si>
  <si>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</si>
  <si>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</si>
  <si>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</si>
  <si>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</si>
  <si>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</si>
  <si>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</si>
  <si>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</si>
  <si>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</si>
  <si>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</si>
  <si>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</si>
  <si>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</si>
  <si>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</si>
  <si>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</si>
  <si>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</si>
  <si>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</si>
  <si>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</si>
  <si>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</si>
  <si>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</si>
  <si>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</si>
  <si>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</si>
  <si>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</si>
  <si>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</si>
  <si>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</si>
  <si>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</si>
  <si>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</si>
  <si>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</si>
  <si>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</si>
  <si>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</si>
  <si>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</si>
  <si>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</si>
  <si>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</si>
  <si>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</si>
  <si>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</si>
  <si>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</si>
  <si>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</si>
  <si>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</si>
  <si>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</si>
  <si>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</si>
  <si>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</si>
  <si>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</si>
  <si>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</si>
  <si>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</si>
  <si>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</si>
  <si>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</si>
  <si>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</si>
  <si>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</si>
  <si>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</si>
  <si>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</si>
  <si>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</si>
  <si>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</si>
  <si>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</si>
  <si>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</si>
  <si>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</si>
  <si>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</si>
  <si>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</si>
  <si>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</si>
  <si>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</si>
  <si>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</si>
  <si>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</si>
  <si>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</si>
  <si>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</si>
  <si>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</si>
  <si>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</si>
  <si>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</si>
  <si>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</si>
  <si>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</si>
  <si>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</si>
  <si>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</si>
  <si>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</si>
  <si>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</si>
  <si>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</si>
  <si>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</si>
  <si>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</si>
  <si>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</si>
  <si>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</si>
  <si>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</si>
  <si>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</si>
  <si>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</si>
  <si>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</si>
  <si>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</si>
  <si>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</si>
  <si>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</si>
  <si>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</si>
  <si>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</si>
  <si>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</si>
  <si>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</si>
  <si>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</si>
  <si>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</si>
  <si>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</si>
  <si>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</si>
  <si>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</si>
  <si>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</si>
  <si>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</si>
  <si>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</si>
  <si>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</si>
  <si>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</si>
  <si>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</si>
  <si>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</si>
  <si>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</si>
  <si>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</si>
  <si>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</si>
  <si>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</si>
  <si>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</si>
  <si>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</si>
  <si>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</si>
  <si>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</si>
  <si>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</si>
  <si>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</si>
  <si>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</si>
  <si>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</si>
  <si>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</si>
  <si>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</si>
  <si>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</si>
  <si>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</si>
  <si>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</si>
  <si>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</si>
  <si>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</si>
  <si>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</si>
  <si>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</si>
  <si>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</si>
  <si>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</si>
  <si>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</si>
  <si>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</si>
  <si>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</si>
  <si>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</si>
  <si>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</si>
  <si>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</si>
  <si>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</si>
  <si>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</si>
  <si>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</si>
  <si>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</si>
  <si>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</si>
  <si>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</si>
  <si>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</si>
  <si>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</si>
  <si>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</si>
  <si>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</si>
  <si>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</si>
  <si>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</si>
  <si>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</si>
  <si>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</si>
  <si>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</si>
  <si>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</si>
  <si>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</si>
  <si>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</si>
  <si>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</si>
  <si>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</si>
  <si>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</si>
  <si>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</si>
  <si>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</si>
  <si>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</si>
  <si>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</si>
  <si>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</si>
  <si>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</si>
  <si>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</si>
  <si>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</si>
  <si>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</si>
  <si>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</si>
  <si>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</si>
  <si>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</si>
  <si>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</si>
  <si>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</si>
  <si>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</si>
  <si>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</si>
  <si>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</si>
  <si>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</si>
  <si>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</si>
  <si>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</si>
  <si>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</si>
  <si>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</si>
  <si>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</si>
  <si>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</si>
  <si>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</si>
  <si>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</si>
  <si>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</si>
  <si>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</si>
  <si>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</si>
  <si>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</si>
  <si>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</si>
  <si>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</si>
  <si>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</si>
  <si>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</si>
  <si>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</si>
  <si>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</si>
  <si>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</si>
  <si>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</si>
  <si>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</si>
  <si>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</si>
  <si>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</si>
  <si>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</si>
  <si>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</si>
  <si>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</si>
  <si>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</si>
  <si>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</si>
  <si>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</si>
  <si>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</si>
  <si>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</si>
  <si>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</si>
  <si>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</si>
  <si>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</si>
  <si>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</si>
  <si>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</si>
  <si>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</si>
  <si>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</si>
  <si>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</si>
  <si>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</si>
  <si>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</si>
  <si>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</si>
  <si>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</si>
  <si>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</si>
  <si>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</si>
  <si>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</si>
  <si>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</si>
  <si>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</si>
  <si>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</si>
  <si>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</si>
  <si>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</si>
  <si>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</si>
  <si>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</si>
  <si>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</si>
  <si>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</si>
  <si>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</si>
  <si>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</si>
  <si>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</si>
  <si>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</si>
  <si>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</si>
  <si>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</si>
  <si>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</si>
  <si>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</si>
  <si>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</si>
  <si>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</si>
  <si>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</si>
  <si>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</si>
  <si>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</si>
  <si>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</si>
  <si>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</si>
  <si>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</si>
  <si>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</si>
  <si>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</si>
  <si>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</si>
  <si>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</si>
  <si>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</si>
  <si>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</si>
  <si>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</si>
  <si>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</si>
  <si>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</si>
  <si>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</si>
  <si>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</si>
  <si>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</si>
  <si>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</si>
  <si>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</si>
  <si>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</si>
  <si>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</si>
  <si>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</si>
  <si>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</si>
  <si>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</si>
  <si>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</si>
  <si>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</si>
  <si>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</si>
  <si>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</si>
  <si>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</si>
  <si>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</si>
  <si>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</si>
  <si>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</si>
  <si>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</si>
  <si>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</si>
  <si>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</si>
  <si>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</si>
  <si>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</si>
  <si>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</si>
  <si>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</si>
  <si>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</si>
  <si>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</si>
  <si>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</si>
  <si>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</si>
  <si>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</si>
  <si>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</si>
  <si>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</si>
  <si>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</si>
  <si>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</si>
  <si>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</si>
  <si>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</si>
  <si>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</si>
  <si>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</si>
  <si>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</si>
  <si>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</si>
  <si>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</si>
  <si>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</si>
  <si>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</si>
  <si>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</si>
  <si>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</si>
  <si>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</si>
  <si>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</si>
  <si>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</si>
  <si>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</si>
  <si>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</si>
  <si>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</si>
  <si>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</si>
  <si>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</si>
  <si>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</si>
  <si>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</si>
  <si>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</si>
  <si>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</si>
  <si>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</si>
  <si>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</si>
  <si>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</si>
  <si>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</si>
  <si>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</si>
  <si>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</si>
  <si>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</si>
  <si>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</si>
  <si>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</si>
  <si>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</si>
  <si>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</si>
  <si>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</si>
  <si>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</si>
  <si>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</si>
  <si>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</si>
  <si>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</si>
  <si>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</si>
  <si>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</si>
  <si>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</si>
  <si>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</si>
  <si>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</si>
  <si>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</si>
  <si>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</si>
  <si>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</si>
  <si>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</si>
  <si>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</si>
  <si>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</si>
  <si>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</si>
  <si>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</si>
  <si>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</si>
  <si>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</si>
  <si>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</si>
  <si>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</si>
  <si>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</si>
  <si>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</si>
  <si>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</si>
  <si>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</si>
  <si>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</si>
  <si>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</si>
  <si>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</si>
  <si>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</si>
  <si>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</si>
  <si>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</si>
  <si>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</si>
  <si>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</si>
  <si>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</si>
  <si>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</si>
  <si>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</si>
  <si>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</si>
  <si>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</si>
  <si>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</si>
  <si>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</si>
  <si>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</si>
  <si>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</si>
  <si>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</si>
  <si>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</si>
  <si>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</si>
  <si>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</si>
  <si>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</si>
  <si>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</si>
  <si>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</si>
  <si>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</si>
  <si>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</si>
  <si>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</si>
  <si>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</si>
  <si>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</si>
  <si>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</si>
  <si>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</si>
  <si>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</si>
  <si>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</si>
  <si>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</si>
  <si>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</si>
  <si>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</si>
  <si>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</si>
  <si>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</si>
  <si>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</si>
  <si>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</si>
  <si>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</si>
  <si>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</si>
  <si>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</si>
  <si>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</si>
  <si>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</si>
  <si>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</si>
  <si>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</si>
  <si>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</si>
  <si>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</si>
  <si>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</si>
  <si>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</si>
  <si>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</si>
  <si>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</si>
  <si>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</si>
  <si>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</si>
  <si>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</si>
  <si>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</si>
  <si>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</si>
  <si>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</si>
  <si>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</si>
  <si>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</si>
  <si>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</si>
  <si>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</si>
  <si>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</si>
  <si>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</si>
  <si>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</si>
  <si>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</si>
  <si>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</si>
  <si>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</si>
  <si>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</si>
  <si>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</si>
  <si>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</si>
  <si>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</si>
  <si>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</si>
  <si>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</si>
  <si>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</si>
  <si>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</si>
  <si>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</si>
  <si>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</si>
  <si>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</si>
  <si>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</si>
  <si>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</si>
  <si>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</si>
  <si>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</si>
  <si>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</si>
  <si>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</si>
  <si>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</si>
  <si>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</si>
  <si>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</si>
  <si>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</si>
  <si>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</si>
  <si>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</si>
  <si>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</si>
  <si>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</si>
  <si>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</si>
  <si>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</si>
  <si>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</si>
  <si>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</si>
  <si>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</si>
  <si>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</si>
  <si>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</si>
  <si>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</si>
  <si>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</si>
  <si>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</si>
  <si>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</si>
  <si>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</si>
  <si>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</si>
  <si>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</si>
  <si>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</si>
  <si>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</si>
  <si>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</si>
  <si>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</si>
  <si>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</si>
  <si>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</si>
  <si>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</si>
  <si>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</si>
  <si>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</si>
  <si>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</si>
  <si>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</si>
  <si>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</si>
  <si>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</si>
  <si>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</si>
  <si>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</si>
  <si>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</si>
  <si>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</si>
  <si>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</si>
  <si>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</si>
  <si>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</si>
  <si>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</si>
  <si>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</si>
  <si>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</si>
  <si>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</si>
  <si>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</si>
  <si>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</si>
  <si>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</si>
  <si>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</si>
  <si>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</si>
  <si>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</si>
  <si>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</si>
  <si>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</si>
  <si>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</si>
  <si>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</si>
  <si>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</si>
  <si>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</si>
  <si>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</si>
  <si>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</si>
  <si>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</si>
  <si>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</si>
  <si>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</si>
  <si>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</si>
  <si>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</si>
  <si>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</si>
  <si>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</si>
  <si>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</si>
  <si>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</si>
  <si>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</si>
  <si>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</si>
  <si>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</si>
  <si>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</si>
  <si>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</si>
  <si>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</si>
  <si>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</si>
  <si>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</si>
  <si>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</si>
  <si>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</si>
  <si>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</si>
  <si>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</si>
  <si>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</si>
  <si>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</si>
  <si>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</si>
  <si>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</si>
  <si>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</si>
  <si>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</si>
  <si>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</si>
  <si>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</si>
  <si>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</si>
  <si>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</si>
  <si>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</si>
  <si>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</si>
  <si>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</si>
  <si>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</si>
  <si>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</si>
  <si>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</si>
  <si>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</si>
  <si>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</si>
  <si>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</si>
  <si>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</si>
  <si>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</si>
  <si>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</si>
  <si>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</si>
  <si>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</si>
  <si>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</si>
  <si>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</si>
  <si>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</si>
  <si>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</si>
  <si>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</si>
  <si>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</si>
  <si>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</si>
  <si>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</si>
  <si>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</si>
  <si>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</si>
  <si>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</si>
  <si>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</si>
  <si>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</si>
  <si>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</si>
  <si>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</si>
  <si>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</si>
  <si>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</si>
  <si>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</si>
  <si>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</si>
  <si>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</si>
  <si>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</si>
  <si>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</si>
  <si>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</si>
  <si>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</si>
  <si>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</si>
  <si>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</si>
  <si>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</si>
  <si>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</si>
  <si>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</si>
  <si>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</si>
  <si>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</si>
  <si>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</si>
  <si>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</si>
  <si>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</si>
  <si>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</si>
  <si>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</si>
  <si>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</si>
  <si>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</si>
  <si>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</si>
  <si>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</si>
  <si>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</si>
  <si>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</si>
  <si>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</si>
  <si>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</si>
  <si>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</si>
  <si>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</si>
  <si>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</si>
  <si>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</si>
  <si>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</si>
  <si>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</si>
  <si>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</si>
  <si>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</si>
  <si>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</si>
  <si>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</si>
  <si>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</si>
  <si>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</si>
  <si>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</si>
  <si>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</si>
  <si>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</si>
  <si>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</si>
  <si>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</si>
  <si>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</si>
  <si>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</si>
  <si>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</si>
  <si>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</si>
  <si>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</si>
  <si>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</si>
  <si>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</si>
  <si>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</si>
  <si>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</si>
  <si>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</si>
  <si>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</si>
  <si>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</si>
  <si>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</si>
  <si>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</si>
  <si>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</si>
  <si>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</si>
  <si>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</si>
  <si>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</si>
  <si>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</si>
  <si>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</si>
  <si>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</si>
  <si>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</si>
  <si>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</si>
  <si>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</si>
  <si>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</si>
  <si>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</si>
  <si>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</si>
  <si>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</si>
  <si>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</si>
  <si>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</si>
  <si>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</si>
  <si>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</si>
  <si>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</si>
  <si>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</si>
  <si>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</si>
  <si>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</si>
  <si>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</si>
  <si>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</si>
  <si>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</si>
  <si>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</si>
  <si>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</si>
  <si>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</si>
  <si>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</si>
  <si>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</si>
  <si>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</si>
  <si>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</si>
  <si>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</si>
  <si>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</si>
  <si>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</si>
  <si>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</si>
  <si>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</si>
  <si>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</si>
  <si>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</si>
  <si>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</si>
  <si>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</si>
  <si>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</si>
  <si>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</si>
  <si>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</si>
  <si>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</si>
  <si>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</si>
  <si>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</si>
  <si>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</si>
  <si>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</si>
  <si>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</si>
  <si>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</si>
  <si>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</si>
  <si>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</si>
  <si>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</si>
  <si>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</si>
  <si>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</si>
  <si>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</si>
  <si>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</si>
  <si>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</si>
  <si>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</si>
  <si>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</si>
  <si>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</si>
  <si>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</si>
  <si>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</si>
  <si>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</si>
  <si>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</si>
  <si>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</si>
  <si>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</si>
  <si>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</si>
  <si>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</si>
  <si>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</si>
  <si>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</si>
  <si>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</si>
  <si>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</si>
  <si>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</si>
  <si>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</si>
  <si>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</si>
  <si>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</si>
  <si>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</si>
  <si>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</si>
  <si>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</si>
  <si>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</si>
  <si>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</si>
  <si>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</si>
  <si>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</si>
  <si>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</si>
  <si>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</si>
  <si>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</si>
  <si>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</si>
  <si>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</si>
  <si>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</si>
  <si>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</si>
  <si>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</si>
  <si>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</si>
  <si>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</si>
  <si>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</si>
  <si>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</si>
  <si>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</si>
  <si>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</si>
  <si>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</si>
  <si>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</si>
  <si>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</si>
  <si>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</si>
  <si>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</si>
  <si>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</si>
  <si>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</si>
  <si>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</si>
  <si>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</si>
  <si>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</si>
  <si>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</si>
  <si>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</si>
  <si>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</si>
  <si>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</si>
  <si>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</si>
  <si>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</si>
  <si>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</si>
  <si>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</si>
  <si>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</si>
  <si>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</si>
  <si>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</si>
  <si>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</si>
  <si>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</si>
  <si>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</si>
  <si>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</si>
  <si>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</si>
  <si>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</si>
  <si>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</si>
  <si>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</si>
  <si>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</si>
  <si>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</si>
  <si>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</si>
  <si>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</si>
  <si>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</si>
  <si>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</si>
  <si>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</si>
  <si>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</si>
  <si>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</si>
  <si>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</si>
  <si>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</si>
  <si>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</si>
  <si>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</si>
  <si>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</si>
  <si>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</si>
  <si>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</si>
  <si>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</si>
  <si>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</si>
  <si>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</si>
  <si>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</si>
  <si>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</si>
  <si>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</si>
  <si>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</si>
  <si>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</si>
  <si>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</si>
  <si>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</si>
  <si>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</si>
  <si>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</si>
  <si>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</si>
  <si>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</si>
  <si>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</si>
  <si>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</si>
  <si>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</si>
  <si>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</si>
  <si>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</si>
  <si>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</si>
  <si>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</si>
  <si>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</si>
  <si>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</si>
  <si>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</si>
  <si>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</si>
  <si>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</si>
  <si>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</si>
  <si>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</si>
  <si>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</si>
  <si>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</si>
  <si>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</si>
  <si>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</si>
  <si>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</si>
  <si>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</si>
  <si>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</si>
  <si>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</si>
  <si>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</si>
  <si>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</si>
  <si>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</si>
  <si>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</si>
  <si>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</si>
  <si>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</si>
  <si>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</si>
  <si>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</si>
  <si>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</si>
  <si>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</si>
  <si>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</si>
  <si>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</si>
  <si>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</si>
  <si>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</si>
  <si>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</si>
  <si>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</si>
  <si>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</si>
  <si>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</si>
  <si>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</si>
  <si>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</si>
  <si>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</si>
  <si>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</si>
  <si>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</si>
  <si>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</si>
  <si>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</si>
  <si>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</si>
  <si>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</si>
  <si>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</si>
  <si>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</si>
  <si>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</si>
  <si>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</si>
  <si>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</si>
  <si>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</si>
  <si>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</si>
  <si>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</si>
  <si>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</si>
  <si>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</si>
  <si>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</si>
  <si>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</si>
  <si>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</si>
  <si>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</si>
  <si>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</si>
  <si>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</si>
  <si>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</si>
  <si>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</si>
  <si>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</si>
  <si>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</si>
  <si>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</si>
  <si>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</si>
  <si>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</si>
  <si>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</si>
  <si>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</si>
  <si>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</si>
  <si>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</si>
  <si>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</si>
  <si>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</si>
  <si>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</si>
  <si>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</si>
  <si>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</si>
  <si>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</si>
  <si>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</si>
  <si>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</si>
  <si>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</si>
  <si>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</si>
  <si>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</si>
  <si>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</si>
  <si>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</si>
  <si>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</si>
  <si>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</si>
  <si>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</si>
  <si>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</si>
  <si>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</si>
  <si>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</si>
  <si>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</si>
  <si>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</si>
  <si>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</si>
  <si>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</si>
  <si>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</si>
  <si>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</si>
  <si>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</si>
  <si>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</si>
  <si>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</si>
  <si>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</si>
  <si>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</si>
  <si>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</si>
  <si>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</si>
  <si>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</si>
  <si>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</si>
  <si>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</si>
  <si>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</si>
  <si>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</si>
  <si>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</si>
  <si>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</si>
  <si>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</si>
  <si>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</si>
  <si>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</si>
  <si>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</si>
  <si>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</si>
  <si>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</si>
  <si>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</si>
  <si>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</si>
  <si>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</si>
  <si>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</si>
  <si>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</si>
  <si>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</si>
  <si>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</si>
  <si>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</si>
  <si>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</si>
  <si>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</si>
  <si>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</si>
  <si>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</si>
  <si>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</si>
  <si>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</si>
  <si>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</si>
  <si>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</si>
  <si>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</si>
  <si>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</si>
  <si>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</si>
  <si>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</si>
  <si>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</si>
  <si>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</si>
  <si>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</si>
  <si>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</si>
  <si>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</si>
  <si>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</si>
  <si>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</si>
  <si>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</si>
  <si>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</si>
  <si>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</si>
  <si>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</si>
  <si>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</si>
  <si>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</si>
  <si>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</si>
  <si>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</si>
  <si>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</si>
  <si>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</si>
  <si>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</si>
  <si>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</si>
  <si>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</si>
  <si>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</si>
  <si>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</si>
  <si>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</si>
  <si>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</si>
  <si>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</si>
  <si>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</si>
  <si>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</si>
  <si>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</si>
  <si>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</si>
  <si>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</si>
  <si>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</si>
  <si>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</si>
  <si>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</si>
  <si>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</si>
  <si>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</si>
  <si>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</si>
  <si>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</si>
  <si>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</si>
  <si>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</si>
  <si>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</si>
  <si>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</si>
  <si>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</si>
  <si>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</si>
  <si>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</si>
  <si>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</si>
  <si>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</si>
  <si>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</si>
  <si>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</si>
  <si>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</si>
  <si>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</si>
  <si>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</si>
  <si>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</si>
  <si>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</si>
  <si>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</si>
  <si>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</si>
  <si>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</si>
  <si>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</si>
  <si>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</si>
  <si>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</si>
  <si>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</si>
  <si>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</si>
  <si>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</si>
  <si>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</si>
  <si>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</si>
  <si>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</si>
  <si>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</si>
  <si>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</si>
  <si>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</si>
  <si>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</si>
  <si>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</si>
  <si>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</si>
  <si>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</si>
  <si>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</si>
  <si>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</si>
  <si>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</si>
  <si>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</si>
  <si>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</si>
  <si>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</si>
  <si>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</si>
  <si>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</si>
  <si>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</si>
  <si>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</si>
  <si>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</si>
  <si>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</si>
  <si>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</si>
  <si>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</si>
  <si>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</si>
  <si>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</si>
  <si>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</si>
  <si>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</si>
  <si>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</si>
  <si>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</si>
  <si>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</si>
  <si>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</si>
  <si>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</si>
  <si>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</si>
  <si>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</si>
  <si>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</si>
  <si>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</si>
  <si>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</si>
  <si>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</si>
  <si>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</si>
  <si>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</si>
  <si>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</si>
  <si>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</si>
  <si>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</si>
  <si>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</si>
  <si>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</si>
  <si>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</si>
  <si>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</si>
  <si>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</si>
  <si>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</si>
  <si>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</si>
  <si>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</si>
  <si>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</si>
  <si>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</si>
  <si>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</si>
  <si>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</si>
  <si>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</si>
  <si>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</si>
  <si>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</si>
  <si>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</si>
  <si>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</si>
  <si>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</si>
  <si>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</si>
  <si>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</si>
  <si>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</si>
  <si>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</si>
  <si>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</si>
  <si>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</si>
  <si>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</si>
  <si>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</si>
  <si>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</si>
  <si>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</si>
  <si>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</si>
  <si>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</si>
  <si>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</si>
  <si>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</si>
  <si>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</si>
  <si>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</si>
  <si>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</si>
  <si>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</si>
  <si>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</si>
  <si>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</si>
  <si>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</si>
  <si>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</si>
  <si>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</si>
  <si>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</si>
  <si>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</si>
  <si>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</si>
  <si>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</si>
  <si>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</si>
  <si>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</si>
  <si>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</si>
  <si>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</si>
  <si>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</si>
  <si>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</si>
  <si>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</si>
  <si>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</si>
  <si>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</si>
  <si>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</si>
  <si>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</si>
  <si>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</si>
  <si>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</si>
  <si>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</si>
  <si>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</si>
  <si>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</si>
  <si>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</si>
  <si>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</si>
  <si>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</si>
  <si>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</si>
  <si>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</si>
  <si>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</si>
  <si>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</si>
  <si>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</si>
  <si>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</si>
  <si>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</si>
  <si>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</si>
  <si>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</si>
  <si>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</si>
  <si>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</si>
  <si>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</si>
  <si>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</si>
  <si>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</si>
  <si>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</si>
  <si>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</si>
  <si>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</si>
  <si>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</si>
  <si>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</si>
  <si>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</si>
  <si>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</si>
  <si>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</si>
  <si>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</si>
  <si>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</si>
  <si>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</si>
  <si>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</si>
  <si>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</si>
  <si>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</si>
  <si>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</si>
  <si>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</si>
  <si>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</si>
  <si>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</si>
  <si>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</si>
  <si>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</si>
  <si>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</si>
  <si>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</si>
  <si>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</si>
  <si>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</si>
  <si>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</si>
  <si>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</si>
  <si>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</si>
  <si>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</si>
  <si>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</si>
  <si>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</si>
  <si>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</si>
  <si>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</si>
  <si>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</si>
  <si>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</si>
  <si>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</si>
  <si>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</si>
  <si>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</si>
  <si>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</si>
  <si>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</si>
  <si>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</si>
  <si>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</si>
  <si>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</si>
  <si>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</si>
  <si>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</si>
  <si>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</si>
  <si>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</si>
  <si>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</si>
  <si>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</si>
  <si>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</si>
  <si>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</si>
  <si>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</si>
  <si>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</si>
  <si>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</si>
  <si>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</si>
  <si>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</si>
  <si>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</si>
  <si>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</si>
  <si>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</si>
  <si>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</si>
  <si>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</si>
  <si>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</si>
  <si>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</si>
  <si>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</si>
  <si>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</si>
  <si>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</si>
  <si>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</si>
  <si>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</si>
  <si>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</si>
  <si>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</si>
  <si>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</si>
  <si>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</si>
  <si>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</si>
  <si>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</si>
  <si>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</si>
  <si>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</si>
  <si>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</si>
  <si>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</si>
  <si>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</si>
  <si>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</si>
  <si>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</si>
  <si>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</si>
  <si>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</si>
  <si>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</si>
  <si>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</si>
  <si>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</si>
  <si>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</si>
  <si>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</si>
  <si>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</si>
  <si>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</si>
  <si>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</si>
  <si>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</si>
  <si>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</si>
  <si>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</si>
  <si>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</si>
  <si>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</si>
  <si>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</si>
  <si>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</si>
  <si>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</si>
  <si>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</si>
  <si>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</si>
  <si>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</si>
  <si>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</si>
  <si>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</si>
  <si>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</si>
  <si>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</si>
  <si>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</si>
  <si>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</si>
  <si>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</si>
  <si>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</si>
  <si>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</si>
  <si>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</si>
  <si>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</si>
  <si>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</si>
  <si>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</si>
  <si>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</si>
  <si>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</si>
  <si>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</si>
  <si>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</si>
  <si>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</si>
  <si>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</si>
  <si>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</si>
  <si>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</si>
  <si>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</si>
  <si>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</si>
  <si>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</si>
  <si>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</si>
  <si>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</si>
  <si>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</si>
  <si>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</si>
  <si>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</si>
  <si>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</si>
  <si>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</si>
  <si>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</si>
  <si>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</si>
  <si>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</si>
  <si>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</si>
  <si>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</si>
  <si>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</si>
  <si>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</si>
  <si>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</si>
  <si>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</si>
  <si>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</si>
  <si>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</si>
  <si>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</si>
  <si>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</si>
  <si>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</si>
  <si>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</si>
  <si>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</si>
  <si>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</si>
  <si>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</si>
  <si>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</si>
  <si>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</si>
  <si>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</si>
  <si>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</si>
  <si>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</si>
  <si>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</si>
  <si>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</si>
  <si>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</si>
  <si>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</si>
  <si>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</si>
  <si>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</si>
  <si>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</si>
  <si>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</si>
  <si>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</si>
  <si>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</si>
  <si>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</si>
  <si>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</si>
  <si>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</si>
  <si>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</si>
  <si>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</si>
  <si>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</si>
  <si>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</si>
  <si>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</si>
  <si>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</si>
  <si>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</si>
  <si>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</si>
  <si>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</si>
  <si>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</si>
  <si>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</si>
  <si>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</si>
  <si>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</si>
  <si>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</si>
  <si>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</si>
  <si>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</si>
  <si>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</si>
  <si>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</si>
  <si>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</si>
  <si>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</si>
  <si>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</si>
  <si>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</si>
  <si>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</si>
  <si>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</si>
  <si>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</si>
  <si>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</si>
  <si>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</si>
  <si>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</si>
  <si>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</si>
  <si>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</si>
  <si>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</si>
  <si>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</si>
  <si>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</si>
  <si>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</si>
  <si>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</si>
  <si>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</si>
  <si>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</si>
  <si>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</si>
  <si>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</si>
  <si>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</si>
  <si>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</si>
  <si>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</si>
  <si>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</si>
  <si>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</si>
  <si>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</si>
  <si>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</si>
  <si>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</si>
  <si>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</si>
  <si>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</si>
  <si>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</si>
  <si>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</si>
  <si>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</si>
  <si>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</si>
  <si>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</si>
  <si>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</si>
  <si>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</si>
  <si>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</si>
  <si>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</si>
  <si>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</si>
  <si>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</si>
  <si>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</si>
  <si>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</si>
  <si>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</si>
  <si>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</si>
  <si>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</si>
  <si>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</si>
  <si>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</si>
  <si>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</si>
  <si>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</si>
  <si>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</si>
  <si>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</si>
  <si>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</si>
  <si>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</si>
  <si>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</si>
  <si>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</si>
  <si>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</si>
  <si>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</si>
  <si>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</si>
  <si>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</si>
  <si>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</si>
  <si>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</si>
  <si>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</si>
  <si>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</si>
  <si>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</si>
  <si>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</si>
  <si>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</si>
  <si>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</si>
  <si>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</si>
  <si>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</si>
  <si>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</si>
  <si>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</si>
  <si>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</si>
  <si>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</si>
  <si>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</si>
  <si>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</si>
  <si>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</si>
  <si>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</si>
  <si>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</si>
  <si>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</si>
  <si>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</si>
  <si>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</si>
  <si>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</si>
  <si>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</si>
  <si>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</si>
  <si>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</si>
  <si>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</si>
  <si>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</si>
  <si>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</si>
  <si>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</si>
  <si>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</si>
  <si>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</si>
  <si>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</si>
  <si>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</si>
  <si>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</si>
  <si>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</si>
  <si>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</si>
  <si>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</si>
  <si>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</si>
  <si>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</si>
  <si>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</si>
  <si>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</si>
  <si>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</si>
  <si>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</si>
  <si>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</si>
  <si>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</si>
  <si>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</si>
  <si>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</si>
  <si>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</si>
  <si>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</si>
  <si>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</si>
  <si>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</si>
  <si>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</si>
  <si>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</si>
  <si>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</si>
  <si>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</si>
  <si>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</si>
  <si>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</si>
  <si>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</si>
  <si>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</si>
  <si>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</si>
  <si>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</si>
  <si>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</si>
  <si>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</si>
  <si>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</si>
  <si>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</si>
  <si>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</si>
  <si>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</si>
  <si>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</si>
  <si>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</si>
  <si>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</si>
  <si>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</si>
  <si>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</si>
  <si>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</si>
  <si>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</si>
  <si>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</si>
  <si>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</si>
  <si>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</si>
  <si>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</si>
  <si>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</si>
  <si>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</si>
  <si>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</si>
  <si>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</si>
  <si>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</si>
  <si>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</si>
  <si>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</si>
  <si>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</si>
  <si>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</si>
  <si>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</si>
  <si>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</si>
  <si>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</si>
  <si>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</si>
  <si>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</si>
  <si>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</si>
  <si>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</si>
  <si>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</si>
  <si>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</si>
  <si>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</si>
  <si>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</si>
  <si>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</si>
  <si>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</si>
  <si>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</si>
  <si>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</si>
  <si>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</si>
  <si>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</si>
  <si>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</si>
  <si>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</si>
  <si>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</si>
  <si>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</si>
  <si>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</si>
  <si>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</si>
  <si>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</si>
  <si>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</si>
  <si>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</si>
  <si>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</si>
  <si>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</si>
  <si>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</si>
  <si>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</si>
  <si>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</si>
  <si>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</si>
  <si>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</si>
  <si>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</si>
  <si>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</si>
  <si>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</si>
  <si>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</si>
  <si>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</si>
  <si>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</si>
  <si>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</si>
  <si>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</si>
  <si>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</si>
  <si>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</si>
  <si>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</si>
  <si>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</si>
  <si>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</si>
  <si>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</si>
  <si>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</si>
  <si>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</si>
  <si>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</si>
  <si>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</si>
  <si>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</si>
  <si>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</si>
  <si>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</si>
  <si>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</si>
  <si>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</si>
  <si>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</si>
  <si>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</si>
  <si>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</si>
  <si>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</si>
  <si>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</si>
  <si>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</si>
  <si>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</si>
  <si>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</si>
  <si>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</si>
  <si>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</si>
  <si>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</si>
  <si>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</si>
  <si>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</si>
  <si>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</si>
  <si>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</si>
  <si>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</si>
  <si>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</si>
  <si>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</si>
  <si>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</si>
  <si>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</si>
  <si>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</si>
  <si>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</si>
  <si>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</si>
  <si>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</si>
  <si>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</si>
  <si>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</si>
  <si>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</si>
  <si>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</si>
  <si>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</si>
  <si>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</si>
  <si>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</si>
  <si>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</si>
  <si>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</si>
  <si>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</si>
  <si>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</si>
  <si>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</si>
  <si>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</si>
  <si>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</si>
  <si>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</si>
  <si>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</si>
  <si>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</si>
  <si>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</si>
  <si>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</si>
  <si>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</si>
  <si>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</si>
  <si>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</si>
  <si>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</si>
  <si>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</si>
  <si>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</si>
  <si>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</si>
  <si>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</si>
  <si>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</si>
  <si>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</si>
  <si>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</si>
  <si>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</si>
  <si>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</si>
  <si>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</si>
  <si>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</si>
  <si>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</si>
  <si>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</si>
  <si>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</si>
  <si>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</si>
  <si>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</si>
  <si>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</si>
  <si>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</si>
  <si>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</si>
  <si>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</si>
  <si>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</si>
  <si>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</si>
  <si>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</si>
  <si>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</si>
  <si>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</si>
  <si>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</si>
  <si>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</si>
  <si>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</si>
  <si>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</si>
  <si>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</si>
  <si>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</si>
  <si>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</si>
  <si>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</si>
  <si>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</si>
  <si>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</si>
  <si>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</si>
  <si>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</si>
  <si>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</si>
  <si>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</si>
  <si>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</si>
  <si>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</si>
  <si>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</si>
  <si>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</si>
  <si>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</si>
  <si>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</si>
  <si>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</si>
  <si>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</si>
  <si>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</si>
  <si>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</si>
  <si>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</si>
  <si>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</si>
  <si>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</si>
  <si>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</si>
  <si>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</si>
  <si>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</si>
  <si>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</si>
  <si>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</si>
  <si>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</si>
  <si>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</si>
  <si>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</si>
  <si>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</si>
  <si>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</si>
  <si>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</si>
  <si>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</si>
  <si>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</si>
  <si>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</si>
  <si>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</si>
  <si>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</si>
  <si>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</si>
  <si>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</si>
  <si>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</si>
  <si>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</si>
  <si>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</si>
  <si>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</si>
  <si>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</si>
  <si>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</si>
  <si>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</si>
  <si>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</si>
  <si>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</si>
  <si>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</si>
  <si>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</si>
  <si>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</si>
  <si>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</si>
  <si>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</si>
  <si>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</si>
  <si>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</si>
  <si>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</si>
  <si>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</si>
  <si>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</si>
  <si>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</si>
  <si>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</si>
  <si>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</si>
  <si>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</si>
  <si>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</si>
  <si>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</si>
  <si>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</si>
  <si>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</si>
  <si>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</si>
  <si>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</si>
  <si>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</si>
  <si>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</si>
  <si>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</si>
  <si>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</si>
  <si>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</si>
  <si>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</si>
  <si>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</si>
  <si>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</si>
  <si>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</si>
  <si>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</si>
  <si>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</si>
  <si>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</si>
  <si>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</si>
  <si>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</si>
  <si>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</si>
  <si>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</si>
  <si>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</si>
  <si>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</si>
  <si>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</si>
  <si>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</si>
  <si>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</si>
  <si>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</si>
  <si>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</si>
  <si>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</si>
  <si>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</si>
  <si>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</si>
  <si>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</si>
  <si>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</si>
  <si>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</si>
  <si>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</si>
  <si>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</si>
  <si>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</si>
  <si>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</si>
  <si>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</si>
  <si>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</si>
  <si>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</si>
  <si>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</si>
  <si>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</si>
  <si>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</si>
  <si>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</si>
  <si>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</si>
  <si>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</si>
  <si>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</si>
  <si>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</si>
  <si>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</si>
  <si>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</si>
  <si>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</si>
  <si>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</si>
  <si>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</si>
  <si>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</si>
  <si>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</si>
  <si>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</si>
  <si>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</si>
  <si>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</si>
  <si>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</si>
  <si>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</si>
  <si>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</si>
  <si>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</si>
  <si>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</si>
  <si>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</si>
  <si>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</si>
  <si>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</si>
  <si>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</si>
  <si>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</si>
  <si>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</si>
  <si>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</si>
  <si>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</si>
  <si>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</si>
  <si>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</si>
  <si>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</si>
  <si>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</si>
  <si>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</si>
  <si>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</si>
  <si>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</si>
  <si>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</si>
  <si>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</si>
  <si>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</si>
  <si>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</si>
  <si>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</si>
  <si>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</si>
  <si>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</si>
  <si>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</si>
  <si>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</si>
  <si>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</si>
  <si>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</si>
  <si>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</si>
  <si>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</si>
  <si>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</si>
  <si>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</si>
  <si>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</si>
  <si>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</si>
  <si>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</si>
  <si>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</si>
  <si>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</si>
  <si>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</si>
  <si>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</si>
  <si>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</si>
  <si>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</si>
  <si>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</si>
  <si>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</si>
  <si>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</si>
  <si>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</si>
  <si>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</si>
  <si>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</si>
  <si>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</si>
  <si>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</si>
  <si>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</si>
  <si>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</si>
  <si>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</si>
  <si>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</si>
  <si>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</si>
  <si>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</si>
  <si>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</si>
  <si>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</si>
  <si>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</si>
  <si>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</si>
  <si>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</si>
  <si>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</si>
  <si>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</si>
  <si>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</si>
  <si>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</si>
  <si>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</si>
  <si>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</si>
  <si>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</si>
  <si>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</si>
  <si>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</si>
  <si>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</si>
  <si>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</si>
  <si>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</si>
  <si>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</si>
  <si>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</si>
  <si>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</si>
  <si>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</si>
  <si>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</si>
  <si>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</si>
  <si>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</si>
  <si>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</si>
  <si>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</si>
  <si>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</si>
  <si>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</si>
  <si>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</si>
  <si>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</si>
  <si>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</si>
  <si>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</si>
  <si>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</si>
  <si>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</si>
  <si>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</si>
  <si>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</si>
  <si>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</si>
  <si>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</si>
  <si>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</si>
  <si>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</si>
  <si>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</si>
  <si>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</si>
  <si>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</si>
  <si>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</si>
  <si>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</si>
  <si>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</si>
  <si>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</si>
  <si>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</si>
  <si>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</si>
  <si>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</si>
  <si>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</si>
  <si>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</si>
  <si>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</si>
  <si>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</si>
  <si>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</si>
  <si>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</si>
  <si>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</si>
  <si>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</si>
  <si>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</si>
  <si>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</si>
  <si>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</si>
  <si>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</si>
  <si>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</si>
  <si>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</si>
  <si>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</si>
  <si>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</si>
  <si>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</si>
  <si>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</si>
  <si>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</si>
  <si>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</si>
  <si>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</si>
  <si>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</si>
  <si>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</si>
  <si>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</si>
  <si>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</si>
  <si>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</si>
  <si>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</si>
  <si>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</si>
  <si>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</si>
  <si>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</si>
  <si>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</si>
  <si>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</si>
  <si>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</si>
  <si>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</si>
  <si>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</si>
  <si>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</si>
  <si>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</si>
  <si>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</si>
  <si>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</si>
  <si>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</si>
  <si>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</si>
  <si>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</si>
  <si>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</si>
  <si>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</si>
  <si>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</si>
  <si>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</si>
  <si>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</si>
  <si>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</si>
  <si>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</si>
  <si>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</si>
  <si>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</si>
  <si>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</si>
  <si>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</si>
  <si>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</si>
  <si>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</si>
  <si>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</si>
  <si>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</si>
  <si>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</si>
  <si>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</si>
  <si>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</si>
  <si>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</si>
  <si>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</si>
  <si>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</si>
  <si>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</si>
  <si>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</si>
  <si>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</si>
  <si>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</si>
  <si>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</si>
  <si>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</si>
  <si>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</si>
  <si>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</si>
  <si>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</si>
  <si>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</si>
  <si>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</si>
  <si>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</si>
  <si>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</si>
  <si>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</si>
  <si>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</si>
  <si>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</si>
  <si>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</si>
  <si>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</si>
  <si>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</si>
  <si>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</si>
  <si>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</si>
  <si>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</si>
  <si>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</si>
  <si>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</si>
  <si>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</si>
  <si>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</si>
  <si>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</si>
  <si>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</si>
  <si>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</si>
  <si>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</si>
  <si>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</si>
  <si>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</si>
  <si>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</si>
  <si>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</si>
  <si>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</si>
  <si>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</si>
  <si>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</si>
  <si>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</si>
  <si>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</si>
  <si>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</si>
  <si>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</si>
  <si>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</si>
  <si>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</si>
  <si>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</si>
  <si>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</si>
  <si>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</si>
  <si>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</si>
  <si>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</si>
  <si>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</si>
  <si>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</si>
  <si>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</si>
  <si>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</si>
  <si>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</si>
  <si>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</si>
  <si>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</si>
  <si>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</si>
  <si>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</si>
  <si>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</si>
  <si>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</si>
  <si>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</si>
  <si>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</si>
  <si>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</si>
  <si>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</si>
  <si>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</si>
  <si>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</si>
  <si>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</si>
  <si>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</si>
  <si>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</si>
  <si>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</si>
  <si>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</si>
  <si>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</si>
  <si>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</si>
  <si>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</si>
  <si>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</si>
  <si>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</si>
  <si>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</si>
  <si>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</si>
  <si>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</si>
  <si>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</si>
  <si>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</si>
  <si>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</si>
  <si>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</si>
  <si>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</si>
  <si>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</si>
  <si>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</si>
  <si>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</si>
  <si>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</si>
  <si>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</si>
  <si>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</si>
  <si>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</si>
  <si>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</si>
  <si>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</si>
  <si>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</si>
  <si>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</si>
  <si>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</si>
  <si>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</si>
  <si>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</si>
  <si>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</si>
  <si>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</si>
  <si>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</si>
  <si>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</si>
  <si>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</si>
  <si>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</si>
  <si>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</si>
  <si>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</si>
  <si>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</si>
  <si>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</si>
  <si>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</si>
  <si>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</si>
  <si>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</si>
  <si>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</si>
  <si>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</si>
  <si>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</si>
  <si>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</si>
  <si>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</si>
  <si>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</si>
  <si>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</si>
  <si>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</si>
  <si>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</si>
  <si>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</si>
  <si>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</si>
  <si>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</si>
  <si>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</si>
  <si>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</si>
  <si>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</si>
  <si>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</si>
  <si>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</si>
  <si>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</si>
  <si>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</si>
  <si>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</si>
  <si>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</si>
  <si>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</si>
  <si>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</si>
  <si>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</si>
  <si>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</si>
  <si>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</si>
  <si>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</si>
  <si>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</si>
  <si>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</si>
  <si>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</si>
  <si>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</si>
  <si>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</si>
  <si>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</si>
  <si>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</si>
  <si>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</si>
  <si>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</si>
  <si>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</si>
  <si>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</si>
  <si>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</si>
  <si>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</si>
  <si>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</si>
  <si>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</si>
  <si>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</si>
  <si>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</si>
  <si>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</si>
  <si>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</si>
  <si>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</si>
  <si>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</si>
  <si>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</si>
  <si>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</si>
  <si>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</si>
  <si>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</si>
  <si>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</si>
  <si>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</si>
  <si>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</si>
  <si>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</si>
  <si>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</si>
  <si>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</si>
  <si>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</si>
  <si>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</si>
  <si>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</si>
  <si>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</si>
  <si>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</si>
  <si>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</si>
  <si>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</si>
  <si>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</si>
  <si>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</si>
  <si>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</si>
  <si>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</si>
  <si>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</si>
  <si>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</si>
  <si>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</si>
  <si>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</si>
  <si>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</si>
  <si>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</si>
  <si>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</si>
  <si>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</si>
  <si>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</si>
  <si>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</si>
  <si>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</si>
  <si>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</si>
  <si>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</si>
  <si>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</si>
  <si>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</si>
  <si>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</si>
  <si>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</si>
  <si>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</si>
  <si>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</si>
  <si>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</si>
  <si>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</si>
  <si>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</si>
  <si>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</si>
  <si>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</si>
  <si>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</si>
  <si>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</si>
  <si>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</si>
  <si>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</si>
  <si>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</si>
  <si>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</si>
  <si>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</si>
  <si>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</si>
  <si>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</si>
  <si>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</si>
  <si>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</si>
  <si>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</si>
  <si>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</si>
  <si>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</si>
  <si>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</si>
  <si>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</si>
  <si>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</si>
  <si>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</si>
  <si>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</si>
  <si>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</si>
  <si>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</si>
  <si>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</si>
  <si>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</si>
  <si>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</si>
  <si>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</si>
  <si>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</si>
  <si>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</si>
  <si>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</si>
  <si>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</si>
  <si>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</si>
  <si>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</si>
  <si>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</si>
  <si>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</si>
  <si>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</si>
  <si>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</si>
  <si>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</si>
  <si>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</si>
  <si>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</si>
  <si>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</si>
  <si>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</si>
  <si>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</si>
  <si>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</si>
  <si>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</si>
  <si>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</si>
  <si>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</si>
  <si>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</si>
  <si>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</si>
  <si>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</si>
  <si>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</si>
  <si>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</si>
  <si>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</si>
  <si>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</si>
  <si>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</si>
  <si>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</si>
  <si>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</si>
  <si>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</si>
  <si>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</si>
  <si>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</si>
  <si>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</si>
  <si>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</si>
  <si>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</si>
  <si>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</si>
  <si>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</si>
  <si>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</si>
  <si>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</si>
  <si>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</si>
  <si>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</si>
  <si>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</si>
  <si>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</si>
  <si>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</si>
  <si>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</si>
  <si>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</si>
  <si>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</si>
  <si>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</si>
  <si>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</si>
  <si>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</si>
  <si>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</si>
  <si>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</si>
  <si>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</si>
  <si>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</si>
  <si>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</si>
  <si>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</si>
  <si>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</si>
  <si>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</si>
  <si>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</si>
  <si>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</si>
  <si>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</si>
  <si>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</si>
  <si>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</si>
  <si>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</si>
  <si>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</si>
  <si>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</si>
  <si>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</si>
  <si>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</si>
  <si>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</si>
  <si>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</si>
  <si>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</si>
  <si>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</si>
  <si>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</si>
  <si>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</si>
  <si>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</si>
  <si>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</si>
  <si>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</si>
  <si>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</si>
  <si>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</si>
  <si>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</si>
  <si>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</si>
  <si>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</si>
  <si>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</si>
  <si>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</si>
  <si>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</si>
  <si>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</si>
  <si>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</si>
  <si>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</si>
  <si>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</si>
  <si>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</si>
  <si>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</si>
  <si>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</si>
  <si>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</si>
  <si>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</si>
  <si>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</si>
  <si>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</si>
  <si>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</si>
  <si>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</si>
  <si>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</si>
  <si>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</si>
  <si>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</si>
  <si>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</si>
  <si>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</si>
  <si>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</si>
  <si>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</si>
  <si>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</si>
  <si>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</si>
  <si>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</si>
  <si>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</si>
  <si>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</si>
  <si>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</si>
  <si>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</si>
  <si>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</si>
  <si>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</si>
  <si>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</si>
  <si>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</si>
  <si>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</si>
  <si>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</si>
  <si>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</si>
  <si>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</si>
  <si>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</si>
  <si>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</si>
  <si>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</si>
  <si>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</si>
  <si>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</si>
  <si>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</si>
  <si>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</si>
  <si>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</si>
  <si>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</si>
  <si>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</si>
  <si>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</si>
  <si>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</si>
  <si>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</si>
  <si>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</si>
  <si>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</si>
  <si>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</si>
  <si>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</si>
  <si>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</si>
  <si>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</si>
  <si>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</si>
  <si>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</si>
  <si>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</si>
  <si>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</si>
  <si>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</si>
  <si>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</si>
  <si>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</si>
  <si>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</si>
  <si>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</si>
  <si>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</si>
  <si>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</si>
  <si>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</si>
  <si>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</si>
  <si>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</si>
  <si>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</si>
  <si>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</si>
  <si>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</si>
  <si>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</si>
  <si>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</si>
  <si>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</si>
  <si>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</si>
  <si>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</si>
  <si>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</si>
  <si>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</si>
  <si>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</si>
  <si>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</si>
  <si>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</si>
  <si>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</si>
  <si>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</si>
  <si>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</si>
  <si>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</si>
  <si>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</si>
  <si>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</si>
  <si>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</si>
  <si>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</si>
  <si>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</si>
  <si>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</si>
  <si>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</si>
  <si>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</si>
  <si>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</si>
  <si>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</si>
  <si>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</si>
  <si>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</si>
  <si>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</si>
  <si>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</si>
  <si>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</si>
  <si>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</si>
  <si>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</si>
  <si>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</si>
  <si>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</si>
  <si>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</si>
  <si>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</si>
  <si>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</si>
  <si>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</si>
  <si>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</si>
  <si>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</si>
  <si>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</si>
  <si>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</si>
  <si>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</si>
  <si>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</si>
  <si>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</si>
  <si>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</si>
  <si>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</si>
  <si>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</si>
  <si>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</si>
  <si>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</si>
  <si>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</si>
  <si>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</si>
  <si>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</si>
  <si>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</si>
  <si>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</si>
  <si>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</si>
  <si>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</si>
  <si>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</si>
  <si>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</si>
  <si>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</si>
  <si>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</si>
  <si>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</si>
  <si>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</si>
  <si>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</si>
  <si>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</si>
  <si>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</si>
  <si>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</si>
  <si>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</si>
  <si>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</si>
  <si>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</si>
  <si>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</si>
  <si>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</si>
  <si>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</si>
  <si>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</si>
  <si>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</si>
  <si>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</si>
  <si>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</si>
  <si>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</si>
  <si>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</si>
  <si>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</si>
  <si>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</si>
  <si>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</si>
  <si>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</si>
  <si>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</si>
  <si>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</si>
  <si>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</si>
  <si>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</si>
  <si>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</si>
  <si>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</si>
  <si>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</si>
  <si>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</si>
  <si>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</si>
  <si>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</si>
  <si>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</si>
  <si>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</si>
  <si>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</si>
  <si>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</si>
  <si>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</si>
  <si>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</si>
  <si>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</si>
  <si>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</si>
  <si>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</si>
  <si>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</si>
  <si>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</si>
  <si>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</si>
  <si>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</si>
  <si>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</si>
  <si>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</si>
  <si>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</si>
  <si>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</si>
  <si>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</si>
  <si>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</si>
  <si>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</si>
  <si>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</si>
  <si>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</si>
  <si>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</si>
  <si>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</si>
  <si>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</si>
  <si>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</si>
  <si>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</si>
  <si>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</si>
  <si>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</si>
  <si>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</si>
  <si>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</si>
  <si>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</si>
  <si>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</si>
  <si>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</si>
  <si>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</si>
  <si>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</si>
  <si>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</si>
  <si>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</si>
  <si>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</si>
  <si>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</si>
  <si>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</si>
  <si>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</si>
  <si>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</si>
  <si>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</si>
  <si>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</si>
  <si>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</si>
  <si>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</si>
  <si>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</si>
  <si>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</si>
  <si>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</si>
  <si>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</si>
  <si>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</si>
  <si>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</si>
  <si>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</si>
  <si>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</si>
  <si>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</si>
  <si>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</si>
  <si>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</si>
  <si>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</si>
  <si>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</si>
  <si>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</si>
  <si>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</si>
  <si>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</si>
  <si>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</si>
  <si>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</si>
  <si>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</si>
  <si>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</si>
  <si>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</si>
  <si>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</si>
  <si>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</si>
  <si>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</si>
  <si>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</si>
  <si>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</si>
  <si>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</si>
  <si>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</si>
  <si>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</si>
  <si>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</si>
  <si>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</si>
  <si>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</si>
  <si>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</si>
  <si>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</si>
  <si>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</si>
  <si>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</si>
  <si>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</si>
  <si>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</si>
  <si>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</si>
  <si>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</si>
  <si>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</si>
  <si>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</si>
  <si>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</si>
  <si>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</si>
  <si>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</si>
  <si>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</si>
  <si>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</si>
  <si>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</si>
  <si>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</si>
  <si>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</si>
  <si>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</si>
  <si>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</si>
  <si>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</si>
  <si>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崔锴</t>
  </si>
  <si>
    <t>郑燚</t>
  </si>
  <si>
    <t>北京国美商都建设开发有限公司</t>
    <phoneticPr fontId="6" type="noConversion"/>
  </si>
  <si>
    <t>抵押</t>
  </si>
  <si>
    <t>房地产抵押价值</t>
  </si>
  <si>
    <t>北京市</t>
  </si>
  <si>
    <r>
      <rPr>
        <sz val="12"/>
        <color theme="9" tint="-0.249977111117893"/>
        <rFont val="宋体"/>
        <family val="3"/>
        <charset val="134"/>
      </rPr>
      <t>丰台区南四环西路</t>
    </r>
    <r>
      <rPr>
        <sz val="12"/>
        <color theme="9" tint="-0.249977111117893"/>
        <rFont val="Arial"/>
        <family val="2"/>
      </rPr>
      <t>182</t>
    </r>
    <r>
      <rPr>
        <sz val="12"/>
        <color theme="9" tint="-0.249977111117893"/>
        <rFont val="宋体"/>
        <family val="3"/>
        <charset val="134"/>
      </rPr>
      <t>号</t>
    </r>
    <phoneticPr fontId="6" type="noConversion"/>
  </si>
  <si>
    <t>企业</t>
  </si>
  <si>
    <t>出让</t>
  </si>
  <si>
    <t>商业、综合、地下车库、地下仓储</t>
    <phoneticPr fontId="6" type="noConversion"/>
  </si>
  <si>
    <r>
      <rPr>
        <sz val="12"/>
        <color theme="9" tint="-0.249977111117893"/>
        <rFont val="宋体"/>
        <family val="3"/>
        <charset val="134"/>
      </rPr>
      <t>商业</t>
    </r>
    <r>
      <rPr>
        <sz val="12"/>
        <color theme="9" tint="-0.249977111117893"/>
        <rFont val="Arial"/>
        <family val="2"/>
      </rPr>
      <t>26</t>
    </r>
    <r>
      <rPr>
        <sz val="12"/>
        <color theme="9" tint="-0.249977111117893"/>
        <rFont val="宋体"/>
        <family val="3"/>
        <charset val="134"/>
      </rPr>
      <t>年、综合、地下车库及地下仓储</t>
    </r>
    <r>
      <rPr>
        <sz val="12"/>
        <color theme="9" tint="-0.249977111117893"/>
        <rFont val="Arial"/>
        <family val="2"/>
      </rPr>
      <t>36</t>
    </r>
    <r>
      <rPr>
        <sz val="12"/>
        <color theme="9" tint="-0.249977111117893"/>
        <rFont val="宋体"/>
        <family val="3"/>
        <charset val="134"/>
      </rPr>
      <t>年</t>
    </r>
    <phoneticPr fontId="6" type="noConversion"/>
  </si>
  <si>
    <t>综合项目（商业、办公）</t>
  </si>
  <si>
    <t>现房</t>
  </si>
  <si>
    <t>通路</t>
  </si>
  <si>
    <t>通电</t>
  </si>
  <si>
    <t>通讯</t>
  </si>
  <si>
    <t>通上水</t>
  </si>
  <si>
    <t>通下水</t>
  </si>
  <si>
    <r>
      <t>A</t>
    </r>
    <r>
      <rPr>
        <sz val="10"/>
        <color indexed="8"/>
        <rFont val="宋体"/>
        <family val="3"/>
        <charset val="134"/>
      </rPr>
      <t>区</t>
    </r>
    <phoneticPr fontId="3" type="noConversion"/>
  </si>
  <si>
    <t>是</t>
  </si>
  <si>
    <t>地上</t>
  </si>
  <si>
    <t>酒店</t>
  </si>
  <si>
    <t>地下</t>
  </si>
  <si>
    <t>车库</t>
  </si>
  <si>
    <t>仓储</t>
  </si>
  <si>
    <t>商业</t>
    <phoneticPr fontId="7" type="noConversion"/>
  </si>
  <si>
    <t>酒店</t>
    <phoneticPr fontId="7" type="noConversion"/>
  </si>
  <si>
    <t>地下车库</t>
    <phoneticPr fontId="7" type="noConversion"/>
  </si>
  <si>
    <t>地下仓储</t>
    <phoneticPr fontId="7" type="noConversion"/>
  </si>
  <si>
    <t>成新度</t>
  </si>
  <si>
    <t>项目全部</t>
  </si>
  <si>
    <t>成本法</t>
  </si>
  <si>
    <t>不临58条商业街</t>
  </si>
  <si>
    <t>平整</t>
  </si>
  <si>
    <t>与级别开发程度不一致</t>
  </si>
  <si>
    <t>按公示增长率计算</t>
  </si>
  <si>
    <t>较好</t>
  </si>
  <si>
    <t>好</t>
  </si>
  <si>
    <t>一般</t>
  </si>
  <si>
    <t>容积率修正</t>
  </si>
  <si>
    <t>未包含在土地购买价格中</t>
  </si>
  <si>
    <t>全部缴纳</t>
  </si>
  <si>
    <t>已包含在土地取得成本中</t>
  </si>
  <si>
    <t>押一</t>
  </si>
  <si>
    <t>按租金收入计税</t>
  </si>
  <si>
    <t>钢混</t>
  </si>
  <si>
    <t>非生产用房</t>
  </si>
  <si>
    <t>1层</t>
    <phoneticPr fontId="143" type="noConversion"/>
  </si>
  <si>
    <t>2层</t>
  </si>
  <si>
    <t>3层</t>
  </si>
  <si>
    <t>4层</t>
  </si>
  <si>
    <t>5层</t>
  </si>
  <si>
    <t>6层</t>
  </si>
  <si>
    <t>7层</t>
  </si>
  <si>
    <t>商业</t>
    <phoneticPr fontId="143" type="noConversion"/>
  </si>
  <si>
    <t>租金</t>
    <phoneticPr fontId="143" type="noConversion"/>
  </si>
  <si>
    <t>收益法(酒店)</t>
  </si>
  <si>
    <t>收益法(酒店)</t>
    <phoneticPr fontId="16" type="noConversion"/>
  </si>
  <si>
    <t>自定义</t>
  </si>
  <si>
    <t>收益法(车库)</t>
  </si>
  <si>
    <t>收益法(车库)</t>
    <phoneticPr fontId="16" type="noConversion"/>
  </si>
  <si>
    <t>地下仓储</t>
  </si>
  <si>
    <t>收益法(仓储)</t>
  </si>
  <si>
    <t>收益法(仓储)</t>
    <phoneticPr fontId="16" type="noConversion"/>
  </si>
  <si>
    <t>售价</t>
  </si>
  <si>
    <t>2019-1-0375-P01DYGJ1</t>
    <phoneticPr fontId="6" type="noConversion"/>
  </si>
  <si>
    <t>渤海银行北京分行安贞支行</t>
    <phoneticPr fontId="6" type="noConversion"/>
  </si>
  <si>
    <t>会展</t>
  </si>
  <si>
    <t>会展</t>
    <phoneticPr fontId="7" type="noConversion"/>
  </si>
  <si>
    <t>会展</t>
    <phoneticPr fontId="16" type="noConversion"/>
  </si>
  <si>
    <t>商务金融用地（商业类）</t>
  </si>
  <si>
    <t>其他商服用地（指展览馆、会展中心等用地）</t>
  </si>
  <si>
    <t>燃气</t>
  </si>
  <si>
    <t>基准地价修正（商业）</t>
  </si>
  <si>
    <t>基准地价修正（商业）</t>
    <phoneticPr fontId="16" type="noConversion"/>
  </si>
  <si>
    <t>基准地价修正(办公)</t>
  </si>
  <si>
    <t>基准地价修正(办公)</t>
    <phoneticPr fontId="16" type="noConversion"/>
  </si>
  <si>
    <t>收益法（商业）</t>
  </si>
  <si>
    <t>收益法（商业）</t>
    <phoneticPr fontId="16" type="noConversion"/>
  </si>
  <si>
    <t>收益法(会展)</t>
  </si>
  <si>
    <t>收益法(会展)</t>
    <phoneticPr fontId="16" type="noConversion"/>
  </si>
  <si>
    <t>收益法（汇总）</t>
  </si>
  <si>
    <t>会展</t>
    <phoneticPr fontId="143" type="noConversion"/>
  </si>
  <si>
    <t>车库</t>
    <phoneticPr fontId="143" type="noConversion"/>
  </si>
  <si>
    <t>库房</t>
    <phoneticPr fontId="143" type="noConversion"/>
  </si>
  <si>
    <t>酒店</t>
    <phoneticPr fontId="143"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</si>
  <si>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</si>
  <si>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</si>
  <si>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</si>
  <si>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</si>
  <si>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</si>
  <si>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</si>
  <si>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</si>
  <si>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</si>
  <si>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</si>
  <si>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</si>
  <si>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</si>
  <si>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</si>
  <si>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</si>
  <si>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</si>
  <si>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</si>
  <si>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</si>
  <si>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</si>
  <si>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</si>
  <si>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</si>
  <si>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</si>
  <si>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</si>
  <si>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</si>
  <si>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</si>
  <si>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</si>
  <si>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</si>
  <si>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</si>
  <si>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</si>
  <si>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</si>
  <si>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</si>
  <si>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</si>
  <si>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</si>
  <si>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</si>
  <si>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</si>
  <si>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</si>
  <si>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</si>
  <si>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</si>
  <si>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</si>
  <si>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</si>
  <si>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</si>
  <si>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</si>
  <si>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</si>
  <si>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</si>
  <si>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</si>
  <si>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</si>
  <si>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</si>
  <si>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</si>
  <si>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</si>
  <si>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</si>
  <si>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</si>
  <si>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</si>
  <si>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</si>
  <si>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</si>
  <si>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</si>
  <si>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</si>
  <si>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</si>
  <si>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</si>
  <si>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</si>
  <si>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</si>
  <si>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丽泽商务区</t>
    <phoneticPr fontId="3" type="noConversion"/>
  </si>
  <si>
    <t>花乡四合庄</t>
    <phoneticPr fontId="3" type="noConversion"/>
  </si>
  <si>
    <t>商业、综合、地下车库、地下仓储</t>
  </si>
  <si>
    <t>商业、办公</t>
  </si>
  <si>
    <t>商业、办公</t>
    <phoneticPr fontId="31" type="noConversion"/>
  </si>
  <si>
    <t>商业、综合、地下车库、地下仓储</t>
    <phoneticPr fontId="31" type="noConversion"/>
  </si>
  <si>
    <t>2016-1</t>
    <phoneticPr fontId="31" type="noConversion"/>
  </si>
  <si>
    <t>2015-4</t>
    <phoneticPr fontId="31" type="noConversion"/>
  </si>
  <si>
    <t>2015-3</t>
    <phoneticPr fontId="31" type="noConversion"/>
  </si>
  <si>
    <t>2015-2</t>
    <phoneticPr fontId="31" type="noConversion"/>
  </si>
  <si>
    <t>2015-1</t>
    <phoneticPr fontId="31" type="noConversion"/>
  </si>
  <si>
    <r>
      <t>50</t>
    </r>
    <r>
      <rPr>
        <sz val="11"/>
        <color indexed="8"/>
        <rFont val="宋体"/>
        <family val="3"/>
        <charset val="134"/>
      </rPr>
      <t>、</t>
    </r>
    <r>
      <rPr>
        <sz val="11"/>
        <color indexed="8"/>
        <rFont val="Arial"/>
        <family val="2"/>
      </rPr>
      <t>40</t>
    </r>
    <phoneticPr fontId="31" type="noConversion"/>
  </si>
  <si>
    <r>
      <t>36</t>
    </r>
    <r>
      <rPr>
        <sz val="11"/>
        <color indexed="8"/>
        <rFont val="宋体"/>
        <family val="3"/>
        <charset val="134"/>
      </rPr>
      <t>、</t>
    </r>
    <r>
      <rPr>
        <sz val="11"/>
        <color indexed="8"/>
        <rFont val="Arial"/>
        <family val="2"/>
      </rPr>
      <t>26</t>
    </r>
    <phoneticPr fontId="31" type="noConversion"/>
  </si>
  <si>
    <t>自持</t>
    <phoneticPr fontId="31" type="noConversion"/>
  </si>
  <si>
    <t>无</t>
    <phoneticPr fontId="31" type="noConversion"/>
  </si>
  <si>
    <t>100%自持</t>
    <phoneticPr fontId="31" type="noConversion"/>
  </si>
  <si>
    <r>
      <t>100%</t>
    </r>
    <r>
      <rPr>
        <sz val="11"/>
        <color indexed="8"/>
        <rFont val="宋体"/>
        <family val="3"/>
        <charset val="134"/>
      </rPr>
      <t>自持</t>
    </r>
    <phoneticPr fontId="31" type="noConversion"/>
  </si>
  <si>
    <t>七通</t>
  </si>
  <si>
    <t>高速公路</t>
    <phoneticPr fontId="31" type="noConversion"/>
  </si>
  <si>
    <t>城市快速路</t>
  </si>
  <si>
    <t>城市快速路</t>
    <phoneticPr fontId="31" type="noConversion"/>
  </si>
  <si>
    <t>城市主干道</t>
  </si>
  <si>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</si>
  <si>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</si>
  <si>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</si>
  <si>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</si>
  <si>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</si>
  <si>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</si>
  <si>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</si>
  <si>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</si>
  <si>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</si>
  <si>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</si>
  <si>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</si>
  <si>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</si>
  <si>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</si>
  <si>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</si>
  <si>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</si>
  <si>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</si>
  <si>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</si>
  <si>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</si>
  <si>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</si>
  <si>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</si>
  <si>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较好</t>
    <phoneticPr fontId="31" type="noConversion"/>
  </si>
  <si>
    <t>住宅</t>
  </si>
  <si>
    <t>成本比率</t>
  </si>
  <si>
    <t>建筑面积</t>
  </si>
  <si>
    <t>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</si>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</sst>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7" fontId="61" fillId="0" borderId="1" xfId="8" applyNumberFormat="1" applyFont="1" applyFill="1" applyBorder="1" applyAlignment="1" applyProtection="1">
      <alignment horizontal="center" vertical="center" wrapText="1"/>
      <protection locked="0"/>
    </xf>
    <xf numFmtId="0" fontId="99" fillId="0" borderId="0" xfId="0" applyFont="1">
      <alignment vertical="center"/>
    </xf>
    <xf numFmtId="0" fontId="47" fillId="17" borderId="23" xfId="0" applyFont="1" applyFill="1" applyBorder="1" applyAlignment="1" applyProtection="1">
      <alignment horizontal="center" vertical="center"/>
      <protection locked="0"/>
    </xf>
    <xf numFmtId="0" fontId="56" fillId="0" borderId="0" xfId="17"/>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10</xdr:col>
      <xdr:colOff>465841</xdr:colOff>
      <xdr:row>12</xdr:row>
      <xdr:rowOff>114049</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61925"/>
          <a:ext cx="7076191" cy="2009524"/>
        </a:xfrm>
        <a:prstGeom prst="rect">
          <a:avLst/>
        </a:prstGeom>
      </xdr:spPr>
    </xdr:pic>
    <xdr:clientData/>
  </xdr:twoCellAnchor>
  <xdr:twoCellAnchor editAs="oneCell">
    <xdr:from>
      <xdr:col>0</xdr:col>
      <xdr:colOff>180975</xdr:colOff>
      <xdr:row>12</xdr:row>
      <xdr:rowOff>142875</xdr:rowOff>
    </xdr:from>
    <xdr:to>
      <xdr:col>10</xdr:col>
      <xdr:colOff>494404</xdr:colOff>
      <xdr:row>24</xdr:row>
      <xdr:rowOff>104523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200275"/>
          <a:ext cx="7171429" cy="2019048"/>
        </a:xfrm>
        <a:prstGeom prst="rect">
          <a:avLst/>
        </a:prstGeom>
      </xdr:spPr>
    </xdr:pic>
    <xdr:clientData/>
  </xdr:twoCellAnchor>
  <xdr:twoCellAnchor editAs="oneCell">
    <xdr:from>
      <xdr:col>0</xdr:col>
      <xdr:colOff>257175</xdr:colOff>
      <xdr:row>25</xdr:row>
      <xdr:rowOff>0</xdr:rowOff>
    </xdr:from>
    <xdr:to>
      <xdr:col>10</xdr:col>
      <xdr:colOff>475366</xdr:colOff>
      <xdr:row>46</xdr:row>
      <xdr:rowOff>75741</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4286250"/>
          <a:ext cx="7076191" cy="3676191"/>
        </a:xfrm>
        <a:prstGeom prst="rect">
          <a:avLst/>
        </a:prstGeom>
      </xdr:spPr>
    </xdr:pic>
    <xdr:clientData/>
  </xdr:twoCellAnchor>
  <xdr:twoCellAnchor editAs="oneCell">
    <xdr:from>
      <xdr:col>0</xdr:col>
      <xdr:colOff>390525</xdr:colOff>
      <xdr:row>48</xdr:row>
      <xdr:rowOff>38100</xdr:rowOff>
    </xdr:from>
    <xdr:to>
      <xdr:col>13</xdr:col>
      <xdr:colOff>122745</xdr:colOff>
      <xdr:row>58</xdr:row>
      <xdr:rowOff>114076</xdr:rowOff>
    </xdr:to>
    <xdr:pic>
      <xdr:nvPicPr>
        <xdr:cNvPr id="5" name="图片 4"/>
        <xdr:cNvPicPr>
          <a:picLocks noChangeAspect="1"/>
        </xdr:cNvPicPr>
      </xdr:nvPicPr>
      <xdr:blipFill>
        <a:blip xmlns:r="http://schemas.openxmlformats.org/officeDocument/2006/relationships" r:embed="rId4"/>
        <a:stretch>
          <a:fillRect/>
        </a:stretch>
      </xdr:blipFill>
      <xdr:spPr>
        <a:xfrm>
          <a:off x="390525" y="8267700"/>
          <a:ext cx="8647620" cy="1790476"/>
        </a:xfrm>
        <a:prstGeom prst="rect">
          <a:avLst/>
        </a:prstGeom>
      </xdr:spPr>
    </xdr:pic>
    <xdr:clientData/>
  </xdr:twoCellAnchor>
  <xdr:twoCellAnchor editAs="oneCell">
    <xdr:from>
      <xdr:col>0</xdr:col>
      <xdr:colOff>438150</xdr:colOff>
      <xdr:row>58</xdr:row>
      <xdr:rowOff>114300</xdr:rowOff>
    </xdr:from>
    <xdr:to>
      <xdr:col>13</xdr:col>
      <xdr:colOff>341798</xdr:colOff>
      <xdr:row>69</xdr:row>
      <xdr:rowOff>47398</xdr:rowOff>
    </xdr:to>
    <xdr:pic>
      <xdr:nvPicPr>
        <xdr:cNvPr id="6" name="图片 5"/>
        <xdr:cNvPicPr>
          <a:picLocks noChangeAspect="1"/>
        </xdr:cNvPicPr>
      </xdr:nvPicPr>
      <xdr:blipFill>
        <a:blip xmlns:r="http://schemas.openxmlformats.org/officeDocument/2006/relationships" r:embed="rId5"/>
        <a:stretch>
          <a:fillRect/>
        </a:stretch>
      </xdr:blipFill>
      <xdr:spPr>
        <a:xfrm>
          <a:off x="438150" y="10058400"/>
          <a:ext cx="8819048" cy="1819048"/>
        </a:xfrm>
        <a:prstGeom prst="rect">
          <a:avLst/>
        </a:prstGeom>
      </xdr:spPr>
    </xdr:pic>
    <xdr:clientData/>
  </xdr:twoCellAnchor>
  <xdr:twoCellAnchor editAs="oneCell">
    <xdr:from>
      <xdr:col>0</xdr:col>
      <xdr:colOff>438150</xdr:colOff>
      <xdr:row>69</xdr:row>
      <xdr:rowOff>38100</xdr:rowOff>
    </xdr:from>
    <xdr:to>
      <xdr:col>13</xdr:col>
      <xdr:colOff>313227</xdr:colOff>
      <xdr:row>79</xdr:row>
      <xdr:rowOff>142648</xdr:rowOff>
    </xdr:to>
    <xdr:pic>
      <xdr:nvPicPr>
        <xdr:cNvPr id="7" name="图片 6"/>
        <xdr:cNvPicPr>
          <a:picLocks noChangeAspect="1"/>
        </xdr:cNvPicPr>
      </xdr:nvPicPr>
      <xdr:blipFill>
        <a:blip xmlns:r="http://schemas.openxmlformats.org/officeDocument/2006/relationships" r:embed="rId6"/>
        <a:stretch>
          <a:fillRect/>
        </a:stretch>
      </xdr:blipFill>
      <xdr:spPr>
        <a:xfrm>
          <a:off x="438150" y="11868150"/>
          <a:ext cx="8790477" cy="1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10</xdr:col>
      <xdr:colOff>132199</xdr:colOff>
      <xdr:row>52</xdr:row>
      <xdr:rowOff>37354</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9209524" cy="5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2654;&#21830;&#37117;B&#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2654;&#21830;&#37117;B&#21306;&#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基准地价修正（商业）"/>
      <sheetName val="基准地价修正(办公)"/>
      <sheetName val="基准地价（汇总）"/>
      <sheetName val="成本法 (元)"/>
      <sheetName val="假设开发法"/>
      <sheetName val="收益法（汇总）"/>
      <sheetName val="收益法（商业）"/>
      <sheetName val="收益法(会展)"/>
      <sheetName val="收益法(车库)"/>
      <sheetName val="收益法(仓储)"/>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336406</v>
          </cell>
          <cell r="G14">
            <v>336406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基准地价修正（商业）"/>
      <sheetName val="基准地价修正(办公)"/>
      <sheetName val="基准地价（汇总）"/>
      <sheetName val="成本法 (元)"/>
      <sheetName val="假设开发法"/>
      <sheetName val="收益法（汇总）"/>
      <sheetName val="比较法-办公"/>
      <sheetName val="收益法（办公）"/>
      <sheetName val="收益法(会展)"/>
      <sheetName val="收益法(车库)"/>
      <sheetName val="收益法(仓储)"/>
      <sheetName val="土地比较法-住宅、综合"/>
      <sheetName val="收益法 (元)"/>
      <sheetName val="酒店收入计算"/>
      <sheetName val="比较法-住宅"/>
      <sheetName val="比较法-商业"/>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145559</v>
          </cell>
          <cell r="G14">
            <v>145559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北京市丰台区南四环西路182号房地产抵押价值预评估</v>
      </c>
    </row>
    <row r="3" spans="1:2" s="1593" customFormat="1">
      <c r="A3" s="1591" t="s">
        <v>1217</v>
      </c>
      <c r="B3" s="1592" t="str">
        <f>'预评函-封皮'!B40</f>
        <v>北京国美商都建设开发有限公司</v>
      </c>
    </row>
    <row r="4" spans="1:2" s="1593" customFormat="1">
      <c r="A4" s="1591" t="s">
        <v>1218</v>
      </c>
      <c r="B4" s="1592" t="str">
        <f ca="1">'预评函-封皮'!B46</f>
        <v>郑燚（注册号：1120070131)、崔锴（注册号：0)</v>
      </c>
    </row>
    <row r="5" spans="1:2" s="1587" customFormat="1" ht="15" thickBot="1">
      <c r="A5" s="1594" t="s">
        <v>1219</v>
      </c>
      <c r="B5" s="1595" t="str">
        <f>'预评函-封皮'!B49</f>
        <v>康正预评字2019-1-0375-P01DYGJ1号</v>
      </c>
    </row>
    <row r="6" spans="1:2" s="1590" customFormat="1" ht="15" thickTop="1">
      <c r="A6" s="1588" t="s">
        <v>1220</v>
      </c>
      <c r="B6" s="1589" t="str">
        <f>'预评函-1'!A4</f>
        <v>受贵公司委托，我公司对北京市丰台区南四环西路182号房地产抵押价值进行了预评估。</v>
      </c>
    </row>
    <row r="7" spans="1:2" s="1593" customFormat="1">
      <c r="A7" s="1591" t="s">
        <v>1260</v>
      </c>
      <c r="B7" s="1592" t="str">
        <f>'预评函-1'!A7</f>
        <v>估价对象为北京市丰台区南四环西路182号房地产，为北京国美商都建设开发有限公司所有。根据《国有土地使用证》[]，估价对象（分摊）出让国有建设用地使用权面积为48267.47平方米，建筑面积为364906平方米。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48267.47平方米，规划建筑面积为364906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为估价委托人在向渤海银行北京分行安贞支行办理贷款手续过程中，确定房地产抵押贷款额度提供参考依据而评估房地产抵押价值。</v>
      </c>
    </row>
    <row r="12" spans="1:2" s="1593" customFormat="1">
      <c r="A12" s="1591" t="s">
        <v>1222</v>
      </c>
      <c r="B12" s="1592" t="str">
        <f>'预评函-1'!A15</f>
        <v>2019年6月6日（评估专业人员实地查勘之日）</v>
      </c>
    </row>
    <row r="13" spans="1:2" s="1593" customFormat="1">
      <c r="A13" s="1591" t="s">
        <v>1223</v>
      </c>
      <c r="B13" s="1592" t="str">
        <f>'预评函-1'!A18</f>
        <v>本次估价的“房地产价值”是指在正常市场情况下，在价值时点2019年6月6日，估价对象规划用途为商业、综合、地下车库、地下仓储，土地取得方式为出让，出让国有建设用地使用权剩余土地使用年限为商业26年、综合、地下车库及地下仓储36年，假定未设立法定优先受偿款下的房地产市场价值。</v>
      </c>
    </row>
    <row r="14" spans="1:2" s="1593" customFormat="1">
      <c r="A14" s="1591" t="s">
        <v>1224</v>
      </c>
      <c r="B14" s="1592" t="str">
        <f>'预评函-1'!A19</f>
        <v>其中，“出让国有建设用地使用权价值”是指估价对象用途为商业、综合、地下车库、地下仓储，实际开发程度为宗地红线外“六通”（即通路、通电、通讯、通上水、通下水、燃气）、红线内场地平整条件下，剩余土地使用年限为商业26年、综合、地下车库及地下仓储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1028210</v>
      </c>
    </row>
    <row r="21" spans="1:2" s="1593" customFormat="1">
      <c r="A21" s="1591" t="s">
        <v>1231</v>
      </c>
      <c r="B21" s="1592">
        <f ca="1">'预评函-2'!D7</f>
        <v>28177</v>
      </c>
    </row>
    <row r="22" spans="1:2" s="1593" customFormat="1">
      <c r="A22" s="1591" t="s">
        <v>1232</v>
      </c>
      <c r="B22" s="1592" t="str">
        <f ca="1">'预评函-2'!D6</f>
        <v>壹佰零贰亿捌仟贰佰壹拾万元整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1028210</v>
      </c>
    </row>
    <row r="31" spans="1:2" s="1593" customFormat="1">
      <c r="A31" s="1591" t="s">
        <v>1270</v>
      </c>
      <c r="B31" s="1592">
        <f ca="1">'预评函-2'!D15</f>
        <v>28177</v>
      </c>
    </row>
    <row r="32" spans="1:2" s="1593" customFormat="1">
      <c r="A32" s="1591" t="s">
        <v>1237</v>
      </c>
      <c r="B32" s="1592" t="str">
        <f ca="1">'预评函-2'!D14</f>
        <v>壹佰零贰亿捌仟贰佰壹拾万元整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北京市丰台区南四环西路182号房地产</v>
      </c>
    </row>
    <row r="42" spans="1:2" s="1593" customFormat="1">
      <c r="A42" s="1591" t="s">
        <v>1284</v>
      </c>
      <c r="B42" s="1592" t="str">
        <f>'预评函-3'!B2</f>
        <v>建筑面积</v>
      </c>
    </row>
    <row r="43" spans="1:2" s="1593" customFormat="1">
      <c r="A43" s="1591" t="s">
        <v>1285</v>
      </c>
      <c r="B43" s="1592">
        <f>'预评函-3'!B4</f>
        <v>364906</v>
      </c>
    </row>
    <row r="44" spans="1:2" s="1593" customFormat="1">
      <c r="A44" s="1591" t="s">
        <v>1269</v>
      </c>
      <c r="B44" s="1592" t="str">
        <f>'预评函-3'!C2</f>
        <v>(分摊)土地面积</v>
      </c>
    </row>
    <row r="45" spans="1:2" s="1593" customFormat="1">
      <c r="A45" s="1591" t="s">
        <v>1241</v>
      </c>
      <c r="B45" s="1592">
        <f>'预评函-3'!C4</f>
        <v>48267.47</v>
      </c>
    </row>
    <row r="46" spans="1:2" s="1593" customFormat="1">
      <c r="A46" s="1591" t="s">
        <v>1267</v>
      </c>
      <c r="B46" s="1592" t="str">
        <f>'预评函-3'!D2</f>
        <v>出让国有建设用地使用权价值</v>
      </c>
    </row>
    <row r="47" spans="1:2" s="1593" customFormat="1">
      <c r="A47" s="1591" t="s">
        <v>1242</v>
      </c>
      <c r="B47" s="1592">
        <f ca="1">'预评函-3'!D4</f>
        <v>891458</v>
      </c>
    </row>
    <row r="48" spans="1:2" s="1593" customFormat="1">
      <c r="A48" s="1591" t="s">
        <v>1243</v>
      </c>
      <c r="B48" s="1592">
        <f ca="1">'预评函-3'!E4</f>
        <v>24429</v>
      </c>
    </row>
    <row r="49" spans="1:2" s="1593" customFormat="1">
      <c r="A49" s="1591" t="s">
        <v>1244</v>
      </c>
      <c r="B49" s="1592" t="str">
        <f ca="1">'预评函-3'!D5</f>
        <v>捌拾玖亿壹仟肆佰伍拾捌万元整</v>
      </c>
    </row>
    <row r="50" spans="1:2" s="1593" customFormat="1">
      <c r="A50" s="1591" t="s">
        <v>1268</v>
      </c>
      <c r="B50" s="1592" t="str">
        <f>'预评函-3'!F2</f>
        <v>建筑物价值</v>
      </c>
    </row>
    <row r="51" spans="1:2" s="1593" customFormat="1">
      <c r="A51" s="1591" t="s">
        <v>1245</v>
      </c>
      <c r="B51" s="1592">
        <f ca="1">'预评函-3'!F4</f>
        <v>136752</v>
      </c>
    </row>
    <row r="52" spans="1:2" s="1593" customFormat="1">
      <c r="A52" s="1591" t="s">
        <v>1246</v>
      </c>
      <c r="B52" s="1592">
        <f ca="1">'预评函-3'!G4</f>
        <v>3748</v>
      </c>
    </row>
    <row r="53" spans="1:2" s="1593" customFormat="1">
      <c r="A53" s="1591" t="s">
        <v>1274</v>
      </c>
      <c r="B53" s="1592" t="str">
        <f ca="1">'预评函-3'!F5</f>
        <v>壹拾叁亿陆仟柒佰伍拾贰万元整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3108</v>
      </c>
      <c r="C17" s="2015"/>
    </row>
    <row r="18" spans="1:3">
      <c r="A18" s="2014" t="s">
        <v>1763</v>
      </c>
      <c r="B18" s="2014"/>
      <c r="C18" s="2015"/>
    </row>
    <row r="19" spans="1:3">
      <c r="A19" s="2014" t="s">
        <v>1764</v>
      </c>
      <c r="B19" s="2014" t="s">
        <v>3111</v>
      </c>
      <c r="C19" s="2015"/>
    </row>
    <row r="20" spans="1:3">
      <c r="A20" s="2014" t="s">
        <v>1765</v>
      </c>
      <c r="B20" s="2014"/>
      <c r="C20" s="2015"/>
    </row>
    <row r="21" spans="1:3">
      <c r="A21" s="2014" t="s">
        <v>1766</v>
      </c>
      <c r="B21" s="2014" t="s">
        <v>3114</v>
      </c>
      <c r="C21" s="2015"/>
    </row>
    <row r="22" spans="1:3">
      <c r="A22" s="2014" t="s">
        <v>1767</v>
      </c>
      <c r="B22" s="2014"/>
      <c r="C22" s="2015"/>
    </row>
    <row r="23" spans="1:3">
      <c r="A23" s="2014" t="s">
        <v>1768</v>
      </c>
      <c r="B23" s="2014" t="s">
        <v>3131</v>
      </c>
      <c r="C23" s="2015"/>
    </row>
    <row r="24" spans="1:3">
      <c r="A24" s="2014" t="s">
        <v>1769</v>
      </c>
      <c r="B24" s="2014" t="s">
        <v>3125</v>
      </c>
      <c r="C24" s="2015"/>
    </row>
    <row r="25" spans="1:3">
      <c r="A25" s="2014" t="s">
        <v>1770</v>
      </c>
      <c r="B25" s="2014" t="s">
        <v>3127</v>
      </c>
      <c r="C25" s="2015"/>
    </row>
    <row r="26" spans="1:3">
      <c r="A26" s="2014" t="s">
        <v>1771</v>
      </c>
      <c r="B26" s="2014" t="s">
        <v>3129</v>
      </c>
      <c r="C26" s="2015"/>
    </row>
    <row r="27" spans="1:3">
      <c r="A27" s="2014" t="s">
        <v>3120</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为估价委托人在向渤海银行北京分行安贞支行办理贷款手续过程中，确定房地产抵押贷款额度提供参考依据而评估房地产抵押价值。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渤海银行北京分行安贞支行办理贷款手续。渤海银行北京分行安贞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6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029"/>
      <c r="B54" s="2022" t="s">
        <v>861</v>
      </c>
      <c r="C54" s="2019" t="s">
        <v>1277</v>
      </c>
    </row>
    <row r="55" spans="1:4">
      <c r="A55" s="3029"/>
      <c r="B55" s="2022" t="s">
        <v>862</v>
      </c>
      <c r="C55" s="2019" t="s">
        <v>1278</v>
      </c>
    </row>
    <row r="56" spans="1:4">
      <c r="A56" s="3029"/>
      <c r="B56" s="2022" t="s">
        <v>863</v>
      </c>
      <c r="C56" s="2019" t="s">
        <v>1282</v>
      </c>
    </row>
    <row r="57" spans="1:4">
      <c r="A57" s="302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16" sqref="F16:I1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38" t="str">
        <f>IF(B10="北京市","北京市",C10)&amp;F10&amp;IF(结果表!G1="在建","出让国有建设用地使用权及在建建筑物",IF(结果表!G1="土地","出让国有建设用地使用权",))&amp;B9&amp;"预评估"</f>
        <v>北京市丰台区南四环西路182号房地产抵押价值预评估</v>
      </c>
      <c r="C1" s="3039"/>
      <c r="D1" s="3039"/>
      <c r="E1" s="3039"/>
      <c r="F1" s="3039"/>
      <c r="G1" s="3039"/>
      <c r="H1" s="3039"/>
      <c r="I1" s="304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北京市丰台区南四环西路182号房地产抵押价值</v>
      </c>
    </row>
    <row r="2" spans="1:19" ht="18" customHeight="1">
      <c r="A2" s="2026" t="s">
        <v>1773</v>
      </c>
      <c r="B2" s="1039" t="s">
        <v>3116</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北京市丰台区南四环西路182号房地产</v>
      </c>
    </row>
    <row r="3" spans="1:19" ht="18" customHeight="1">
      <c r="A3" s="2035" t="s">
        <v>1774</v>
      </c>
      <c r="B3" s="2036">
        <v>43622</v>
      </c>
      <c r="C3" s="2037" t="s">
        <v>1775</v>
      </c>
      <c r="D3" s="2036">
        <v>43622</v>
      </c>
      <c r="E3" s="2026"/>
      <c r="F3" s="2026"/>
      <c r="G3" s="2026"/>
      <c r="H3" s="2026"/>
      <c r="I3" s="2026"/>
      <c r="J3" s="2026"/>
      <c r="K3" s="2027"/>
      <c r="L3" s="2028"/>
      <c r="M3" s="2028"/>
      <c r="N3" s="2029"/>
      <c r="O3" s="2030"/>
      <c r="P3" s="2029"/>
      <c r="Q3" s="2029"/>
      <c r="R3" s="2029"/>
      <c r="S3" s="2031"/>
    </row>
    <row r="4" spans="1:19" ht="18" customHeight="1" thickBot="1">
      <c r="A4" s="2038" t="s">
        <v>1776</v>
      </c>
      <c r="B4" s="2039" t="s">
        <v>3052</v>
      </c>
      <c r="C4" s="1037">
        <f ca="1">SUMIF(注册房地产估价师,B4,估价师及机构信息!B3:B24)</f>
        <v>1120070131</v>
      </c>
      <c r="D4" s="2039" t="s">
        <v>3051</v>
      </c>
      <c r="E4" s="1038">
        <f ca="1">SUMIF(注册房地产估价师,D4,估价师及机构信息!B3:B24)</f>
        <v>0</v>
      </c>
      <c r="F4" s="2039" t="s">
        <v>3051</v>
      </c>
      <c r="G4" s="2040">
        <f ca="1">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郑燚（注册号：1120070131)、崔锴（注册号：0)</v>
      </c>
      <c r="L4" s="2028"/>
      <c r="M4" s="2028"/>
      <c r="N4" s="2029"/>
      <c r="O4" s="2030"/>
      <c r="P4" s="2029"/>
      <c r="Q4" s="2029"/>
      <c r="R4" s="2029"/>
      <c r="S4" s="2031"/>
    </row>
    <row r="5" spans="1:19" ht="18" customHeight="1" thickTop="1">
      <c r="A5" s="2044" t="s">
        <v>1777</v>
      </c>
      <c r="B5" s="2969" t="s">
        <v>3053</v>
      </c>
      <c r="C5" s="2045"/>
      <c r="D5" s="2046"/>
      <c r="E5" s="2042"/>
      <c r="F5" s="2042"/>
      <c r="G5" s="2042"/>
      <c r="H5" s="2042"/>
      <c r="I5" s="2042"/>
      <c r="J5" s="2042"/>
      <c r="K5" s="2043" t="str">
        <f ca="1">IF(F4="——","",IF(H4="——",F4&amp;"（注册号："&amp;G4&amp;")",CONCATENATE(F4,"（注册号：",G4,")、",H4,"（注册号：",I4,")")))</f>
        <v>崔锴（注册号：0)</v>
      </c>
      <c r="L5" s="2028"/>
      <c r="M5" s="2028"/>
      <c r="N5" s="2029"/>
      <c r="O5" s="2030"/>
      <c r="P5" s="2029"/>
      <c r="Q5" s="2029"/>
      <c r="R5" s="2029"/>
    </row>
    <row r="6" spans="1:19" ht="18" customHeight="1">
      <c r="A6" s="2047" t="s">
        <v>1778</v>
      </c>
      <c r="B6" s="2970" t="s">
        <v>3117</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48" t="str">
        <f>B5</f>
        <v>北京国美商都建设开发有限公司</v>
      </c>
      <c r="C7" s="2049"/>
      <c r="D7" s="2050"/>
      <c r="E7" s="2034"/>
      <c r="F7" s="2042"/>
      <c r="G7" s="2042"/>
      <c r="H7" s="2042"/>
      <c r="I7" s="2042"/>
      <c r="J7" s="2042"/>
      <c r="K7" s="2052"/>
      <c r="L7" s="2028"/>
      <c r="M7" s="2028"/>
      <c r="N7" s="2029"/>
      <c r="O7" s="2030"/>
      <c r="P7" s="2029"/>
      <c r="Q7" s="2029"/>
      <c r="R7" s="2029"/>
    </row>
    <row r="8" spans="1:19" ht="18" customHeight="1">
      <c r="A8" s="2047" t="s">
        <v>1780</v>
      </c>
      <c r="B8" s="2053" t="s">
        <v>3054</v>
      </c>
      <c r="C8" s="2054"/>
      <c r="D8" s="3041" t="s">
        <v>1781</v>
      </c>
      <c r="E8" s="2055" t="s">
        <v>3055</v>
      </c>
      <c r="F8" s="2056"/>
      <c r="G8" s="2026"/>
      <c r="H8" s="2026"/>
      <c r="I8" s="2026"/>
      <c r="J8" s="2042"/>
      <c r="K8" s="2043"/>
      <c r="L8" s="2028"/>
      <c r="M8" s="2028"/>
      <c r="N8" s="2029"/>
      <c r="O8" s="2030"/>
      <c r="P8" s="2029"/>
      <c r="Q8" s="2029"/>
      <c r="R8" s="2029"/>
    </row>
    <row r="9" spans="1:19" ht="18" customHeight="1" thickBot="1">
      <c r="A9" s="2040" t="s">
        <v>1782</v>
      </c>
      <c r="B9" s="2057" t="s">
        <v>3055</v>
      </c>
      <c r="C9" s="2058"/>
      <c r="D9" s="3042"/>
      <c r="E9" s="2057" t="s">
        <v>70</v>
      </c>
      <c r="F9" s="2059"/>
      <c r="G9" s="2060"/>
      <c r="H9" s="2060"/>
      <c r="I9" s="2060"/>
      <c r="J9" s="2042"/>
      <c r="K9" s="2052"/>
      <c r="L9" s="2028"/>
      <c r="M9" s="2028"/>
      <c r="N9" s="2029"/>
      <c r="O9" s="2030"/>
      <c r="P9" s="2029"/>
      <c r="Q9" s="2029"/>
      <c r="R9" s="2029"/>
    </row>
    <row r="10" spans="1:19" ht="18" customHeight="1" thickTop="1">
      <c r="A10" s="2061" t="s">
        <v>1783</v>
      </c>
      <c r="B10" s="2062" t="s">
        <v>3056</v>
      </c>
      <c r="C10" s="2063"/>
      <c r="D10" s="2046"/>
      <c r="E10" s="2064" t="s">
        <v>1784</v>
      </c>
      <c r="F10" s="2065" t="s">
        <v>3057</v>
      </c>
      <c r="G10" s="2066"/>
      <c r="H10" s="2067"/>
      <c r="I10" s="2046"/>
      <c r="J10" s="2042"/>
      <c r="K10" s="2052"/>
      <c r="L10" s="2028"/>
      <c r="M10" s="2028"/>
      <c r="N10" s="2029"/>
      <c r="O10" s="2030"/>
      <c r="P10" s="2029"/>
      <c r="Q10" s="2029"/>
      <c r="R10" s="2029"/>
    </row>
    <row r="11" spans="1:19" ht="18" customHeight="1">
      <c r="A11" s="2068" t="s">
        <v>1785</v>
      </c>
      <c r="B11" s="2069" t="s">
        <v>3058</v>
      </c>
      <c r="C11" s="2971" t="str">
        <f>B5</f>
        <v>北京国美商都建设开发有限公司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9" t="s">
        <v>3059</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v>53108</v>
      </c>
      <c r="F13" s="2077">
        <v>56760</v>
      </c>
      <c r="G13" s="2077">
        <f>F13</f>
        <v>56760</v>
      </c>
      <c r="H13" s="2077">
        <f>F13</f>
        <v>56760</v>
      </c>
      <c r="I13" s="1047"/>
      <c r="J13" s="2042"/>
      <c r="K13" s="2052"/>
      <c r="L13" s="2028"/>
      <c r="M13" s="2028"/>
      <c r="N13" s="2029"/>
      <c r="O13" s="2030"/>
      <c r="P13" s="2029"/>
      <c r="Q13" s="2029"/>
      <c r="R13" s="2029"/>
    </row>
    <row r="14" spans="1:19" ht="18" customHeight="1">
      <c r="A14" s="2074"/>
      <c r="B14" s="2075"/>
      <c r="C14" s="2076" t="s">
        <v>1795</v>
      </c>
      <c r="D14" s="1050"/>
      <c r="E14" s="1050">
        <v>40</v>
      </c>
      <c r="F14" s="1050">
        <v>50</v>
      </c>
      <c r="G14" s="1050">
        <v>50</v>
      </c>
      <c r="H14" s="1050">
        <v>50</v>
      </c>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f>IF(B12="出让",IF(E13="","",ROUNDDOWN(MIN((E13-$D$3)/365,E14),2)),E14)</f>
        <v>25.98</v>
      </c>
      <c r="F15" s="1049">
        <f>IF(B12="出让",IF(F13="","",ROUNDDOWN(MIN((F13-$D$3)/365,F14),2)),F14)</f>
        <v>35.99</v>
      </c>
      <c r="G15" s="1049">
        <f>IF(B12="出让",IF(G13="","",ROUNDDOWN(MIN((G13-$D$3)/365,G14),2)),G14)</f>
        <v>35.99</v>
      </c>
      <c r="H15" s="1049">
        <f>IF(B12="出让",IF(H13="","",ROUNDDOWN(MIN((H13-$D$3)/365,H14),2)),H14)</f>
        <v>35.99</v>
      </c>
      <c r="I15" s="1049" t="str">
        <f>IF(B12="出让",IF(I13="","",ROUNDDOWN(MIN((I13-$D$3)/365,I14),2)),I14)</f>
        <v/>
      </c>
      <c r="J15" s="2042"/>
      <c r="K15" s="2080"/>
      <c r="L15" s="2081"/>
      <c r="M15" s="2081"/>
      <c r="N15" s="2082"/>
      <c r="O15" s="2081"/>
      <c r="P15" s="2082"/>
      <c r="Q15" s="2029"/>
      <c r="R15" s="2029"/>
    </row>
    <row r="16" spans="1:19" ht="30.75" customHeight="1">
      <c r="A16" s="2064" t="s">
        <v>1797</v>
      </c>
      <c r="B16" s="3048" t="s">
        <v>3060</v>
      </c>
      <c r="C16" s="3049"/>
      <c r="D16" s="3050"/>
      <c r="E16" s="2083" t="s">
        <v>1798</v>
      </c>
      <c r="F16" s="3051" t="s">
        <v>3061</v>
      </c>
      <c r="G16" s="3052"/>
      <c r="H16" s="3052"/>
      <c r="I16" s="3053"/>
      <c r="J16" s="2029"/>
      <c r="K16" s="2080"/>
      <c r="L16" s="2081"/>
      <c r="M16" s="2081"/>
      <c r="N16" s="2082"/>
      <c r="O16" s="2081"/>
      <c r="P16" s="2082"/>
      <c r="Q16" s="2029"/>
      <c r="R16" s="2029"/>
    </row>
    <row r="17" spans="1:22" ht="18" customHeight="1">
      <c r="A17" s="2084" t="s">
        <v>1799</v>
      </c>
      <c r="B17" s="2035" t="s">
        <v>1800</v>
      </c>
      <c r="C17" s="1054">
        <f>'数据-汇总表'!E3</f>
        <v>364906</v>
      </c>
      <c r="D17" s="2085" t="s">
        <v>1801</v>
      </c>
      <c r="E17" s="3054" t="s">
        <v>1802</v>
      </c>
      <c r="F17" s="3055"/>
      <c r="G17" s="3055"/>
      <c r="H17" s="3055"/>
      <c r="I17" s="3056"/>
      <c r="J17" s="2029"/>
      <c r="K17" s="2086"/>
      <c r="L17" s="2081"/>
      <c r="M17" s="2081"/>
      <c r="N17" s="2082"/>
      <c r="O17" s="2081"/>
      <c r="P17" s="2082"/>
      <c r="Q17" s="2029"/>
      <c r="R17" s="2029"/>
      <c r="S17" s="2029"/>
      <c r="T17" s="2029"/>
      <c r="U17" s="2029"/>
      <c r="V17" s="2029"/>
    </row>
    <row r="18" spans="1:22" ht="36" customHeight="1" thickBot="1">
      <c r="A18" s="2087" t="s">
        <v>1803</v>
      </c>
      <c r="B18" s="2038" t="s">
        <v>1804</v>
      </c>
      <c r="C18" s="1444">
        <f>'数据-汇总表'!D3</f>
        <v>48267.47</v>
      </c>
      <c r="D18" s="2088" t="s">
        <v>1801</v>
      </c>
      <c r="E18" s="3057" t="s">
        <v>1805</v>
      </c>
      <c r="F18" s="3058"/>
      <c r="G18" s="3058"/>
      <c r="H18" s="3058"/>
      <c r="I18" s="3059"/>
      <c r="J18" s="2029"/>
      <c r="K18" s="2086"/>
      <c r="L18" s="2081"/>
      <c r="M18" s="2081"/>
      <c r="N18" s="2082"/>
      <c r="O18" s="2081"/>
      <c r="P18" s="2082"/>
      <c r="Q18" s="2029"/>
      <c r="R18" s="2029"/>
      <c r="S18" s="2029"/>
      <c r="T18" s="2029"/>
      <c r="U18" s="2029"/>
      <c r="V18" s="2029"/>
    </row>
    <row r="19" spans="1:22" ht="37.5" customHeight="1" thickTop="1" thickBot="1">
      <c r="A19" s="373" t="s">
        <v>1806</v>
      </c>
      <c r="B19" s="352" t="s">
        <v>1807</v>
      </c>
      <c r="C19" s="2089"/>
      <c r="D19" s="2090" t="s">
        <v>1808</v>
      </c>
      <c r="E19" s="2091"/>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1809</v>
      </c>
      <c r="B20" s="3044" t="s">
        <v>1810</v>
      </c>
      <c r="C20" s="3045"/>
      <c r="D20" s="3046" t="s">
        <v>1811</v>
      </c>
      <c r="E20" s="3047"/>
      <c r="F20" s="2095" t="s">
        <v>1812</v>
      </c>
      <c r="G20" s="2042"/>
      <c r="H20" s="2042"/>
      <c r="I20" s="2042"/>
      <c r="J20" s="2042"/>
      <c r="K20" s="304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1814</v>
      </c>
      <c r="C21" s="2097" t="s">
        <v>1815</v>
      </c>
      <c r="D21" s="2098" t="s">
        <v>1816</v>
      </c>
      <c r="E21" s="2099" t="s">
        <v>1815</v>
      </c>
      <c r="F21" s="2100"/>
      <c r="G21" s="2042"/>
      <c r="H21" s="2042"/>
      <c r="I21" s="2042"/>
      <c r="J21" s="2042"/>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2"/>
      <c r="O21" s="2081"/>
      <c r="P21" s="2082"/>
      <c r="Q21" s="2029"/>
      <c r="R21" s="2029"/>
      <c r="S21" s="2029"/>
      <c r="T21" s="2029"/>
      <c r="U21" s="2029"/>
      <c r="V21" s="2029"/>
    </row>
    <row r="22" spans="1:22" ht="24.75" customHeight="1" thickBot="1">
      <c r="A22" s="2094"/>
      <c r="B22" s="2101" t="s">
        <v>1817</v>
      </c>
      <c r="C22" s="2097" t="s">
        <v>1818</v>
      </c>
      <c r="D22" s="2026"/>
      <c r="E22" s="2026"/>
      <c r="F22" s="2102"/>
      <c r="G22" s="2042"/>
      <c r="H22" s="2042"/>
      <c r="I22" s="2042"/>
      <c r="J22" s="2042"/>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1819</v>
      </c>
      <c r="B23" s="183" t="s">
        <v>1820</v>
      </c>
      <c r="C23" s="2104"/>
      <c r="D23" s="2105" t="s">
        <v>1820</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1821</v>
      </c>
      <c r="C24" s="2109"/>
      <c r="D24" s="2103" t="s">
        <v>1821</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1822</v>
      </c>
      <c r="C25" s="2109"/>
      <c r="D25" s="2103" t="s">
        <v>1822</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1823</v>
      </c>
      <c r="C26" s="2113"/>
      <c r="D26" s="2114" t="s">
        <v>1824</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31" t="s">
        <v>1825</v>
      </c>
      <c r="B27" s="2061" t="s">
        <v>1826</v>
      </c>
      <c r="C27" s="2117" t="s">
        <v>3062</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31"/>
      <c r="B28" s="2035" t="s">
        <v>1827</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31"/>
      <c r="B29" s="2035" t="s">
        <v>1828</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32"/>
      <c r="B30" s="2035" t="s">
        <v>1829</v>
      </c>
      <c r="C30" s="3033"/>
      <c r="D30" s="3034"/>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35" t="s">
        <v>1830</v>
      </c>
      <c r="B31" s="2124" t="s">
        <v>3063</v>
      </c>
      <c r="C31" s="2125" t="str">
        <f>IF(B31="现房","成新及维护状况正常否",IF(B31="在建","工程状态是否正常",IF(B31="土地","是否闲置","-")))</f>
        <v>成新及维护状况正常否</v>
      </c>
      <c r="D31" s="2126"/>
      <c r="E31" s="2127"/>
      <c r="F31" s="2042"/>
      <c r="G31" s="2042"/>
      <c r="H31" s="2042"/>
      <c r="I31" s="2042"/>
      <c r="J31" s="2042"/>
      <c r="K31" s="2051"/>
      <c r="L31" s="2028"/>
      <c r="M31" s="2028"/>
      <c r="N31" s="2029"/>
      <c r="O31" s="2030"/>
      <c r="P31" s="2029"/>
      <c r="Q31" s="2029"/>
      <c r="R31" s="2029"/>
      <c r="S31" s="2029"/>
      <c r="T31" s="2029"/>
      <c r="U31" s="2029"/>
      <c r="V31" s="2029"/>
    </row>
    <row r="32" spans="1:22" ht="18" customHeight="1">
      <c r="A32" s="3036"/>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36"/>
      <c r="B33" s="2128"/>
      <c r="C33" s="2068"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1831</v>
      </c>
      <c r="B34" s="2131" t="s">
        <v>3064</v>
      </c>
      <c r="C34" s="2131" t="s">
        <v>3065</v>
      </c>
      <c r="D34" s="2131" t="s">
        <v>3066</v>
      </c>
      <c r="E34" s="2131" t="s">
        <v>3067</v>
      </c>
      <c r="F34" s="2131" t="s">
        <v>3068</v>
      </c>
      <c r="G34" s="2131" t="s">
        <v>3123</v>
      </c>
      <c r="H34" s="2131" t="s">
        <v>70</v>
      </c>
      <c r="I34" s="2042"/>
      <c r="J34" s="2042"/>
      <c r="K34" s="1795">
        <f>COUNTIF(B34:H34,"——")</f>
        <v>1</v>
      </c>
      <c r="L34" s="2072" t="s">
        <v>1832</v>
      </c>
      <c r="M34" s="2072" t="s">
        <v>1833</v>
      </c>
      <c r="N34" s="2072" t="s">
        <v>1834</v>
      </c>
      <c r="O34" s="2072" t="s">
        <v>1835</v>
      </c>
      <c r="P34" s="2072" t="s">
        <v>1836</v>
      </c>
      <c r="Q34" s="2072" t="s">
        <v>1837</v>
      </c>
      <c r="R34" s="2072" t="s">
        <v>1838</v>
      </c>
      <c r="S34" s="3030" t="s">
        <v>1839</v>
      </c>
      <c r="T34" s="2132" t="str">
        <f>NUMBERSTRING(7-K34,1)&amp;"通"</f>
        <v>六通</v>
      </c>
      <c r="U34" s="2029"/>
      <c r="V34" s="2029"/>
    </row>
    <row r="35" spans="1:22" ht="18" customHeight="1">
      <c r="A35" s="2133"/>
      <c r="B35" s="3037" t="s">
        <v>1840</v>
      </c>
      <c r="C35" s="3037"/>
      <c r="D35" s="3037"/>
      <c r="E35" s="3037"/>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0"/>
      <c r="T35" s="48" t="str">
        <f>IF(T34="一通",L35,IF(T34="二通",M35,IF(T34="三通",N35,IF(T34="四通",O35,IF(T34="五通",P35,IF(T34="六通",Q35,R35))))))</f>
        <v>通路、通电、通讯、通上水、通下水、燃气</v>
      </c>
      <c r="U35" s="2029"/>
      <c r="V35" s="2029"/>
    </row>
    <row r="36" spans="1:22" ht="18" customHeight="1">
      <c r="A36" s="2135"/>
      <c r="B36" s="2134" t="s">
        <v>1841</v>
      </c>
      <c r="C36" s="2134" t="s">
        <v>1842</v>
      </c>
      <c r="D36" s="2134" t="s">
        <v>1843</v>
      </c>
      <c r="E36" s="2134" t="s">
        <v>1844</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1845</v>
      </c>
      <c r="B37" s="2138" t="s">
        <v>523</v>
      </c>
      <c r="C37" s="2138" t="s">
        <v>523</v>
      </c>
      <c r="D37" s="2138" t="s">
        <v>523</v>
      </c>
      <c r="E37" s="2138" t="s">
        <v>523</v>
      </c>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1846</v>
      </c>
      <c r="B38" s="2140" t="s">
        <v>346</v>
      </c>
      <c r="C38" s="2140" t="s">
        <v>346</v>
      </c>
      <c r="D38" s="2140"/>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1848</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1849</v>
      </c>
      <c r="B42" s="1795" t="s">
        <v>1850</v>
      </c>
      <c r="C42" s="1795" t="s">
        <v>1851</v>
      </c>
      <c r="D42" s="1795" t="s">
        <v>1852</v>
      </c>
      <c r="E42" s="1795" t="s">
        <v>1853</v>
      </c>
      <c r="F42" s="1795" t="s">
        <v>1854</v>
      </c>
      <c r="G42" s="1795" t="s">
        <v>1855</v>
      </c>
      <c r="H42" s="1795" t="s">
        <v>1856</v>
      </c>
      <c r="I42" s="1795" t="s">
        <v>1857</v>
      </c>
      <c r="J42" s="2150" t="s">
        <v>1858</v>
      </c>
      <c r="K42" s="2073" t="s">
        <v>1859</v>
      </c>
      <c r="L42" s="2073" t="s">
        <v>1860</v>
      </c>
      <c r="M42" s="2073" t="s">
        <v>1861</v>
      </c>
      <c r="N42" s="1795" t="s">
        <v>1862</v>
      </c>
      <c r="O42" s="1795" t="s">
        <v>1863</v>
      </c>
      <c r="P42" s="1795" t="s">
        <v>1864</v>
      </c>
      <c r="Q42" s="2072" t="s">
        <v>1865</v>
      </c>
      <c r="R42" s="2072" t="s">
        <v>1866</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1872</v>
      </c>
      <c r="AZ2" s="1270"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48267.47</v>
      </c>
      <c r="B3" s="14">
        <f>IF(C3="否",G5-AT5,G5)</f>
        <v>364906</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1876</v>
      </c>
      <c r="B5" s="1803"/>
      <c r="C5" s="1803"/>
      <c r="D5" s="1806"/>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1877</v>
      </c>
      <c r="B6" s="2172"/>
      <c r="C6" s="2172"/>
      <c r="D6" s="2173"/>
      <c r="E6" s="16">
        <f>H6+AC6+AT6</f>
        <v>48267.47</v>
      </c>
      <c r="F6" s="16" t="s">
        <v>1</v>
      </c>
      <c r="G6" s="16" t="s">
        <v>2</v>
      </c>
      <c r="H6" s="20">
        <f>SUMIF(I$12:AB$12,"总值",I6:AB6)</f>
        <v>48267.47</v>
      </c>
      <c r="I6" s="16">
        <f t="shared" ref="I6:AB6" si="2">ROUND($A$3*I5/$B$3,2)</f>
        <v>3887.73</v>
      </c>
      <c r="J6" s="16">
        <f t="shared" si="2"/>
        <v>0</v>
      </c>
      <c r="K6" s="16">
        <f t="shared" si="2"/>
        <v>22181.25</v>
      </c>
      <c r="L6" s="16">
        <f t="shared" si="2"/>
        <v>0</v>
      </c>
      <c r="M6" s="16">
        <f t="shared" si="2"/>
        <v>7328.45</v>
      </c>
      <c r="N6" s="16">
        <f t="shared" si="2"/>
        <v>0</v>
      </c>
      <c r="O6" s="16">
        <f t="shared" si="2"/>
        <v>11201.7</v>
      </c>
      <c r="P6" s="16">
        <f t="shared" si="2"/>
        <v>0</v>
      </c>
      <c r="Q6" s="16">
        <f t="shared" si="2"/>
        <v>3668.34</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1877</v>
      </c>
      <c r="AW6" s="2172"/>
      <c r="AX6" s="2172"/>
      <c r="AY6" s="21">
        <f>IF(AY3&gt;0,AY3,ROUND($A$3*AZ5/$B$3,2))</f>
        <v>48267.47</v>
      </c>
      <c r="AZ6" s="16" t="s">
        <v>3</v>
      </c>
      <c r="BA6" s="16">
        <f>ROUND($AY$6*BA5/$AZ$5,2)</f>
        <v>48267.47</v>
      </c>
      <c r="BB6" s="16">
        <f>ROUND($AY$6*BB5/$AZ$5,2)</f>
        <v>3887.73</v>
      </c>
      <c r="BC6" s="16">
        <f t="shared" ref="BC6:BH6" si="4">ROUND($AY$6*BC5/$AZ$5,2)</f>
        <v>22181.25</v>
      </c>
      <c r="BD6" s="16">
        <f t="shared" si="4"/>
        <v>7328.45</v>
      </c>
      <c r="BE6" s="16">
        <f t="shared" si="4"/>
        <v>11201.7</v>
      </c>
      <c r="BF6" s="16">
        <f t="shared" si="4"/>
        <v>3668.34</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1885</v>
      </c>
      <c r="AV7" s="23" t="s">
        <v>1886</v>
      </c>
      <c r="AW7" s="2164" t="s">
        <v>1887</v>
      </c>
      <c r="AX7" s="23" t="s">
        <v>1880</v>
      </c>
      <c r="AY7" s="1803"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8"/>
      <c r="K8" s="1818"/>
      <c r="L8" s="1818"/>
      <c r="M8" s="1818"/>
      <c r="N8" s="1818"/>
      <c r="O8" s="1818"/>
      <c r="P8" s="1818"/>
      <c r="Q8" s="1818"/>
      <c r="R8" s="1818"/>
      <c r="S8" s="1818"/>
      <c r="T8" s="1818"/>
      <c r="U8" s="1818"/>
      <c r="V8" s="2184"/>
      <c r="W8" s="1818"/>
      <c r="X8" s="1818"/>
      <c r="Y8" s="1818"/>
      <c r="Z8" s="1818"/>
      <c r="AA8" s="2184"/>
      <c r="AB8" s="2185"/>
      <c r="AC8" s="981" t="s">
        <v>1891</v>
      </c>
      <c r="AD8" s="2186"/>
      <c r="AE8" s="2178"/>
      <c r="AF8" s="1818"/>
      <c r="AG8" s="1818"/>
      <c r="AH8" s="1818"/>
      <c r="AI8" s="1818"/>
      <c r="AJ8" s="1818"/>
      <c r="AK8" s="1818"/>
      <c r="AL8" s="1818"/>
      <c r="AM8" s="1818"/>
      <c r="AN8" s="1818"/>
      <c r="AO8" s="1818"/>
      <c r="AP8" s="1818"/>
      <c r="AQ8" s="1818"/>
      <c r="AR8" s="1818"/>
      <c r="AS8" s="1818"/>
      <c r="AT8" s="1292" t="s">
        <v>1892</v>
      </c>
      <c r="AU8" s="2180" t="s">
        <v>1893</v>
      </c>
      <c r="AV8" s="1292"/>
      <c r="AW8" s="2163"/>
      <c r="AX8" s="1292"/>
      <c r="AY8" s="2164"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1896</v>
      </c>
      <c r="I9" s="2189" t="s">
        <v>3071</v>
      </c>
      <c r="J9" s="981"/>
      <c r="K9" s="2189" t="s">
        <v>3071</v>
      </c>
      <c r="L9" s="981"/>
      <c r="M9" s="2189" t="s">
        <v>3071</v>
      </c>
      <c r="N9" s="981"/>
      <c r="O9" s="2189" t="s">
        <v>3073</v>
      </c>
      <c r="P9" s="981"/>
      <c r="Q9" s="2189" t="s">
        <v>3073</v>
      </c>
      <c r="R9" s="981"/>
      <c r="S9" s="2189"/>
      <c r="T9" s="981"/>
      <c r="U9" s="2189"/>
      <c r="V9" s="981"/>
      <c r="W9" s="2189"/>
      <c r="X9" s="2190"/>
      <c r="Y9" s="2189"/>
      <c r="Z9" s="981"/>
      <c r="AA9" s="2189"/>
      <c r="AB9" s="981"/>
      <c r="AC9" s="2181"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1"/>
      <c r="AT9" s="2180"/>
      <c r="AU9" s="2180" t="s">
        <v>1899</v>
      </c>
      <c r="AV9" s="1292"/>
      <c r="AW9" s="2163"/>
      <c r="AX9" s="1292"/>
      <c r="AY9" s="28"/>
      <c r="AZ9" s="28" t="s">
        <v>1889</v>
      </c>
      <c r="BA9" s="2192" t="s">
        <v>1900</v>
      </c>
      <c r="BB9" s="2193"/>
      <c r="BC9" s="1338"/>
      <c r="BD9" s="1338"/>
      <c r="BE9" s="1338"/>
      <c r="BF9" s="1338"/>
      <c r="BG9" s="1338"/>
      <c r="BH9" s="1338"/>
      <c r="BI9" s="1338"/>
      <c r="BJ9" s="1338"/>
      <c r="BK9" s="2194"/>
      <c r="BL9" s="15" t="s">
        <v>1901</v>
      </c>
      <c r="BM9" s="1818"/>
      <c r="BN9" s="2183"/>
      <c r="BO9" s="1818"/>
      <c r="BP9" s="1818"/>
      <c r="BQ9" s="1818"/>
      <c r="BR9" s="1818"/>
      <c r="BS9" s="1818"/>
      <c r="BT9" s="26"/>
    </row>
    <row r="10" spans="1:72" s="2187" customFormat="1" ht="12.75">
      <c r="A10" s="2180"/>
      <c r="B10" s="2180"/>
      <c r="C10" s="2180"/>
      <c r="D10" s="2180"/>
      <c r="E10" s="2180"/>
      <c r="F10" s="2180"/>
      <c r="G10" s="1292"/>
      <c r="H10" s="28"/>
      <c r="I10" s="2189" t="s">
        <v>1373</v>
      </c>
      <c r="J10" s="981"/>
      <c r="K10" s="2195" t="s">
        <v>27</v>
      </c>
      <c r="L10" s="981"/>
      <c r="M10" s="2195" t="s">
        <v>1373</v>
      </c>
      <c r="N10" s="981"/>
      <c r="O10" s="2195" t="s">
        <v>3074</v>
      </c>
      <c r="P10" s="981"/>
      <c r="Q10" s="2195" t="s">
        <v>3075</v>
      </c>
      <c r="R10" s="981"/>
      <c r="S10" s="2195"/>
      <c r="T10" s="981"/>
      <c r="U10" s="2195"/>
      <c r="V10" s="981"/>
      <c r="W10" s="2195"/>
      <c r="X10" s="981"/>
      <c r="Y10" s="2195"/>
      <c r="Z10" s="981"/>
      <c r="AA10" s="2195"/>
      <c r="AB10" s="981"/>
      <c r="AC10" s="1292"/>
      <c r="AD10" s="15" t="s">
        <v>1902</v>
      </c>
      <c r="AE10" s="2196"/>
      <c r="AF10" s="15" t="s">
        <v>1902</v>
      </c>
      <c r="AG10" s="2196"/>
      <c r="AH10" s="15" t="s">
        <v>1903</v>
      </c>
      <c r="AI10" s="2196"/>
      <c r="AJ10" s="15" t="s">
        <v>1903</v>
      </c>
      <c r="AK10" s="2196"/>
      <c r="AL10" s="15" t="s">
        <v>1904</v>
      </c>
      <c r="AM10" s="1298"/>
      <c r="AN10" s="15" t="s">
        <v>1904</v>
      </c>
      <c r="AO10" s="1298"/>
      <c r="AP10" s="15" t="s">
        <v>1905</v>
      </c>
      <c r="AQ10" s="1298"/>
      <c r="AR10" s="15" t="s">
        <v>1905</v>
      </c>
      <c r="AS10" s="1298"/>
      <c r="AT10" s="2180"/>
      <c r="AU10" s="2180"/>
      <c r="AV10" s="1292"/>
      <c r="AW10" s="2163"/>
      <c r="AX10" s="1292"/>
      <c r="AY10" s="28"/>
      <c r="AZ10" s="28"/>
      <c r="BA10" s="2197" t="s">
        <v>1896</v>
      </c>
      <c r="BB10" s="2198"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t="s">
        <v>3118</v>
      </c>
      <c r="L11" s="2201"/>
      <c r="M11" s="2200" t="s">
        <v>3072</v>
      </c>
      <c r="N11" s="2201"/>
      <c r="O11" s="2200"/>
      <c r="P11" s="2201"/>
      <c r="Q11" s="2200"/>
      <c r="R11" s="2201"/>
      <c r="S11" s="2200"/>
      <c r="T11" s="2201"/>
      <c r="U11" s="2200"/>
      <c r="V11" s="2201"/>
      <c r="W11" s="2200"/>
      <c r="X11" s="2201"/>
      <c r="Y11" s="2200"/>
      <c r="Z11" s="2201"/>
      <c r="AA11" s="2200"/>
      <c r="AB11" s="2201"/>
      <c r="AC11" s="1292"/>
      <c r="AD11" s="2202" t="s">
        <v>1906</v>
      </c>
      <c r="AE11" s="1819"/>
      <c r="AF11" s="2202" t="s">
        <v>1906</v>
      </c>
      <c r="AG11" s="1819"/>
      <c r="AH11" s="2202" t="s">
        <v>1907</v>
      </c>
      <c r="AI11" s="2203"/>
      <c r="AJ11" s="2202" t="s">
        <v>1907</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t="str">
        <f>K10</f>
        <v>办公</v>
      </c>
      <c r="BD11" s="2185" t="str">
        <f>M10</f>
        <v>商业</v>
      </c>
      <c r="BE11" s="2185" t="str">
        <f>O10</f>
        <v>车库</v>
      </c>
      <c r="BF11" s="2185" t="str">
        <f>Q10</f>
        <v>仓储</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7"/>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5" t="s">
        <v>1909</v>
      </c>
      <c r="AT12" s="2208"/>
      <c r="AU12" s="2205"/>
      <c r="AV12" s="31"/>
      <c r="AW12" s="2164"/>
      <c r="AX12" s="31"/>
      <c r="AY12" s="2209"/>
      <c r="AZ12" s="28"/>
      <c r="BA12" s="2197"/>
      <c r="BB12" s="24">
        <f>I11</f>
        <v>0</v>
      </c>
      <c r="BC12" s="2210" t="str">
        <f>K11</f>
        <v>会展</v>
      </c>
      <c r="BD12" s="2210" t="str">
        <f>M11</f>
        <v>酒店</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3069</v>
      </c>
      <c r="D13" s="2211" t="s">
        <v>3070</v>
      </c>
      <c r="E13" s="16">
        <f>IF($C$3="是",ROUND($A$3*G13/$B$3,2),ROUND($A$3*(G13-AT13)/$B$3,2))</f>
        <v>48267.47</v>
      </c>
      <c r="F13" s="32"/>
      <c r="G13" s="33">
        <f>H13+AC13+AT13</f>
        <v>364906</v>
      </c>
      <c r="H13" s="20">
        <f>SUMIF(I$12:AB$12,"总值",I13:AB13)</f>
        <v>364906</v>
      </c>
      <c r="I13" s="2212">
        <v>29391.56</v>
      </c>
      <c r="J13" s="2212"/>
      <c r="K13" s="2212">
        <v>167692.07</v>
      </c>
      <c r="L13" s="2212"/>
      <c r="M13" s="2212">
        <v>55403.69</v>
      </c>
      <c r="N13" s="2212"/>
      <c r="O13" s="2212">
        <v>84685.74</v>
      </c>
      <c r="P13" s="2212"/>
      <c r="Q13" s="2212">
        <v>27732.94</v>
      </c>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A区</v>
      </c>
      <c r="AY13" s="1806">
        <f>ROUND($AY$6*AZ13/$AZ$5,2)</f>
        <v>48267.47</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2"/>
      <c r="C1" s="1392"/>
      <c r="D1" s="1392"/>
      <c r="E1" s="1392"/>
      <c r="F1" s="1392"/>
      <c r="G1" s="1392"/>
      <c r="H1" s="1392"/>
      <c r="I1" s="1392"/>
      <c r="J1" s="1392"/>
      <c r="K1" s="1392"/>
      <c r="L1" s="1392"/>
      <c r="M1" s="1392"/>
      <c r="N1" s="1392"/>
      <c r="O1" s="1392"/>
      <c r="P1" s="1392"/>
    </row>
    <row r="2" spans="1:16" ht="15">
      <c r="A2" s="3071" t="s">
        <v>1936</v>
      </c>
      <c r="B2" s="3071"/>
      <c r="C2" s="3071"/>
      <c r="D2" s="967" t="s">
        <v>1912</v>
      </c>
      <c r="E2" s="2225" t="s">
        <v>1913</v>
      </c>
      <c r="F2" s="1392"/>
      <c r="G2" s="2226"/>
      <c r="H2" s="2227"/>
      <c r="I2" s="2228" t="s">
        <v>1937</v>
      </c>
      <c r="J2" s="1392"/>
      <c r="K2" s="1392"/>
      <c r="L2" s="1392"/>
      <c r="M2" s="1392"/>
      <c r="N2" s="1427"/>
      <c r="O2" s="1392"/>
      <c r="P2" s="1392"/>
    </row>
    <row r="3" spans="1:16" ht="15.75" thickBot="1">
      <c r="A3" s="3072" t="s">
        <v>1910</v>
      </c>
      <c r="B3" s="3072"/>
      <c r="C3" s="3072"/>
      <c r="D3" s="46">
        <f>'数据-基础表'!AY6</f>
        <v>48267.47</v>
      </c>
      <c r="E3" s="46">
        <f>'数据-基础表'!AZ5</f>
        <v>364906</v>
      </c>
      <c r="F3" s="1392"/>
      <c r="G3" s="1399"/>
      <c r="H3" s="1247" t="s">
        <v>1911</v>
      </c>
      <c r="I3" s="55">
        <f>ROUND('数据-基础表'!B3/'数据-基础表'!A3,2)</f>
        <v>7.56</v>
      </c>
      <c r="J3" s="1392"/>
      <c r="K3" s="1392"/>
      <c r="L3" s="1392"/>
      <c r="M3" s="1392"/>
      <c r="N3" s="1427"/>
      <c r="O3" s="1392"/>
      <c r="P3" s="1392"/>
    </row>
    <row r="4" spans="1:16" ht="15">
      <c r="A4" s="3073"/>
      <c r="B4" s="3074"/>
      <c r="C4" s="3075"/>
      <c r="D4" s="2229" t="s">
        <v>1912</v>
      </c>
      <c r="E4" s="2230" t="s">
        <v>1913</v>
      </c>
      <c r="F4" s="1392"/>
      <c r="G4" s="2231" t="s">
        <v>1938</v>
      </c>
      <c r="H4" s="1247" t="s">
        <v>1918</v>
      </c>
      <c r="I4" s="55">
        <f>ROUND(SUMIF('数据-基础表'!I9:AS9,"地上",'数据-基础表'!I5:AS5)/'数据-基础表'!A3,2)</f>
        <v>5.23</v>
      </c>
      <c r="J4" s="1392"/>
      <c r="K4" s="1392"/>
      <c r="L4" s="1392"/>
      <c r="M4" s="1392"/>
      <c r="N4" s="1427"/>
      <c r="O4" s="1392"/>
      <c r="P4" s="1392"/>
    </row>
    <row r="5" spans="1:16">
      <c r="A5" s="47" t="s">
        <v>1914</v>
      </c>
      <c r="B5" s="3076" t="s">
        <v>1915</v>
      </c>
      <c r="C5" s="3076"/>
      <c r="D5" s="48">
        <f>ROUND($D$3*E5/$E$3,2)</f>
        <v>0</v>
      </c>
      <c r="E5" s="49">
        <f>SUMIF('数据-基础表'!$11:$11,"住宅",'数据-基础表'!$5:$5)</f>
        <v>0</v>
      </c>
      <c r="F5" s="1392"/>
      <c r="G5" s="1399"/>
      <c r="H5" s="1247" t="s">
        <v>1911</v>
      </c>
      <c r="I5" s="55">
        <f>ROUND(E31/D31,2)</f>
        <v>7.56</v>
      </c>
      <c r="J5" s="1392"/>
      <c r="K5" s="1392"/>
      <c r="L5" s="1392"/>
      <c r="M5" s="1392"/>
      <c r="N5" s="1392"/>
      <c r="O5" s="1392"/>
      <c r="P5" s="1392"/>
    </row>
    <row r="6" spans="1:16" ht="15" thickBot="1">
      <c r="A6" s="2232"/>
      <c r="B6" s="3076" t="s">
        <v>1916</v>
      </c>
      <c r="C6" s="3076"/>
      <c r="D6" s="48">
        <f>ROUND($D$3*E6/$E$3,2)</f>
        <v>48267.47</v>
      </c>
      <c r="E6" s="49">
        <f>E3-E5</f>
        <v>364906</v>
      </c>
      <c r="F6" s="1392"/>
      <c r="G6" s="2233" t="s">
        <v>1917</v>
      </c>
      <c r="H6" s="1399" t="s">
        <v>1918</v>
      </c>
      <c r="I6" s="939">
        <f>ROUND(F31/D31,2)</f>
        <v>5.23</v>
      </c>
      <c r="J6" s="1392"/>
      <c r="K6" s="1392"/>
      <c r="L6" s="1392"/>
      <c r="M6" s="1392"/>
      <c r="N6" s="1392"/>
      <c r="O6" s="1392"/>
      <c r="P6" s="1392"/>
    </row>
    <row r="7" spans="1:16" ht="15">
      <c r="A7" s="3068"/>
      <c r="B7" s="3069"/>
      <c r="C7" s="3070"/>
      <c r="D7" s="2229" t="s">
        <v>1912</v>
      </c>
      <c r="E7" s="2234" t="s">
        <v>1919</v>
      </c>
      <c r="F7" s="1392"/>
      <c r="G7" s="2226" t="s">
        <v>1920</v>
      </c>
      <c r="H7" s="64"/>
      <c r="I7" s="420"/>
      <c r="J7" s="1392"/>
      <c r="K7" s="1392"/>
      <c r="L7" s="1392"/>
      <c r="M7" s="1392"/>
      <c r="N7" s="1392"/>
      <c r="O7" s="1392"/>
      <c r="P7" s="1392"/>
    </row>
    <row r="8" spans="1:16">
      <c r="A8" s="47" t="s">
        <v>1921</v>
      </c>
      <c r="B8" s="50" t="s">
        <v>1922</v>
      </c>
      <c r="C8" s="48" t="s">
        <v>1923</v>
      </c>
      <c r="D8" s="48">
        <f t="shared" ref="D8:D15" si="0">ROUND($D$3*E8/$E$3,2)</f>
        <v>33397.43</v>
      </c>
      <c r="E8" s="51">
        <f>SUMIF('数据-基础表'!BB10:BK10,"地上",'数据-基础表'!BB5:BK5)</f>
        <v>252487.32</v>
      </c>
      <c r="F8" s="1392"/>
      <c r="G8" s="2235"/>
      <c r="H8" s="2235"/>
      <c r="I8" s="1392"/>
      <c r="J8" s="1392"/>
      <c r="K8" s="1392"/>
      <c r="L8" s="1392"/>
      <c r="M8" s="1392"/>
      <c r="N8" s="1392"/>
      <c r="O8" s="1392"/>
      <c r="P8" s="1392"/>
    </row>
    <row r="9" spans="1:16">
      <c r="A9" s="2236"/>
      <c r="B9" s="2237"/>
      <c r="C9" s="48" t="s">
        <v>1924</v>
      </c>
      <c r="D9" s="48">
        <f t="shared" si="0"/>
        <v>0</v>
      </c>
      <c r="E9" s="52">
        <v>0</v>
      </c>
      <c r="F9" s="1392"/>
      <c r="G9" s="2235"/>
      <c r="H9" s="2235"/>
      <c r="I9" s="1392"/>
      <c r="J9" s="1392"/>
      <c r="K9" s="1392"/>
      <c r="L9" s="1392"/>
      <c r="M9" s="1392"/>
      <c r="N9" s="1392"/>
      <c r="O9" s="1392"/>
      <c r="P9" s="1392"/>
    </row>
    <row r="10" spans="1:16">
      <c r="A10" s="2236"/>
      <c r="B10" s="2237"/>
      <c r="C10" s="48" t="s">
        <v>1933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1926</v>
      </c>
      <c r="D12" s="48">
        <f t="shared" si="0"/>
        <v>3668.34</v>
      </c>
      <c r="E12" s="51">
        <f>SUMPRODUCT(('数据-基础表'!BB10:BK10="地下")*('数据-基础表'!BB11:BK11="仓储")*('数据-基础表'!BB5:BK5))</f>
        <v>27732.94</v>
      </c>
      <c r="F12" s="1392"/>
      <c r="G12" s="2235"/>
      <c r="H12" s="2235"/>
      <c r="I12" s="1392"/>
      <c r="J12" s="1392"/>
      <c r="K12" s="1392"/>
      <c r="L12" s="1392"/>
      <c r="M12" s="1392"/>
      <c r="N12" s="1392"/>
      <c r="O12" s="1392"/>
      <c r="P12" s="1392"/>
    </row>
    <row r="13" spans="1:16">
      <c r="A13" s="2236"/>
      <c r="B13" s="2237"/>
      <c r="C13" s="48" t="s">
        <v>1927</v>
      </c>
      <c r="D13" s="48">
        <f t="shared" si="0"/>
        <v>11201.7</v>
      </c>
      <c r="E13" s="51">
        <f>SUMPRODUCT(('数据-基础表'!BB10:BK10="地下")*('数据-基础表'!BB11:BK11="车库")*('数据-基础表'!BB5:BK5))</f>
        <v>84685.74</v>
      </c>
      <c r="F13" s="1392"/>
      <c r="G13" s="2235"/>
      <c r="H13" s="2235"/>
      <c r="I13" s="1392"/>
      <c r="J13" s="1392"/>
      <c r="K13" s="1392"/>
      <c r="L13" s="1392"/>
      <c r="M13" s="1392"/>
      <c r="N13" s="1392"/>
      <c r="O13" s="1392"/>
      <c r="P13" s="1392"/>
    </row>
    <row r="14" spans="1:16">
      <c r="A14" s="2236"/>
      <c r="B14" s="2237"/>
      <c r="C14" s="48" t="s">
        <v>1939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1928</v>
      </c>
      <c r="D16" s="50">
        <f>SUM(D8:D15)</f>
        <v>48267.47</v>
      </c>
      <c r="E16" s="53">
        <f>SUM(E8:E15)</f>
        <v>364906</v>
      </c>
      <c r="F16" s="1392"/>
      <c r="G16" s="2235"/>
      <c r="H16" s="2238" t="s">
        <v>1940</v>
      </c>
      <c r="I16" s="2239"/>
      <c r="J16" s="1392"/>
      <c r="K16" s="3065" t="s">
        <v>1940</v>
      </c>
      <c r="L16" s="3066"/>
      <c r="M16" s="3066"/>
      <c r="N16" s="3066"/>
      <c r="O16" s="3066"/>
      <c r="P16" s="3067"/>
    </row>
    <row r="17" spans="1:19" ht="15">
      <c r="A17" s="2240" t="s">
        <v>1941</v>
      </c>
      <c r="B17" s="2241" t="s">
        <v>1942</v>
      </c>
      <c r="C17" s="2242" t="s">
        <v>1943</v>
      </c>
      <c r="D17" s="2243" t="s">
        <v>1931</v>
      </c>
      <c r="E17" s="2244" t="s">
        <v>1932</v>
      </c>
      <c r="F17" s="2245"/>
      <c r="G17" s="2246"/>
      <c r="H17" s="2247" t="s">
        <v>1944</v>
      </c>
      <c r="I17" s="2248" t="s">
        <v>1929</v>
      </c>
      <c r="J17" s="1392"/>
      <c r="K17" s="3062" t="s">
        <v>1945</v>
      </c>
      <c r="L17" s="3063"/>
      <c r="M17" s="3064"/>
      <c r="N17" s="3062" t="s">
        <v>1946</v>
      </c>
      <c r="O17" s="3063"/>
      <c r="P17" s="3064"/>
      <c r="R17" s="2226" t="s">
        <v>1947</v>
      </c>
      <c r="S17" s="64"/>
    </row>
    <row r="18" spans="1:19" ht="15">
      <c r="A18" s="2236"/>
      <c r="B18" s="2249"/>
      <c r="C18" s="2250"/>
      <c r="D18" s="2251"/>
      <c r="E18" s="2252" t="s">
        <v>1948</v>
      </c>
      <c r="F18" s="2253" t="s">
        <v>1949</v>
      </c>
      <c r="G18" s="2254" t="s">
        <v>1950</v>
      </c>
      <c r="H18" s="1262" t="s">
        <v>1951</v>
      </c>
      <c r="I18" s="2255" t="s">
        <v>1952</v>
      </c>
      <c r="J18" s="1392"/>
      <c r="K18" s="1262" t="s">
        <v>1953</v>
      </c>
      <c r="L18" s="2256" t="s">
        <v>1954</v>
      </c>
      <c r="M18" s="1046" t="s">
        <v>1955</v>
      </c>
      <c r="N18" s="1262" t="s">
        <v>1953</v>
      </c>
      <c r="O18" s="2256" t="s">
        <v>1954</v>
      </c>
      <c r="P18" s="1046" t="s">
        <v>1955</v>
      </c>
      <c r="R18" s="1247" t="s">
        <v>1956</v>
      </c>
      <c r="S18" s="1247" t="s">
        <v>1957</v>
      </c>
    </row>
    <row r="19" spans="1:19">
      <c r="A19" s="2257"/>
      <c r="B19" s="50" t="s">
        <v>1930</v>
      </c>
      <c r="C19" s="2972" t="s">
        <v>3076</v>
      </c>
      <c r="D19" s="48">
        <f>ROUND($D$3*E19/$E$3,2)</f>
        <v>3887.73</v>
      </c>
      <c r="E19" s="56">
        <f t="shared" ref="E19:E26" si="1">SUM(F19:G19)</f>
        <v>29391.56</v>
      </c>
      <c r="F19" s="57">
        <f>'数据-基础表'!I5</f>
        <v>29391.56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3887.73</v>
      </c>
      <c r="S19" s="1248">
        <f t="shared" si="5"/>
        <v>29391.56</v>
      </c>
    </row>
    <row r="20" spans="1:19">
      <c r="A20" s="2260"/>
      <c r="B20" s="50" t="s">
        <v>1958</v>
      </c>
      <c r="C20" s="2972" t="s">
        <v>3077</v>
      </c>
      <c r="D20" s="48">
        <f t="shared" ref="D20:D26" si="6">ROUND($D$3*E20/$E$3,2)</f>
        <v>7328.45</v>
      </c>
      <c r="E20" s="56">
        <f t="shared" si="1"/>
        <v>55403.69</v>
      </c>
      <c r="F20" s="57">
        <f>'数据-基础表'!M5</f>
        <v>55403.69</v>
      </c>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7328.45</v>
      </c>
      <c r="S20" s="1248">
        <f t="shared" si="5"/>
        <v>55403.69</v>
      </c>
    </row>
    <row r="21" spans="1:19">
      <c r="A21" s="2260"/>
      <c r="B21" s="50" t="s">
        <v>1958</v>
      </c>
      <c r="C21" s="2972" t="s">
        <v>3119</v>
      </c>
      <c r="D21" s="48">
        <f t="shared" si="6"/>
        <v>22181.25</v>
      </c>
      <c r="E21" s="56">
        <f t="shared" si="1"/>
        <v>167692.07</v>
      </c>
      <c r="F21" s="57">
        <f>'数据-基础表'!K5</f>
        <v>167692.07</v>
      </c>
      <c r="G21" s="58"/>
      <c r="H21" s="723">
        <f t="shared" si="7"/>
        <v>0</v>
      </c>
      <c r="I21" s="51">
        <f t="shared" si="2"/>
        <v>0</v>
      </c>
      <c r="J21" s="1392"/>
      <c r="K21" s="1391">
        <f t="shared" si="3"/>
        <v>0</v>
      </c>
      <c r="L21" s="1247">
        <f t="shared" si="4"/>
        <v>0</v>
      </c>
      <c r="M21" s="1403">
        <f t="shared" si="8"/>
        <v>0</v>
      </c>
      <c r="N21" s="2258"/>
      <c r="O21" s="2259"/>
      <c r="P21" s="1403">
        <f t="shared" si="9"/>
        <v>0</v>
      </c>
      <c r="R21" s="1247">
        <f t="shared" si="5"/>
        <v>22181.25</v>
      </c>
      <c r="S21" s="1248">
        <f t="shared" si="5"/>
        <v>167692.07</v>
      </c>
    </row>
    <row r="22" spans="1:19">
      <c r="A22" s="2260"/>
      <c r="B22" s="50" t="s">
        <v>1958</v>
      </c>
      <c r="C22" s="2973" t="s">
        <v>3078</v>
      </c>
      <c r="D22" s="48">
        <f t="shared" si="6"/>
        <v>11201.7</v>
      </c>
      <c r="E22" s="56">
        <f t="shared" si="1"/>
        <v>84685.74</v>
      </c>
      <c r="F22" s="61"/>
      <c r="G22" s="62">
        <f>'数据-基础表'!O5</f>
        <v>84685.74</v>
      </c>
      <c r="H22" s="723">
        <f t="shared" si="7"/>
        <v>0</v>
      </c>
      <c r="I22" s="51">
        <f t="shared" si="2"/>
        <v>0</v>
      </c>
      <c r="J22" s="1392"/>
      <c r="K22" s="1391">
        <f t="shared" si="3"/>
        <v>0</v>
      </c>
      <c r="L22" s="1247">
        <f t="shared" si="4"/>
        <v>0</v>
      </c>
      <c r="M22" s="1403">
        <f t="shared" si="8"/>
        <v>0</v>
      </c>
      <c r="N22" s="2258"/>
      <c r="O22" s="2259"/>
      <c r="P22" s="1403">
        <f t="shared" si="9"/>
        <v>0</v>
      </c>
      <c r="R22" s="1247">
        <f t="shared" si="5"/>
        <v>11201.7</v>
      </c>
      <c r="S22" s="1248">
        <f t="shared" si="5"/>
        <v>84685.74</v>
      </c>
    </row>
    <row r="23" spans="1:19">
      <c r="A23" s="2260"/>
      <c r="B23" s="50" t="s">
        <v>1958</v>
      </c>
      <c r="C23" s="2973" t="s">
        <v>3079</v>
      </c>
      <c r="D23" s="48">
        <f>ROUND($D$3*E23/$E$3,2)</f>
        <v>3668.34</v>
      </c>
      <c r="E23" s="56">
        <f>SUM(F23:G23)</f>
        <v>27732.94</v>
      </c>
      <c r="F23" s="61"/>
      <c r="G23" s="62">
        <f>'数据-基础表'!Q5</f>
        <v>27732.94</v>
      </c>
      <c r="H23" s="723">
        <f>ROUND($D$3*I23/$E$3,2)</f>
        <v>0</v>
      </c>
      <c r="I23" s="51">
        <f t="shared" si="2"/>
        <v>0</v>
      </c>
      <c r="J23" s="1392"/>
      <c r="K23" s="1391">
        <f t="shared" si="3"/>
        <v>0</v>
      </c>
      <c r="L23" s="1247">
        <f t="shared" si="4"/>
        <v>0</v>
      </c>
      <c r="M23" s="1403">
        <f t="shared" si="8"/>
        <v>0</v>
      </c>
      <c r="N23" s="2258"/>
      <c r="O23" s="2259"/>
      <c r="P23" s="1403">
        <f t="shared" si="9"/>
        <v>0</v>
      </c>
      <c r="R23" s="1247">
        <f t="shared" si="5"/>
        <v>3668.34</v>
      </c>
      <c r="S23" s="1248">
        <f t="shared" si="5"/>
        <v>27732.94</v>
      </c>
    </row>
    <row r="24" spans="1:19">
      <c r="A24" s="2260"/>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1959</v>
      </c>
      <c r="D27" s="1393">
        <f>SUM(D19:D26)</f>
        <v>48267.47</v>
      </c>
      <c r="E27" s="1394">
        <f>IF(SUM(E19:E26)='数据-基础表'!BA5,SUM(E19:E26),IF(F27="地上面积有误","面积有误","地下面积有误"))</f>
        <v>364906</v>
      </c>
      <c r="F27" s="1393">
        <f>IF(SUM(F19:F26)=E8,SUM(F19:F26),"地上面积有误")</f>
        <v>252487.32</v>
      </c>
      <c r="G27" s="1395">
        <f>SUM(G19:G26)</f>
        <v>112418.68000000001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48267.47</v>
      </c>
      <c r="S27" s="1247">
        <f>IF(SUM(S19:S26)=$E$3,SUM(S19:S26),SUM(S19:S26)&amp;"误差"&amp;ROUND(SUM(S19:S26)-E3,2))</f>
        <v>364906</v>
      </c>
    </row>
    <row r="28" spans="1:19">
      <c r="A28" s="2260"/>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1960</v>
      </c>
      <c r="C29" s="2264"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1963</v>
      </c>
      <c r="D31" s="729">
        <f>D27+D30</f>
        <v>48267.47</v>
      </c>
      <c r="E31" s="729">
        <f>E27+E30</f>
        <v>364906</v>
      </c>
      <c r="F31" s="730">
        <f>F27+F30</f>
        <v>252487.32</v>
      </c>
      <c r="G31" s="731">
        <f>G27+G30</f>
        <v>112418.68000000001</v>
      </c>
      <c r="H31" s="1392"/>
      <c r="I31" s="1392"/>
      <c r="J31" s="1392"/>
      <c r="K31" s="1392"/>
      <c r="L31" s="1392"/>
      <c r="M31" s="1392"/>
      <c r="N31" s="1392"/>
      <c r="O31" s="1392"/>
      <c r="P31" s="1392"/>
    </row>
    <row r="32" spans="1:19">
      <c r="A32" s="2231"/>
      <c r="B32" s="2231" t="s">
        <v>1964</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0.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1966</v>
      </c>
      <c r="B2" s="1266">
        <f>项目基本情况!D3</f>
        <v>43622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2" t="s">
        <v>1971</v>
      </c>
      <c r="AA4" s="2242"/>
      <c r="AB4" s="2242"/>
      <c r="AC4" s="2242"/>
      <c r="AD4" s="2242"/>
      <c r="AE4" s="2240" t="s">
        <v>1972</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1973</v>
      </c>
      <c r="B5" s="2287" t="s">
        <v>1974</v>
      </c>
      <c r="C5" s="2288" t="s">
        <v>1975</v>
      </c>
      <c r="D5" s="2289" t="s">
        <v>1976</v>
      </c>
      <c r="E5" s="1268" t="s">
        <v>1977</v>
      </c>
      <c r="F5" s="2290" t="s">
        <v>1978</v>
      </c>
      <c r="G5" s="1268" t="s">
        <v>1979</v>
      </c>
      <c r="H5" s="1268" t="s">
        <v>1980</v>
      </c>
      <c r="I5" s="1268" t="s">
        <v>1981</v>
      </c>
      <c r="J5" s="2291" t="s">
        <v>1982</v>
      </c>
      <c r="K5" s="2292" t="s">
        <v>1983</v>
      </c>
      <c r="L5" s="2293" t="s">
        <v>1984</v>
      </c>
      <c r="M5" s="2294" t="s">
        <v>1985</v>
      </c>
      <c r="N5" s="2295" t="s">
        <v>3080</v>
      </c>
      <c r="O5" s="2293" t="s">
        <v>1986</v>
      </c>
      <c r="P5" s="2296" t="s">
        <v>1987</v>
      </c>
      <c r="Q5" s="69" t="s">
        <v>1988</v>
      </c>
      <c r="R5" s="2297" t="s">
        <v>1989</v>
      </c>
      <c r="S5" s="2298" t="s">
        <v>1990</v>
      </c>
      <c r="T5" s="2299" t="s">
        <v>1991</v>
      </c>
      <c r="U5" s="1267" t="s">
        <v>1992</v>
      </c>
      <c r="V5" s="1268" t="s">
        <v>1993</v>
      </c>
      <c r="W5" s="1268" t="s">
        <v>1994</v>
      </c>
      <c r="X5" s="71"/>
      <c r="Y5" s="70" t="s">
        <v>1995</v>
      </c>
      <c r="Z5" s="2300" t="s">
        <v>1992</v>
      </c>
      <c r="AA5" s="1268" t="s">
        <v>1993</v>
      </c>
      <c r="AB5" s="1268" t="s">
        <v>1994</v>
      </c>
      <c r="AC5" s="71"/>
      <c r="AD5" s="71" t="s">
        <v>1995</v>
      </c>
      <c r="AE5" s="1267" t="s">
        <v>1996</v>
      </c>
      <c r="AF5" s="1268" t="s">
        <v>1997</v>
      </c>
      <c r="AG5" s="70" t="s">
        <v>1998</v>
      </c>
      <c r="AH5" s="1267" t="s">
        <v>1999</v>
      </c>
      <c r="AI5" s="2300" t="s">
        <v>2000</v>
      </c>
      <c r="AJ5" s="2300" t="s">
        <v>2001</v>
      </c>
      <c r="AK5" s="1268" t="s">
        <v>2002</v>
      </c>
      <c r="AL5" s="1268" t="s">
        <v>2003</v>
      </c>
      <c r="AM5" s="70" t="s">
        <v>2004</v>
      </c>
      <c r="AN5" s="2301" t="s">
        <v>2005</v>
      </c>
      <c r="AO5" s="2072" t="s">
        <v>2006</v>
      </c>
      <c r="AP5" s="1249" t="s">
        <v>2007</v>
      </c>
      <c r="AQ5" s="2302" t="s">
        <v>2008</v>
      </c>
      <c r="AR5" s="2302"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53108</v>
      </c>
      <c r="F6" s="72">
        <f>SUMIF(项目基本情况!D$12:I$12,C6,项目基本情况!D$15:I$15)</f>
        <v>25.98</v>
      </c>
      <c r="G6" s="73">
        <f>IF(ISERROR(ROUND(POWER(1+H6,D6-F6)*(POWER(1+H6,F6)-1)/(POWER(1+H6,D6)-1),3)),0,ROUND(POWER(1+H6,D6-F6)*(POWER(1+H6,F6)-1)/(POWER(1+H6,D6)-1),3))</f>
        <v>0.83699999999999997</v>
      </c>
      <c r="H6" s="802">
        <v>0.05</v>
      </c>
      <c r="I6" s="802">
        <v>0.06</v>
      </c>
      <c r="J6" s="74">
        <v>8.5000000000000006E-2</v>
      </c>
      <c r="K6" s="1251">
        <f>SUMIF('数据-汇总表'!C$19:C$33,A6,'数据-汇总表'!E$19:E$33)</f>
        <v>29391.56</v>
      </c>
      <c r="L6" s="803">
        <v>3500</v>
      </c>
      <c r="M6" s="75">
        <f t="shared" ref="M6:M14" si="0">ROUND(K6*L6/10000,0)</f>
        <v>10287</v>
      </c>
      <c r="N6" s="801">
        <f>ROUND(1-(2019-2010)/60,2)</f>
        <v>0.85</v>
      </c>
      <c r="O6" s="75" t="str">
        <f>IF($N$5="成新度","——",ROUND(M6*N6,0))</f>
        <v>——</v>
      </c>
      <c r="P6" s="76" t="str">
        <f>IF($N$5="成新度","——",M6-O6)</f>
        <v>——</v>
      </c>
      <c r="Q6" s="804">
        <v>0.2</v>
      </c>
      <c r="R6" s="77">
        <f ca="1">SUMIF('数据-汇总表'!C$19:C$33,A6,'数据-汇总表'!R$19:R$27)</f>
        <v>3887.73</v>
      </c>
      <c r="S6" s="54">
        <f>IF('数据-汇总表'!$I$17="按面积比例",SUMIF('数据-汇总表'!C$19:C$33,A6,'数据-汇总表'!K$19:K$33),SUMIF('数据-汇总表'!C$19:C$33,A6,'数据-汇总表'!N$19:N$33))</f>
        <v>0</v>
      </c>
      <c r="T6" s="1443">
        <f>ROUND($L$14*S6/10000,0)</f>
        <v>0</v>
      </c>
      <c r="U6" s="78">
        <v>4.5</v>
      </c>
      <c r="V6" s="79">
        <v>0.03</v>
      </c>
      <c r="W6" s="79">
        <v>0.1</v>
      </c>
      <c r="X6" s="1261"/>
      <c r="Y6" s="80">
        <f>N6</f>
        <v>0.85</v>
      </c>
      <c r="Z6" s="81"/>
      <c r="AA6" s="74"/>
      <c r="AB6" s="74"/>
      <c r="AC6" s="1261"/>
      <c r="AD6" s="82"/>
      <c r="AE6" s="1262">
        <f ca="1">IF(AN6="",0,SUMIF(INDIRECT("'"&amp;AN6&amp;"'"&amp;"!E:E"),$AE$5,INDIRECT("'"&amp;AN6&amp;"'"&amp;"!F:F")))</f>
        <v>25.98</v>
      </c>
      <c r="AF6" s="1804"/>
      <c r="AG6" s="147">
        <f>IF(AF6="",0,AE6-AF6)</f>
        <v>0</v>
      </c>
      <c r="AH6" s="83"/>
      <c r="AI6" s="85">
        <v>365</v>
      </c>
      <c r="AJ6" s="86"/>
      <c r="AK6" s="87">
        <v>1.4999999999999999E-2</v>
      </c>
      <c r="AL6" s="88">
        <v>1.5E-3</v>
      </c>
      <c r="AM6" s="89">
        <v>0.01</v>
      </c>
      <c r="AN6" s="2306" t="s">
        <v>3128</v>
      </c>
      <c r="AO6" s="55">
        <f ca="1">SUMIF(INDIRECT("'"&amp;AN6&amp;"'"&amp;"!A:A"),"总价",INDIRECT("'"&amp;AN6&amp;"'"&amp;"!B:B"))</f>
        <v>57633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酒店</v>
      </c>
      <c r="B7" s="2304" t="str">
        <f t="shared" ref="B7:B13" si="1">IF(A7=0,"","经营性")</f>
        <v>经营性</v>
      </c>
      <c r="C7" s="2305" t="s">
        <v>1373</v>
      </c>
      <c r="D7" s="1051">
        <f>SUMIF(项目基本情况!D$12:I$12,C7,项目基本情况!D$14:I$14)</f>
        <v>40</v>
      </c>
      <c r="E7" s="1048">
        <f>IF(B7="","",SUMIF(项目基本情况!D$12:I$12,C7,项目基本情况!D$13:I$13))</f>
        <v>53108</v>
      </c>
      <c r="F7" s="72">
        <f>SUMIF(项目基本情况!D$12:I$12,C7,项目基本情况!D$15:I$15)</f>
        <v>25.98</v>
      </c>
      <c r="G7" s="73">
        <f t="shared" ref="G7:G11" si="2">IF(ISERROR(ROUND(POWER(1+H7,D7-F7)*(POWER(1+H7,F7)-1)/(POWER(1+H7,D7)-1),3)),0,ROUND(POWER(1+H7,D7-F7)*(POWER(1+H7,F7)-1)/(POWER(1+H7,D7)-1),3))</f>
        <v>0.83699999999999997</v>
      </c>
      <c r="H7" s="802">
        <v>0.05</v>
      </c>
      <c r="I7" s="802">
        <v>0.06</v>
      </c>
      <c r="J7" s="74">
        <v>8.5000000000000006E-2</v>
      </c>
      <c r="K7" s="1251">
        <f>SUMIF('数据-汇总表'!C$19:C$33,A7,'数据-汇总表'!E$19:E$33)</f>
        <v>55403.69</v>
      </c>
      <c r="L7" s="803">
        <f>L6</f>
        <v>3500</v>
      </c>
      <c r="M7" s="75">
        <f t="shared" si="0"/>
        <v>19391</v>
      </c>
      <c r="N7" s="801">
        <f>N6</f>
        <v>0.85</v>
      </c>
      <c r="O7" s="75" t="str">
        <f t="shared" ref="O7:O14" si="3">IF($N$5="成新度","——",ROUND(M7*N7,0))</f>
        <v>——</v>
      </c>
      <c r="P7" s="76" t="str">
        <f t="shared" ref="P7:P14" si="4">IF($N$5="成新度","——",M7-O7)</f>
        <v>——</v>
      </c>
      <c r="Q7" s="804">
        <v>0.2</v>
      </c>
      <c r="R7" s="77">
        <f ca="1">SUMIF('数据-汇总表'!C$19:C$33,A7,'数据-汇总表'!R$19:R$27)</f>
        <v>7328.45</v>
      </c>
      <c r="S7" s="54">
        <f>IF('数据-汇总表'!$I$17="按面积比例",SUMIF('数据-汇总表'!C$19:C$33,A7,'数据-汇总表'!K$19:K$33),SUMIF('数据-汇总表'!C$19:C$33,A7,'数据-汇总表'!N$19:N$33))</f>
        <v>0</v>
      </c>
      <c r="T7" s="1443">
        <f t="shared" ref="T7:T13" si="5">ROUND($L$14*S7/10000,0)</f>
        <v>0</v>
      </c>
      <c r="U7" s="78">
        <v>4.5</v>
      </c>
      <c r="V7" s="79">
        <v>0.03</v>
      </c>
      <c r="W7" s="79">
        <v>0.1</v>
      </c>
      <c r="X7" s="1261"/>
      <c r="Y7" s="80">
        <f>N7</f>
        <v>0.85</v>
      </c>
      <c r="Z7" s="81"/>
      <c r="AA7" s="74"/>
      <c r="AB7" s="74"/>
      <c r="AC7" s="1261"/>
      <c r="AD7" s="82"/>
      <c r="AE7" s="1262">
        <f t="shared" ref="AE7:AE13" ca="1" si="6">IF(AN7="",0,SUMIF(INDIRECT("'"&amp;AN7&amp;"'"&amp;"!E:E"),$AE$5,INDIRECT("'"&amp;AN7&amp;"'"&amp;"!F:F")))</f>
        <v>25.98</v>
      </c>
      <c r="AF7" s="1804"/>
      <c r="AG7" s="147">
        <f t="shared" ref="AG7:AG13" si="7">IF(AF7="",0,AE7-AF7)</f>
        <v>0</v>
      </c>
      <c r="AH7" s="83"/>
      <c r="AI7" s="85">
        <v>365</v>
      </c>
      <c r="AJ7" s="86"/>
      <c r="AK7" s="87">
        <v>1.4999999999999999E-2</v>
      </c>
      <c r="AL7" s="88">
        <v>1.5E-3</v>
      </c>
      <c r="AM7" s="89">
        <v>0.01</v>
      </c>
      <c r="AN7" s="2306" t="s">
        <v>3107</v>
      </c>
      <c r="AO7" s="55">
        <f t="shared" ref="AO7:AO13" ca="1" si="8">SUMIF(INDIRECT("'"&amp;AN7&amp;"'"&amp;"!A:A"),"总价",INDIRECT("'"&amp;AN7&amp;"'"&amp;"!B:B"))</f>
        <v>108660</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会展</v>
      </c>
      <c r="B8" s="2304" t="str">
        <f t="shared" si="1"/>
        <v>经营性</v>
      </c>
      <c r="C8" s="2305" t="s">
        <v>27</v>
      </c>
      <c r="D8" s="1051">
        <f>SUMIF(项目基本情况!D$12:I$12,C8,项目基本情况!D$14:I$14)</f>
        <v>50</v>
      </c>
      <c r="E8" s="1048">
        <f>IF(B8="","",SUMIF(项目基本情况!D$12:I$12,C8,项目基本情况!D$13:I$13))</f>
        <v>56760</v>
      </c>
      <c r="F8" s="72">
        <f>SUMIF(项目基本情况!D$12:I$12,C8,项目基本情况!D$15:I$15)</f>
        <v>35.99</v>
      </c>
      <c r="G8" s="73">
        <f t="shared" si="2"/>
        <v>0.90600000000000003</v>
      </c>
      <c r="H8" s="802">
        <v>0.05</v>
      </c>
      <c r="I8" s="802">
        <v>0.06</v>
      </c>
      <c r="J8" s="74">
        <v>8.5000000000000006E-2</v>
      </c>
      <c r="K8" s="1251">
        <f>SUMIF('数据-汇总表'!C$19:C$33,A8,'数据-汇总表'!E$19:E$33)</f>
        <v>167692.07</v>
      </c>
      <c r="L8" s="803">
        <f>L6</f>
        <v>3500</v>
      </c>
      <c r="M8" s="75">
        <f>ROUND(K8*L8/10000,0)</f>
        <v>58692</v>
      </c>
      <c r="N8" s="801">
        <f>N6</f>
        <v>0.85</v>
      </c>
      <c r="O8" s="75" t="str">
        <f t="shared" si="3"/>
        <v>——</v>
      </c>
      <c r="P8" s="76" t="str">
        <f t="shared" si="4"/>
        <v>——</v>
      </c>
      <c r="Q8" s="804">
        <v>0.2</v>
      </c>
      <c r="R8" s="77">
        <f ca="1">SUMIF('数据-汇总表'!C$19:C$33,A8,'数据-汇总表'!R$19:R$27)</f>
        <v>22181.25</v>
      </c>
      <c r="S8" s="54">
        <f>IF('数据-汇总表'!$I$17="按面积比例",SUMIF('数据-汇总表'!C$19:C$33,A8,'数据-汇总表'!K$19:K$33),SUMIF('数据-汇总表'!C$19:C$33,A8,'数据-汇总表'!N$19:N$33))</f>
        <v>0</v>
      </c>
      <c r="T8" s="1443">
        <f t="shared" si="5"/>
        <v>0</v>
      </c>
      <c r="U8" s="805">
        <v>4.5</v>
      </c>
      <c r="V8" s="806">
        <v>0.03</v>
      </c>
      <c r="W8" s="806">
        <v>0.1</v>
      </c>
      <c r="X8" s="1261"/>
      <c r="Y8" s="807">
        <f>N8</f>
        <v>0.85</v>
      </c>
      <c r="Z8" s="81"/>
      <c r="AA8" s="74"/>
      <c r="AB8" s="74"/>
      <c r="AC8" s="1261"/>
      <c r="AD8" s="82"/>
      <c r="AE8" s="1262">
        <f t="shared" ca="1" si="6"/>
        <v>35.99</v>
      </c>
      <c r="AF8" s="1804"/>
      <c r="AG8" s="147">
        <f t="shared" si="7"/>
        <v>0</v>
      </c>
      <c r="AH8" s="808"/>
      <c r="AI8" s="85">
        <v>365</v>
      </c>
      <c r="AJ8" s="86"/>
      <c r="AK8" s="809">
        <v>1.4999999999999999E-2</v>
      </c>
      <c r="AL8" s="810">
        <v>1.5E-3</v>
      </c>
      <c r="AM8" s="811">
        <v>0.01</v>
      </c>
      <c r="AN8" s="2306" t="s">
        <v>3130</v>
      </c>
      <c r="AO8" s="55">
        <f t="shared" ca="1" si="8"/>
        <v>402987</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地下车库</v>
      </c>
      <c r="B9" s="2304" t="str">
        <f t="shared" si="1"/>
        <v>经营性</v>
      </c>
      <c r="C9" s="2305" t="s">
        <v>3074</v>
      </c>
      <c r="D9" s="1051">
        <f>SUMIF(项目基本情况!D$12:I$12,C9,项目基本情况!D$14:I$14)</f>
        <v>50</v>
      </c>
      <c r="E9" s="1048">
        <f>IF(B9="","",SUMIF(项目基本情况!D$12:I$12,C9,项目基本情况!D$13:I$13))</f>
        <v>56760</v>
      </c>
      <c r="F9" s="72">
        <f>SUMIF(项目基本情况!D$12:I$12,C9,项目基本情况!D$15:I$15)</f>
        <v>35.99</v>
      </c>
      <c r="G9" s="73">
        <f t="shared" si="2"/>
        <v>0.89400000000000002</v>
      </c>
      <c r="H9" s="74">
        <v>4.4999999999999998E-2</v>
      </c>
      <c r="I9" s="74">
        <v>0.05</v>
      </c>
      <c r="J9" s="74">
        <v>8.5000000000000006E-2</v>
      </c>
      <c r="K9" s="1251">
        <f>SUMIF('数据-汇总表'!C$19:C$33,A9,'数据-汇总表'!E$19:E$33)</f>
        <v>84685.74</v>
      </c>
      <c r="L9" s="803">
        <f>L6</f>
        <v>3500</v>
      </c>
      <c r="M9" s="75">
        <f t="shared" si="0"/>
        <v>29640</v>
      </c>
      <c r="N9" s="801">
        <f>N6</f>
        <v>0.85</v>
      </c>
      <c r="O9" s="75" t="str">
        <f t="shared" si="3"/>
        <v>——</v>
      </c>
      <c r="P9" s="76" t="str">
        <f t="shared" si="4"/>
        <v>——</v>
      </c>
      <c r="Q9" s="90">
        <v>0.1</v>
      </c>
      <c r="R9" s="77">
        <f ca="1">SUMIF('数据-汇总表'!C$19:C$33,A9,'数据-汇总表'!R$19:R$27)</f>
        <v>11201.7</v>
      </c>
      <c r="S9" s="54">
        <f>IF('数据-汇总表'!$I$17="按面积比例",SUMIF('数据-汇总表'!C$19:C$33,A9,'数据-汇总表'!K$19:K$33),SUMIF('数据-汇总表'!C$19:C$33,A9,'数据-汇总表'!N$19:N$33))</f>
        <v>0</v>
      </c>
      <c r="T9" s="1443">
        <f t="shared" si="5"/>
        <v>0</v>
      </c>
      <c r="U9" s="78">
        <v>1000</v>
      </c>
      <c r="V9" s="79">
        <v>2.5000000000000001E-2</v>
      </c>
      <c r="W9" s="79">
        <v>0.1</v>
      </c>
      <c r="X9" s="1261"/>
      <c r="Y9" s="80">
        <f>N9</f>
        <v>0.85</v>
      </c>
      <c r="Z9" s="81"/>
      <c r="AA9" s="74"/>
      <c r="AB9" s="74"/>
      <c r="AC9" s="1261"/>
      <c r="AD9" s="82"/>
      <c r="AE9" s="1262">
        <f t="shared" ca="1" si="6"/>
        <v>35.99</v>
      </c>
      <c r="AF9" s="1804"/>
      <c r="AG9" s="147">
        <f t="shared" si="7"/>
        <v>0</v>
      </c>
      <c r="AH9" s="2976">
        <v>1942</v>
      </c>
      <c r="AI9" s="85">
        <v>12</v>
      </c>
      <c r="AJ9" s="86"/>
      <c r="AK9" s="87">
        <v>1.4999999999999999E-2</v>
      </c>
      <c r="AL9" s="88">
        <v>1.5E-3</v>
      </c>
      <c r="AM9" s="89">
        <v>0.01</v>
      </c>
      <c r="AN9" s="2306" t="s">
        <v>3110</v>
      </c>
      <c r="AO9" s="55">
        <f t="shared" ca="1" si="8"/>
        <v>23567</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t="str">
        <f>'数据-汇总表'!C23</f>
        <v>地下仓储</v>
      </c>
      <c r="B10" s="2304" t="str">
        <f t="shared" si="1"/>
        <v>经营性</v>
      </c>
      <c r="C10" s="2305" t="s">
        <v>3075</v>
      </c>
      <c r="D10" s="1051">
        <f>SUMIF(项目基本情况!D$12:I$12,C10,项目基本情况!D$14:I$14)</f>
        <v>50</v>
      </c>
      <c r="E10" s="1048">
        <f>IF(B10="","",SUMIF(项目基本情况!D$12:I$12,C10,项目基本情况!D$13:I$13))</f>
        <v>56760</v>
      </c>
      <c r="F10" s="72">
        <f>SUMIF(项目基本情况!D$12:I$12,C10,项目基本情况!D$15:I$15)</f>
        <v>35.99</v>
      </c>
      <c r="G10" s="73">
        <f t="shared" si="2"/>
        <v>0.89400000000000002</v>
      </c>
      <c r="H10" s="74">
        <v>4.4999999999999998E-2</v>
      </c>
      <c r="I10" s="74">
        <v>0.05</v>
      </c>
      <c r="J10" s="74">
        <v>8.5000000000000006E-2</v>
      </c>
      <c r="K10" s="1251">
        <f>SUMIF('数据-汇总表'!C$19:C$33,A10,'数据-汇总表'!E$19:E$33)</f>
        <v>27732.94</v>
      </c>
      <c r="L10" s="803">
        <f>L6</f>
        <v>3500</v>
      </c>
      <c r="M10" s="75">
        <f t="shared" si="0"/>
        <v>9707</v>
      </c>
      <c r="N10" s="801">
        <f>N6</f>
        <v>0.85</v>
      </c>
      <c r="O10" s="75" t="str">
        <f t="shared" si="3"/>
        <v>——</v>
      </c>
      <c r="P10" s="76" t="str">
        <f t="shared" si="4"/>
        <v>——</v>
      </c>
      <c r="Q10" s="90">
        <v>0.1</v>
      </c>
      <c r="R10" s="77">
        <f ca="1">SUMIF('数据-汇总表'!C$19:C$33,A10,'数据-汇总表'!R$19:R$27)</f>
        <v>3668.34</v>
      </c>
      <c r="S10" s="54">
        <f>IF('数据-汇总表'!$I$17="按面积比例",SUMIF('数据-汇总表'!C$19:C$33,A10,'数据-汇总表'!K$19:K$33),SUMIF('数据-汇总表'!C$19:C$33,A10,'数据-汇总表'!N$19:N$33))</f>
        <v>0</v>
      </c>
      <c r="T10" s="1443">
        <f t="shared" si="5"/>
        <v>0</v>
      </c>
      <c r="U10" s="78">
        <v>2</v>
      </c>
      <c r="V10" s="79">
        <v>2.5000000000000001E-2</v>
      </c>
      <c r="W10" s="79">
        <v>0.1</v>
      </c>
      <c r="X10" s="1261"/>
      <c r="Y10" s="80">
        <f>N10</f>
        <v>0.85</v>
      </c>
      <c r="Z10" s="81"/>
      <c r="AA10" s="74"/>
      <c r="AB10" s="74"/>
      <c r="AC10" s="1261"/>
      <c r="AD10" s="82"/>
      <c r="AE10" s="1262">
        <f t="shared" ca="1" si="6"/>
        <v>35.99</v>
      </c>
      <c r="AF10" s="1804"/>
      <c r="AG10" s="147">
        <f t="shared" si="7"/>
        <v>0</v>
      </c>
      <c r="AH10" s="83"/>
      <c r="AI10" s="85">
        <v>365</v>
      </c>
      <c r="AJ10" s="86"/>
      <c r="AK10" s="87">
        <v>1.4999999999999999E-2</v>
      </c>
      <c r="AL10" s="88">
        <v>1.5E-3</v>
      </c>
      <c r="AM10" s="89">
        <v>0.01</v>
      </c>
      <c r="AN10" s="2306" t="s">
        <v>3113</v>
      </c>
      <c r="AO10" s="55">
        <f t="shared" ca="1" si="8"/>
        <v>29250</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2010</v>
      </c>
      <c r="B14" s="2304" t="s">
        <v>2011</v>
      </c>
      <c r="C14" s="2309"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2012</v>
      </c>
      <c r="B15" s="2304" t="s">
        <v>2011</v>
      </c>
      <c r="C15" s="2309"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2014</v>
      </c>
      <c r="B16" s="97"/>
      <c r="C16" s="1005"/>
      <c r="D16" s="2311"/>
      <c r="E16" s="97"/>
      <c r="F16" s="97"/>
      <c r="G16" s="98">
        <f>ROUND(SUMPRODUCT(G6:G13,K6:K13)/SUMPRODUCT((G6:G13&gt;0)*(K6:K13)),3)</f>
        <v>0.88600000000000001</v>
      </c>
      <c r="H16" s="99">
        <f>ROUND(SUMPRODUCT(H6:H13,K6:K13)/SUMPRODUCT((H6:H13&gt;0)*(K6:K13)),3)</f>
        <v>4.8000000000000001E-2</v>
      </c>
      <c r="I16" s="100"/>
      <c r="J16" s="100"/>
      <c r="K16" s="101">
        <f>SUM(K6:K15)</f>
        <v>364906</v>
      </c>
      <c r="L16" s="102">
        <f>ROUND(M16*10000/SUM(K6:K14),0)</f>
        <v>3500</v>
      </c>
      <c r="M16" s="102">
        <f>SUM(M6:M14)</f>
        <v>127717</v>
      </c>
      <c r="N16" s="103">
        <f>ROUND(SUMPRODUCT(M6:M14,N6:N14)/M16,3)</f>
        <v>0.85</v>
      </c>
      <c r="O16" s="102">
        <f>SUM(O6:O14)</f>
        <v>0</v>
      </c>
      <c r="P16" s="102">
        <f>SUM(P6:P14)</f>
        <v>0</v>
      </c>
      <c r="Q16" s="104">
        <f>ROUND(SUMPRODUCT(Q6:Q13,K6:K13)/SUMPRODUCT((Q6:Q13&gt;0)*(K6:K13)),2)</f>
        <v>0.17</v>
      </c>
      <c r="R16" s="1255">
        <f ca="1">SUM(R6:R13)</f>
        <v>48267.47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2016</v>
      </c>
      <c r="B19" s="112">
        <v>0</v>
      </c>
      <c r="C19" s="2274" t="s">
        <v>2017</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2018</v>
      </c>
      <c r="B20" s="113">
        <v>2.5</v>
      </c>
      <c r="C20" s="2274" t="s">
        <v>2019</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2020</v>
      </c>
      <c r="B21" s="113">
        <v>2.5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2021</v>
      </c>
      <c r="B22" s="114">
        <f>B19+B20</f>
        <v>2.5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2022</v>
      </c>
      <c r="B23" s="114">
        <f>B19+B21</f>
        <v>2.5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2023</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2024</v>
      </c>
      <c r="B26" s="2317" t="s">
        <v>2025</v>
      </c>
      <c r="C26" s="2318" t="s">
        <v>2026</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2027</v>
      </c>
      <c r="B27" s="116">
        <v>160</v>
      </c>
      <c r="C27" s="1764" t="s">
        <v>2028</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2029</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2030</v>
      </c>
      <c r="B29" s="121">
        <f ca="1">成本法!C10</f>
        <v>7298</v>
      </c>
      <c r="C29" s="1764" t="s">
        <v>2031</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2032</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2033</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2034</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2035</v>
      </c>
      <c r="B33" s="726">
        <v>0.05</v>
      </c>
      <c r="C33" s="1763" t="s">
        <v>2036</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2037</v>
      </c>
      <c r="B34" s="122">
        <v>0</v>
      </c>
      <c r="C34" s="1763" t="s">
        <v>2038</v>
      </c>
      <c r="D34" s="2275" t="s">
        <v>2039</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2040</v>
      </c>
      <c r="B35" s="119">
        <v>200</v>
      </c>
      <c r="C35" s="1763" t="s">
        <v>2041</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2042</v>
      </c>
      <c r="B36" s="123">
        <v>1.4999999999999999E-2</v>
      </c>
      <c r="C36" s="1763" t="s">
        <v>2043</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2044</v>
      </c>
      <c r="B37" s="124">
        <v>0.02</v>
      </c>
      <c r="C37" s="1763" t="s">
        <v>2045</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2046</v>
      </c>
      <c r="B38" s="122">
        <v>0.02</v>
      </c>
      <c r="C38" s="1763" t="s">
        <v>2045</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2047</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2048</v>
      </c>
      <c r="B40" s="1300">
        <f ca="1">存贷款利率!G1</f>
        <v>4.7500000000000001E-2</v>
      </c>
      <c r="C40" s="1763" t="s">
        <v>2049</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2050</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2051</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2052</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2053</v>
      </c>
      <c r="B44" s="128">
        <v>7.0000000000000007E-2</v>
      </c>
      <c r="C44" s="1763" t="s">
        <v>2054</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2055</v>
      </c>
      <c r="B45" s="126">
        <v>0.03</v>
      </c>
      <c r="C45" s="1764" t="s">
        <v>2056</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2057</v>
      </c>
      <c r="B46" s="126">
        <v>0.02</v>
      </c>
      <c r="C46" s="1764" t="s">
        <v>2058</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2059</v>
      </c>
      <c r="B47" s="129">
        <v>0</v>
      </c>
      <c r="C47" s="1764" t="s">
        <v>2060</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2061</v>
      </c>
      <c r="B48" s="130">
        <v>0.03</v>
      </c>
      <c r="C48" s="1771" t="s">
        <v>2062</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2063</v>
      </c>
      <c r="B49" s="126">
        <v>5.0000000000000001E-4</v>
      </c>
      <c r="C49" s="1771" t="s">
        <v>2064</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2065</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2066</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2067</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2068</v>
      </c>
      <c r="B53" s="2333" t="s">
        <v>523</v>
      </c>
      <c r="C53" s="1427" t="s">
        <v>2069</v>
      </c>
      <c r="D53" s="2334" t="s">
        <v>2070</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2071</v>
      </c>
      <c r="B54" s="84">
        <f>C54</f>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2072</v>
      </c>
      <c r="B55" s="84">
        <f t="shared" ref="B55:B59" si="12">C55</f>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2073</v>
      </c>
      <c r="B56" s="84">
        <f t="shared" si="12"/>
        <v>18</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2074</v>
      </c>
      <c r="B57" s="84">
        <f t="shared" si="12"/>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2075</v>
      </c>
      <c r="B58" s="84">
        <f t="shared" si="12"/>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2076</v>
      </c>
      <c r="B59" s="84">
        <f t="shared" si="12"/>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2077</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2078</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2079</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2080</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7" t="s">
        <v>2081</v>
      </c>
      <c r="B1" s="3078"/>
      <c r="C1" s="3078"/>
      <c r="D1" s="3078"/>
      <c r="E1" s="3078"/>
      <c r="F1" s="3078"/>
      <c r="G1" s="307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54">
      <c r="A3" s="415" t="s">
        <v>2084</v>
      </c>
      <c r="B3" s="1268" t="s">
        <v>2085</v>
      </c>
      <c r="C3" s="2367" t="s">
        <v>2086</v>
      </c>
      <c r="D3" s="2368"/>
      <c r="E3" s="431" t="s">
        <v>2084</v>
      </c>
      <c r="F3" s="2369" t="s">
        <v>2087</v>
      </c>
      <c r="G3" s="2370" t="s">
        <v>2088</v>
      </c>
      <c r="H3" s="2365"/>
      <c r="I3" s="2365"/>
      <c r="J3" s="2365"/>
      <c r="K3" s="2365"/>
      <c r="L3" s="2365"/>
      <c r="M3" s="2365"/>
      <c r="N3" s="2365"/>
      <c r="O3" s="2365"/>
      <c r="P3" s="2365"/>
      <c r="Q3" s="2365"/>
      <c r="R3" s="2365"/>
    </row>
    <row r="4" spans="1:29" ht="41.25">
      <c r="A4" s="431"/>
      <c r="B4" s="1795" t="s">
        <v>2089</v>
      </c>
      <c r="C4" s="2371" t="s">
        <v>2090</v>
      </c>
      <c r="D4" s="2368"/>
      <c r="E4" s="2372"/>
      <c r="F4" s="42" t="s">
        <v>2091</v>
      </c>
      <c r="G4" s="2373" t="s">
        <v>2092</v>
      </c>
      <c r="H4" s="2365"/>
      <c r="I4" s="2365"/>
      <c r="J4" s="2365"/>
      <c r="K4" s="2365"/>
      <c r="L4" s="2365"/>
      <c r="M4" s="2365"/>
      <c r="N4" s="2365"/>
      <c r="O4" s="2365"/>
      <c r="P4" s="2365"/>
      <c r="Q4" s="2365"/>
      <c r="R4" s="2365"/>
    </row>
    <row r="5" spans="1:29" ht="41.25">
      <c r="A5" s="431"/>
      <c r="B5" s="1795" t="s">
        <v>2093</v>
      </c>
      <c r="C5" s="2371" t="s">
        <v>2094</v>
      </c>
      <c r="D5" s="2368"/>
      <c r="E5" s="2372"/>
      <c r="F5" s="1795" t="s">
        <v>2095</v>
      </c>
      <c r="G5" s="2373" t="s">
        <v>2096</v>
      </c>
      <c r="H5" s="2365"/>
      <c r="I5" s="2365"/>
      <c r="J5" s="2365"/>
      <c r="K5" s="2365"/>
      <c r="L5" s="2365"/>
      <c r="M5" s="2365"/>
      <c r="N5" s="2365"/>
      <c r="O5" s="2365"/>
      <c r="P5" s="2365"/>
      <c r="Q5" s="2365"/>
      <c r="R5" s="2365"/>
    </row>
    <row r="6" spans="1:29" ht="54">
      <c r="A6" s="431"/>
      <c r="B6" s="1795" t="s">
        <v>2097</v>
      </c>
      <c r="C6" s="2373" t="s">
        <v>2092</v>
      </c>
      <c r="D6" s="2368"/>
      <c r="E6" s="2372"/>
      <c r="F6" s="1795" t="s">
        <v>2098</v>
      </c>
      <c r="G6" s="2373" t="s">
        <v>2099</v>
      </c>
      <c r="H6" s="2365"/>
      <c r="I6" s="2365"/>
      <c r="J6" s="2365"/>
      <c r="K6" s="2365"/>
      <c r="L6" s="2365"/>
      <c r="M6" s="2365"/>
      <c r="N6" s="2365"/>
      <c r="O6" s="2365"/>
      <c r="P6" s="2365"/>
      <c r="Q6" s="2365"/>
      <c r="R6" s="2365"/>
    </row>
    <row r="7" spans="1:29" ht="41.25" thickBot="1">
      <c r="A7" s="431"/>
      <c r="B7" s="1795" t="s">
        <v>2095</v>
      </c>
      <c r="C7" s="2373" t="s">
        <v>2096</v>
      </c>
      <c r="D7" s="2374"/>
      <c r="E7" s="2375"/>
      <c r="F7" s="2376" t="s">
        <v>2100</v>
      </c>
      <c r="G7" s="2377" t="s">
        <v>2101</v>
      </c>
      <c r="H7" s="2365"/>
      <c r="I7" s="2365"/>
      <c r="J7" s="2365"/>
      <c r="K7" s="2365"/>
      <c r="L7" s="2365"/>
      <c r="M7" s="2365"/>
      <c r="N7" s="2365"/>
      <c r="O7" s="2365"/>
      <c r="P7" s="2365"/>
      <c r="Q7" s="2365"/>
      <c r="R7" s="2365"/>
    </row>
    <row r="8" spans="1:29" ht="27">
      <c r="A8" s="431"/>
      <c r="B8" s="1795" t="s">
        <v>2098</v>
      </c>
      <c r="C8" s="2373" t="s">
        <v>2099</v>
      </c>
      <c r="D8" s="2374"/>
      <c r="E8" s="2374"/>
      <c r="F8" s="1133"/>
      <c r="G8" s="1133"/>
      <c r="H8" s="2365"/>
      <c r="I8" s="2365"/>
      <c r="J8" s="2365"/>
      <c r="K8" s="2365"/>
      <c r="L8" s="2365"/>
      <c r="M8" s="2365"/>
      <c r="N8" s="2365"/>
      <c r="O8" s="2365"/>
      <c r="P8" s="2365"/>
      <c r="Q8" s="2365"/>
      <c r="R8" s="2365"/>
    </row>
    <row r="9" spans="1:29" ht="27">
      <c r="A9" s="431"/>
      <c r="B9" s="1795" t="s">
        <v>2102</v>
      </c>
      <c r="C9" s="2371" t="s">
        <v>2103</v>
      </c>
      <c r="D9" s="2368"/>
      <c r="E9" s="2374"/>
      <c r="F9" s="1133"/>
      <c r="G9" s="1133"/>
      <c r="H9" s="2365"/>
      <c r="I9" s="2365"/>
      <c r="J9" s="2365"/>
      <c r="K9" s="2365"/>
      <c r="L9" s="2365"/>
      <c r="M9" s="2365"/>
      <c r="N9" s="2365"/>
      <c r="O9" s="2365"/>
      <c r="P9" s="2365"/>
      <c r="Q9" s="2365"/>
      <c r="R9" s="2365"/>
    </row>
    <row r="10" spans="1:29" s="117" customFormat="1" ht="15.75" thickBot="1">
      <c r="A10" s="2378"/>
      <c r="B10" s="2379" t="s">
        <v>2104</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8" t="s">
        <v>2108</v>
      </c>
      <c r="B15" s="1267" t="s">
        <v>2085</v>
      </c>
      <c r="C15" s="2400" t="str">
        <f>C3</f>
        <v>估价对象周边居住用地比例、居住小区规模和社区发展完善程度，综合评价居住社区成熟度一般</v>
      </c>
      <c r="D15" s="2368"/>
      <c r="E15" s="2401" t="s">
        <v>2109</v>
      </c>
      <c r="F15" s="1267" t="s">
        <v>2110</v>
      </c>
      <c r="G15" s="135" t="str">
        <f>G3</f>
        <v>估价对象位于XX开发区，园区建设成熟度XX，产业集聚程度XX</v>
      </c>
    </row>
    <row r="16" spans="1:29" ht="42.75">
      <c r="A16" s="645"/>
      <c r="B16" s="2402" t="s">
        <v>2089</v>
      </c>
      <c r="C16" s="2403" t="str">
        <f>C4</f>
        <v>估价对象位于XX商圈，周边商业氛围成熟，人流量大，商业繁华度好</v>
      </c>
      <c r="D16" s="2368"/>
      <c r="E16" s="2404"/>
      <c r="F16" s="2405" t="s">
        <v>2091</v>
      </c>
      <c r="G16" s="136" t="str">
        <f>G4</f>
        <v>估价对象周边道路状况、公共交通通达情况、停车便捷程度，综合评价交通便捷度较好</v>
      </c>
    </row>
    <row r="17" spans="1:18" ht="42.75">
      <c r="A17" s="645"/>
      <c r="B17" s="2402" t="s">
        <v>2093</v>
      </c>
      <c r="C17" s="2403" t="str">
        <f>C5</f>
        <v>估价对象位于XX商圈，周边办公楼项目较多，入驻率高，办公集聚程度较好</v>
      </c>
      <c r="D17" s="2374"/>
      <c r="E17" s="2404"/>
      <c r="F17" s="2405" t="s">
        <v>2111</v>
      </c>
      <c r="G17" s="1569"/>
    </row>
    <row r="18" spans="1:18" ht="57">
      <c r="A18" s="645"/>
      <c r="B18" s="2405" t="s">
        <v>2097</v>
      </c>
      <c r="C18" s="136" t="str">
        <f>C6</f>
        <v>估价对象周边道路状况、公共交通通达情况、停车便捷程度，综合评价交通便捷度较好</v>
      </c>
      <c r="D18" s="2374"/>
      <c r="E18" s="2404"/>
      <c r="F18" s="2405" t="s">
        <v>2100</v>
      </c>
      <c r="G18" s="136" t="str">
        <f>G7</f>
        <v>该园区内是否有污染型企业，绿化情况，卫生条件，整体环境状况判断</v>
      </c>
    </row>
    <row r="19" spans="1:18" ht="28.5">
      <c r="A19" s="645"/>
      <c r="B19" s="2405" t="s">
        <v>2112</v>
      </c>
      <c r="C19" s="1569"/>
      <c r="D19" s="2368"/>
      <c r="E19" s="2404"/>
      <c r="F19" s="1795" t="s">
        <v>2095</v>
      </c>
      <c r="G19" s="136" t="str">
        <f>G5</f>
        <v>估价对象所在区域公共配套设施齐备情况</v>
      </c>
    </row>
    <row r="20" spans="1:18" ht="28.5">
      <c r="A20" s="645"/>
      <c r="B20" s="2405" t="s">
        <v>2113</v>
      </c>
      <c r="C20" s="2403" t="str">
        <f>C9</f>
        <v>区域自然环境：；人文环境；综合评价环境状况一般</v>
      </c>
      <c r="D20" s="2374"/>
      <c r="E20" s="2404"/>
      <c r="F20" s="1795" t="s">
        <v>2114</v>
      </c>
      <c r="G20" s="136" t="str">
        <f>G6</f>
        <v>估价对象所在区域基础设施水平</v>
      </c>
    </row>
    <row r="21" spans="1:18" ht="28.5">
      <c r="A21" s="645"/>
      <c r="B21" s="1795" t="s">
        <v>2095</v>
      </c>
      <c r="C21" s="136" t="str">
        <f>C7</f>
        <v>估价对象所在区域公共配套设施齐备情况</v>
      </c>
      <c r="D21" s="2368"/>
      <c r="E21" s="2404"/>
      <c r="F21" s="2405" t="s">
        <v>2115</v>
      </c>
      <c r="G21" s="2406"/>
    </row>
    <row r="22" spans="1:18" ht="13.5" customHeight="1">
      <c r="A22" s="645"/>
      <c r="B22" s="1795" t="s">
        <v>2098</v>
      </c>
      <c r="C22" s="136" t="str">
        <f>C8</f>
        <v>估价对象所在区域基础设施水平</v>
      </c>
      <c r="D22" s="2368"/>
      <c r="E22" s="2404"/>
      <c r="F22" s="2405" t="s">
        <v>2104</v>
      </c>
      <c r="G22" s="1569"/>
    </row>
    <row r="23" spans="1:18" s="2365" customFormat="1" ht="15.75" thickBot="1">
      <c r="A23" s="645"/>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524637.76</v>
      </c>
      <c r="C1" s="1742"/>
      <c r="D1" s="1742"/>
      <c r="E1" s="1742"/>
      <c r="F1" s="1742"/>
      <c r="G1" s="1740"/>
    </row>
    <row r="2" spans="1:10" ht="16.5">
      <c r="A2" s="1743" t="s">
        <v>1349</v>
      </c>
      <c r="B2" s="1743">
        <f>SUM(C14:C23)</f>
        <v>71037.63</v>
      </c>
      <c r="C2" s="1742"/>
      <c r="D2" s="1742"/>
      <c r="E2" s="1742"/>
      <c r="F2" s="1742"/>
      <c r="G2" s="1740"/>
    </row>
    <row r="3" spans="1:10" ht="16.5">
      <c r="A3" s="1743" t="s">
        <v>1358</v>
      </c>
      <c r="B3" s="1744">
        <f>项目基本情况!D3</f>
        <v>43622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1510175</v>
      </c>
      <c r="C5" s="1743">
        <f ca="1">ROUND(B5*10000/$B$1,0)</f>
        <v>28785</v>
      </c>
      <c r="D5" s="1743">
        <f ca="1">ROUND(B5*10000/$B$2,0)</f>
        <v>212588</v>
      </c>
      <c r="E5" s="1742"/>
      <c r="F5" s="1740"/>
      <c r="G5" s="1740"/>
    </row>
    <row r="6" spans="1:10" ht="16.5">
      <c r="A6" s="1743" t="s">
        <v>1352</v>
      </c>
      <c r="B6" s="1743">
        <f ca="1">SUM(G14:G23)</f>
        <v>1510175</v>
      </c>
      <c r="C6" s="1743">
        <f ca="1">ROUND(B6*10000/$B$1,0)</f>
        <v>28785</v>
      </c>
      <c r="D6" s="1743">
        <f ca="1">ROUND(B6*10000/$B$2,0)</f>
        <v>212588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364906</v>
      </c>
      <c r="C14" s="1741">
        <f>结果表!C118</f>
        <v>48267.47</v>
      </c>
      <c r="D14" s="1741">
        <f ca="1">结果表!H118</f>
        <v>1028210</v>
      </c>
      <c r="E14" s="1741">
        <f ca="1">ROUND(D14*10000/B14,0)</f>
        <v>28177</v>
      </c>
      <c r="F14" s="1741">
        <f ca="1">ROUND(D14*10000/C14,0)</f>
        <v>213023</v>
      </c>
      <c r="G14" s="1741">
        <f ca="1">结果表!D122</f>
        <v>1028210</v>
      </c>
      <c r="H14" s="1741" t="str">
        <f>结果表!D124</f>
        <v>——</v>
      </c>
      <c r="I14" s="1741" t="str">
        <f>结果表!D126</f>
        <v>——</v>
      </c>
      <c r="J14" s="1740"/>
    </row>
    <row r="15" spans="1:10" ht="16.5">
      <c r="A15" s="1739" t="s">
        <v>1345</v>
      </c>
      <c r="B15" s="1746">
        <f>[1]系统读取表!$B$14</f>
        <v>124199.73000000001</v>
      </c>
      <c r="C15" s="1746">
        <f>[1]系统读取表!$C$14</f>
        <v>17704.98</v>
      </c>
      <c r="D15" s="1746">
        <f ca="1">[1]系统读取表!$D$14</f>
        <v>336406</v>
      </c>
      <c r="E15" s="1741">
        <f t="shared" ref="E15:E23" ca="1" si="0">ROUND(D15*10000/B15,0)</f>
        <v>27086</v>
      </c>
      <c r="F15" s="1741">
        <f t="shared" ref="F15:F23" ca="1" si="1">ROUND(D15*10000/C15,0)</f>
        <v>190006</v>
      </c>
      <c r="G15" s="1747">
        <f ca="1">[1]系统读取表!$G$14</f>
        <v>336406</v>
      </c>
      <c r="H15" s="1747"/>
      <c r="I15" s="1746"/>
      <c r="J15" s="1740"/>
    </row>
    <row r="16" spans="1:10" ht="16.5">
      <c r="A16" s="1739" t="s">
        <v>1344</v>
      </c>
      <c r="B16" s="1746">
        <f>[2]系统读取表!$B$14</f>
        <v>35532.03</v>
      </c>
      <c r="C16" s="1746">
        <f>[2]系统读取表!$C$14</f>
        <v>5065.18</v>
      </c>
      <c r="D16" s="1746">
        <f ca="1">[2]系统读取表!$D$14</f>
        <v>145559</v>
      </c>
      <c r="E16" s="1741">
        <f t="shared" ca="1" si="0"/>
        <v>40966</v>
      </c>
      <c r="F16" s="1741">
        <f t="shared" ca="1" si="1"/>
        <v>287372</v>
      </c>
      <c r="G16" s="1747">
        <f ca="1">[2]系统读取表!$G$14</f>
        <v>145559</v>
      </c>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7"/>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8" sqref="D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2118</v>
      </c>
      <c r="B1" s="2416"/>
      <c r="C1" s="2417"/>
      <c r="D1" s="2416"/>
      <c r="E1" s="2416"/>
      <c r="F1" s="2418" t="s">
        <v>2119</v>
      </c>
      <c r="G1" s="2069" t="s">
        <v>3063</v>
      </c>
      <c r="H1" s="2419" t="str">
        <f>IF(G1="现房","——","估价对象范围")</f>
        <v>——</v>
      </c>
      <c r="I1" s="2420" t="s">
        <v>3081</v>
      </c>
    </row>
    <row r="2" spans="1:12" ht="21.75" customHeight="1" thickBot="1">
      <c r="A2" s="3112" t="str">
        <f>项目基本情况!S2</f>
        <v>北京市丰台区南四环西路182号房地产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3" t="s">
        <v>2121</v>
      </c>
      <c r="B4" s="2424" t="s">
        <v>2122</v>
      </c>
      <c r="C4" s="2425" t="s">
        <v>3082</v>
      </c>
      <c r="D4" s="2425" t="s">
        <v>3132</v>
      </c>
      <c r="E4" s="3109" t="s">
        <v>2123</v>
      </c>
      <c r="F4" s="3110"/>
      <c r="G4" s="3110"/>
      <c r="H4" s="3110"/>
      <c r="I4" s="311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2124</v>
      </c>
      <c r="B5" s="3030">
        <v>25</v>
      </c>
      <c r="C5" s="3095"/>
      <c r="D5" s="3115"/>
      <c r="E5" s="140" t="s">
        <v>2125</v>
      </c>
      <c r="F5" s="2427"/>
      <c r="G5" s="2427"/>
      <c r="H5" s="2427"/>
      <c r="I5" s="1831"/>
    </row>
    <row r="6" spans="1:12" ht="12.75">
      <c r="A6" s="3092"/>
      <c r="B6" s="3030"/>
      <c r="C6" s="3096"/>
      <c r="D6" s="3115"/>
      <c r="E6" s="140" t="s">
        <v>2126</v>
      </c>
      <c r="F6" s="2427"/>
      <c r="G6" s="2427"/>
      <c r="H6" s="2427"/>
      <c r="I6" s="1831"/>
    </row>
    <row r="7" spans="1:12" ht="12.75">
      <c r="A7" s="3092"/>
      <c r="B7" s="3030"/>
      <c r="C7" s="3097"/>
      <c r="D7" s="3115"/>
      <c r="E7" s="140" t="s">
        <v>2127</v>
      </c>
      <c r="F7" s="2427"/>
      <c r="G7" s="2427"/>
      <c r="H7" s="2427"/>
      <c r="I7" s="1831"/>
    </row>
    <row r="8" spans="1:12" ht="12.75">
      <c r="A8" s="3092" t="s">
        <v>2128</v>
      </c>
      <c r="B8" s="3030">
        <v>15</v>
      </c>
      <c r="C8" s="3095"/>
      <c r="D8" s="3115"/>
      <c r="E8" s="140" t="s">
        <v>2129</v>
      </c>
      <c r="F8" s="2427"/>
      <c r="G8" s="2427"/>
      <c r="H8" s="2427"/>
      <c r="I8" s="1831"/>
    </row>
    <row r="9" spans="1:12" ht="12.75">
      <c r="A9" s="3092"/>
      <c r="B9" s="3030"/>
      <c r="C9" s="3097"/>
      <c r="D9" s="3115"/>
      <c r="E9" s="140" t="s">
        <v>2130</v>
      </c>
      <c r="F9" s="2427"/>
      <c r="G9" s="2427"/>
      <c r="H9" s="2427"/>
      <c r="I9" s="1831"/>
    </row>
    <row r="10" spans="1:12" ht="12.75">
      <c r="A10" s="3092" t="s">
        <v>2131</v>
      </c>
      <c r="B10" s="3030">
        <v>15</v>
      </c>
      <c r="C10" s="3095"/>
      <c r="D10" s="3115"/>
      <c r="E10" s="140" t="s">
        <v>2132</v>
      </c>
      <c r="F10" s="2427"/>
      <c r="G10" s="2427"/>
      <c r="H10" s="2427"/>
      <c r="I10" s="1831"/>
    </row>
    <row r="11" spans="1:12" ht="12.75">
      <c r="A11" s="3092"/>
      <c r="B11" s="3030"/>
      <c r="C11" s="3097"/>
      <c r="D11" s="3115"/>
      <c r="E11" s="140" t="s">
        <v>2133</v>
      </c>
      <c r="F11" s="2427"/>
      <c r="G11" s="2427"/>
      <c r="H11" s="2427"/>
      <c r="I11" s="1831"/>
    </row>
    <row r="12" spans="1:12" ht="12.75">
      <c r="A12" s="3092" t="s">
        <v>2134</v>
      </c>
      <c r="B12" s="3030">
        <v>15</v>
      </c>
      <c r="C12" s="3095"/>
      <c r="D12" s="3115"/>
      <c r="E12" s="140" t="s">
        <v>2135</v>
      </c>
      <c r="F12" s="2427"/>
      <c r="G12" s="2427"/>
      <c r="H12" s="2427"/>
      <c r="I12" s="1831"/>
    </row>
    <row r="13" spans="1:12" ht="12.75">
      <c r="A13" s="3092"/>
      <c r="B13" s="3030"/>
      <c r="C13" s="3097"/>
      <c r="D13" s="3115"/>
      <c r="E13" s="140" t="s">
        <v>2136</v>
      </c>
      <c r="F13" s="2427"/>
      <c r="G13" s="2427"/>
      <c r="H13" s="2427"/>
      <c r="I13" s="1831"/>
    </row>
    <row r="14" spans="1:12" ht="12.75">
      <c r="A14" s="3092" t="s">
        <v>2137</v>
      </c>
      <c r="B14" s="3030">
        <v>30</v>
      </c>
      <c r="C14" s="3095">
        <v>65</v>
      </c>
      <c r="D14" s="3115">
        <v>35</v>
      </c>
      <c r="E14" s="140" t="s">
        <v>2138</v>
      </c>
      <c r="F14" s="2427"/>
      <c r="G14" s="2427"/>
      <c r="H14" s="2427"/>
      <c r="I14" s="1831"/>
    </row>
    <row r="15" spans="1:12" ht="12.75">
      <c r="A15" s="3092"/>
      <c r="B15" s="3030"/>
      <c r="C15" s="3096"/>
      <c r="D15" s="3115"/>
      <c r="E15" s="140" t="s">
        <v>2139</v>
      </c>
      <c r="F15" s="2427"/>
      <c r="G15" s="2427"/>
      <c r="H15" s="2427"/>
      <c r="I15" s="1831"/>
    </row>
    <row r="16" spans="1:12" ht="12.75">
      <c r="A16" s="3092"/>
      <c r="B16" s="3030"/>
      <c r="C16" s="3097"/>
      <c r="D16" s="3115"/>
      <c r="E16" s="140" t="s">
        <v>2140</v>
      </c>
      <c r="F16" s="2427"/>
      <c r="G16" s="2427"/>
      <c r="H16" s="2427"/>
      <c r="I16" s="1831"/>
    </row>
    <row r="17" spans="1:35" ht="15">
      <c r="A17" s="2428" t="s">
        <v>2141</v>
      </c>
      <c r="B17" s="64"/>
      <c r="C17" s="141">
        <f>SUM(C5:C16)</f>
        <v>65</v>
      </c>
      <c r="D17" s="141">
        <f>SUM(D5:D16)</f>
        <v>35</v>
      </c>
      <c r="E17" s="138"/>
      <c r="F17" s="138"/>
      <c r="G17" s="138"/>
      <c r="H17" s="138"/>
      <c r="I17" s="138"/>
      <c r="K17" s="2426"/>
      <c r="L17" s="2429" t="s">
        <v>2142</v>
      </c>
      <c r="M17" s="2429" t="s">
        <v>2143</v>
      </c>
    </row>
    <row r="18" spans="1:35" ht="15.75" thickBot="1">
      <c r="A18" s="2430" t="s">
        <v>2144</v>
      </c>
      <c r="B18" s="2431"/>
      <c r="C18" s="142">
        <f>ROUND(C17/SUM(C17:D17),2)</f>
        <v>0.65</v>
      </c>
      <c r="D18" s="142">
        <f>1-C18</f>
        <v>0.35</v>
      </c>
      <c r="E18" s="138"/>
      <c r="F18" s="138"/>
      <c r="G18" s="138"/>
      <c r="H18" s="138"/>
      <c r="I18" s="138"/>
      <c r="K18" s="2426" t="s">
        <v>2145</v>
      </c>
      <c r="L18" s="2426">
        <f>IF(C1="",'数据-汇总表'!E3,SUMIF(项目类型,C1,'数据-汇总表'!E17:E26)+SUMIF(项目类型,C1,'数据-汇总表'!I17:I26))</f>
        <v>364906</v>
      </c>
      <c r="M18" s="2426">
        <f>IF(C1="",'数据-汇总表'!E3,SUMIF(项目类型,C1,'数据-汇总表'!E17:E26))</f>
        <v>364906</v>
      </c>
    </row>
    <row r="19" spans="1:35" ht="15">
      <c r="A19" s="2432" t="s">
        <v>2146</v>
      </c>
      <c r="B19" s="2433" t="s">
        <v>2147</v>
      </c>
      <c r="C19" s="143">
        <f ca="1">SUMIF(INDIRECT("'"&amp;C4&amp;"'"&amp;"!A:A"),结果表!B19,INDIRECT("'"&amp;C4&amp;"'"&amp;"!B:B"))</f>
        <v>1246886</v>
      </c>
      <c r="D19" s="144">
        <f ca="1">SUMIF(INDIRECT("'"&amp;D4&amp;"'"&amp;"!A:A"),结果表!B19,INDIRECT("'"&amp;D4&amp;"'"&amp;"!B:B"))</f>
        <v>622097</v>
      </c>
      <c r="E19" s="2432" t="s">
        <v>2148</v>
      </c>
      <c r="F19" s="2433" t="s">
        <v>2147</v>
      </c>
      <c r="G19" s="145">
        <f ca="1">ROUND(C19*$C$18+D19*$D$18,0)</f>
        <v>1028210</v>
      </c>
      <c r="H19" s="2434" t="s">
        <v>2149</v>
      </c>
      <c r="I19" s="138"/>
      <c r="K19" s="2426" t="s">
        <v>2150</v>
      </c>
      <c r="L19" s="2426">
        <f>IF(C1="",'数据-汇总表'!D3,SUMIF(项目类型,C1,'数据-汇总表'!D17:D26)+SUMIF(项目类型,C1,'数据-汇总表'!H17:H27))</f>
        <v>48267.47</v>
      </c>
      <c r="M19" s="2426">
        <f>IF(C1="",'数据-汇总表'!D3,SUMIF(项目类型,C1,'数据-汇总表'!D17:D26))</f>
        <v>48267.47</v>
      </c>
    </row>
    <row r="20" spans="1:35" ht="15">
      <c r="A20" s="2435"/>
      <c r="B20" s="1247" t="s">
        <v>2151</v>
      </c>
      <c r="C20" s="146">
        <f ca="1">SUMIF(INDIRECT("'"&amp;C4&amp;"'"&amp;"!A:A"),结果表!B20,INDIRECT("'"&amp;C4&amp;"'"&amp;"!B:B"))</f>
        <v>34170</v>
      </c>
      <c r="D20" s="147">
        <f ca="1">SUMIF(INDIRECT("'"&amp;D4&amp;"'"&amp;"!A:A"),结果表!B20,INDIRECT("'"&amp;D4&amp;"'"&amp;"!B:B"))</f>
        <v>17048</v>
      </c>
      <c r="E20" s="2435"/>
      <c r="F20" s="1247" t="s">
        <v>2151</v>
      </c>
      <c r="G20" s="148">
        <f ca="1">ROUND(C20*$C$18+D20*$D$18,0)</f>
        <v>28177</v>
      </c>
      <c r="H20" s="980" t="s">
        <v>2152</v>
      </c>
      <c r="I20" s="138"/>
    </row>
    <row r="21" spans="1:35" ht="15" customHeight="1" thickBot="1">
      <c r="A21" s="1000"/>
      <c r="B21" s="2436" t="s">
        <v>2153</v>
      </c>
      <c r="C21" s="789">
        <f ca="1">ROUND(C19*10000/L19,0)</f>
        <v>258328</v>
      </c>
      <c r="D21" s="790">
        <f ca="1">ROUND(D19*10000/L19,0)</f>
        <v>128885</v>
      </c>
      <c r="E21" s="1000"/>
      <c r="F21" s="2436" t="s">
        <v>2153</v>
      </c>
      <c r="G21" s="149">
        <f ca="1">ROUND(G19*10000/L19,0)</f>
        <v>213023</v>
      </c>
      <c r="H21" s="2437" t="s">
        <v>2152</v>
      </c>
      <c r="I21" s="138"/>
    </row>
    <row r="22" spans="1:35" ht="15" thickBot="1">
      <c r="A22" s="2278" t="s">
        <v>2154</v>
      </c>
      <c r="B22" s="2438"/>
      <c r="C22" s="2439"/>
      <c r="D22" s="791">
        <f ca="1">IF(C19&lt;D19,D19/C19-1,C19/D19-1)</f>
        <v>1.0043272994404409</v>
      </c>
      <c r="E22" s="138"/>
      <c r="F22" s="138"/>
      <c r="G22" s="138"/>
      <c r="H22" s="138"/>
      <c r="I22" s="138"/>
    </row>
    <row r="23" spans="1:35" ht="13.5" thickBot="1">
      <c r="A23" s="2416"/>
      <c r="B23" s="2416"/>
      <c r="C23" s="2416"/>
      <c r="D23" s="2416"/>
      <c r="E23" s="138"/>
      <c r="F23" s="138"/>
      <c r="G23" s="138"/>
      <c r="H23" s="138"/>
      <c r="I23" s="138"/>
    </row>
    <row r="24" spans="1:35" ht="14.25">
      <c r="A24" s="3086" t="s">
        <v>2155</v>
      </c>
      <c r="B24" s="2433" t="s">
        <v>2147</v>
      </c>
      <c r="C24" s="145">
        <f>IF(B30=0,0,D30)</f>
        <v>0</v>
      </c>
      <c r="D24" s="2440"/>
      <c r="E24" s="138"/>
      <c r="F24" s="138"/>
      <c r="G24" s="138"/>
      <c r="H24" s="138"/>
      <c r="I24" s="138"/>
    </row>
    <row r="25" spans="1:35" ht="14.25">
      <c r="A25" s="3087"/>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1028210</v>
      </c>
      <c r="D32" s="2447" t="s">
        <v>2162</v>
      </c>
      <c r="E32" s="138"/>
      <c r="F32" s="138"/>
      <c r="G32" s="138"/>
      <c r="H32" s="138"/>
      <c r="I32" s="138"/>
    </row>
    <row r="33" spans="1:15" ht="15">
      <c r="A33" s="957" t="s">
        <v>2163</v>
      </c>
      <c r="B33" s="2448"/>
      <c r="C33" s="2449" t="s">
        <v>3239</v>
      </c>
      <c r="D33" s="2450" t="s">
        <v>3082</v>
      </c>
      <c r="E33" s="2451" t="s">
        <v>2164</v>
      </c>
      <c r="F33" s="2452" t="str">
        <f>IF(D32="楼面单价","取值（单价）","取值（总价）")</f>
        <v>取值（总价）</v>
      </c>
      <c r="G33" s="138"/>
      <c r="H33" s="138"/>
      <c r="I33" s="138"/>
    </row>
    <row r="34" spans="1:15" ht="15">
      <c r="A34" s="2453"/>
      <c r="B34" s="2454" t="s">
        <v>2165</v>
      </c>
      <c r="C34" s="157">
        <f ca="1">IF(C33="自定义",F34,C32-C35)</f>
        <v>891458</v>
      </c>
      <c r="D34" s="1055">
        <f ca="1">IF(C33="自定义",ROUND(C34/C32,3),IF(C33="收益比率",SUMIF(INDIRECT("'"&amp;D33&amp;"'"&amp;"!b:b"),"土地收益比率",INDIRECT("'"&amp;D33&amp;"'"&amp;"!c:c")),SUMIF(INDIRECT("'"&amp;D33&amp;"'"&amp;"!b:b"),"土地成本比率",INDIRECT("'"&amp;D33&amp;"'"&amp;"!c:c"))))</f>
        <v>0.86699999999999999</v>
      </c>
      <c r="E34" s="2455" t="s">
        <v>2166</v>
      </c>
      <c r="F34" s="1736"/>
      <c r="G34" s="138"/>
      <c r="H34" s="138"/>
      <c r="I34" s="138"/>
    </row>
    <row r="35" spans="1:15" ht="15.75" thickBot="1">
      <c r="A35" s="2456"/>
      <c r="B35" s="2457" t="s">
        <v>2167</v>
      </c>
      <c r="C35" s="1441">
        <f ca="1">IF(C33="自定义",F35,ROUND(C32*D35,0))</f>
        <v>136752</v>
      </c>
      <c r="D35" s="1442">
        <f ca="1">IF(C33="自定义",ROUND(C35/C32,3),IF(C33="收益比率",SUMIF(INDIRECT("'"&amp;D33&amp;"'"&amp;"!b:b"),"建筑物收益比率",INDIRECT("'"&amp;D33&amp;"'"&amp;"!c:c")),SUMIF(INDIRECT("'"&amp;D33&amp;"'"&amp;"!b:b"),"建筑物成本比率",INDIRECT("'"&amp;D33&amp;"'"&amp;"!c:c"))))</f>
        <v>0.13300000000000001</v>
      </c>
      <c r="E35" s="2458" t="s">
        <v>2168</v>
      </c>
      <c r="F35" s="163"/>
      <c r="G35" s="138"/>
      <c r="H35" s="138"/>
      <c r="I35" s="138"/>
    </row>
    <row r="36" spans="1:15" ht="15.75" thickBot="1">
      <c r="A36" s="3104" t="s">
        <v>2169</v>
      </c>
      <c r="B36" s="2459" t="s">
        <v>2170</v>
      </c>
      <c r="C36" s="154"/>
      <c r="D36" s="2460"/>
      <c r="E36" s="2461"/>
      <c r="F36" s="2462"/>
      <c r="G36" s="138"/>
      <c r="H36" s="138"/>
      <c r="I36" s="138"/>
    </row>
    <row r="37" spans="1:15" ht="15.75" thickBot="1">
      <c r="A37" s="3105"/>
      <c r="B37" s="2264" t="s">
        <v>2171</v>
      </c>
      <c r="C37" s="156"/>
      <c r="D37" s="1392"/>
      <c r="E37" s="1392"/>
      <c r="F37" s="2462"/>
      <c r="G37" s="138"/>
      <c r="H37" s="138"/>
      <c r="I37" s="138"/>
    </row>
    <row r="38" spans="1:15" ht="15.75" thickBot="1">
      <c r="A38" s="3106"/>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83" t="s">
        <v>2183</v>
      </c>
      <c r="B45" s="3084"/>
      <c r="C45" s="3085"/>
      <c r="D45" s="164">
        <f ca="1">ROUND(H101*F45,0)</f>
        <v>1028210</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78"/>
      <c r="I46" s="168"/>
      <c r="J46" s="1809">
        <v>1</v>
      </c>
      <c r="K46" s="3143" t="s">
        <v>2188</v>
      </c>
      <c r="L46" s="3143"/>
      <c r="M46" s="3163"/>
      <c r="N46" s="3163"/>
      <c r="O46" s="3163"/>
    </row>
    <row r="47" spans="1:15" ht="12" customHeight="1">
      <c r="A47" s="169" t="s">
        <v>2189</v>
      </c>
      <c r="B47" s="170"/>
      <c r="C47" s="171"/>
      <c r="D47" s="172" t="s">
        <v>2190</v>
      </c>
      <c r="E47" s="24" t="s">
        <v>2191</v>
      </c>
      <c r="F47" s="173" t="s">
        <v>2192</v>
      </c>
      <c r="G47" s="174" t="s">
        <v>2193</v>
      </c>
      <c r="H47" s="2478"/>
      <c r="I47" s="168"/>
      <c r="J47" s="1809">
        <v>2</v>
      </c>
      <c r="K47" s="3143" t="s">
        <v>2194</v>
      </c>
      <c r="L47" s="3143"/>
      <c r="M47" s="3164">
        <f>'数据-取费表'!B2</f>
        <v>43622</v>
      </c>
      <c r="N47" s="3164"/>
      <c r="O47" s="3164"/>
    </row>
    <row r="48" spans="1:15" ht="25.5">
      <c r="A48" s="3111" t="s">
        <v>2195</v>
      </c>
      <c r="B48" s="3094"/>
      <c r="C48" s="3094"/>
      <c r="D48" s="140">
        <f>IF(H48="情况1",0,IF(H48="情况2",D52,IF(H48="情况3",D53,IF(H48="情况4",D54))))</f>
        <v>0</v>
      </c>
      <c r="E48" s="1798" t="str">
        <f>IF(H48="情况4","(销售额-原购置价)×税（费）率","销售额×税（费）率")</f>
        <v>销售额×税（费）率</v>
      </c>
      <c r="F48" s="175" t="str">
        <f>IF(H48="情况1","免征",'数据-取费表'!B41)</f>
        <v>免征</v>
      </c>
      <c r="G48" s="2479" t="s">
        <v>2196</v>
      </c>
      <c r="H48" s="2480" t="s">
        <v>2197</v>
      </c>
      <c r="I48" s="2478"/>
      <c r="J48" s="1809">
        <v>3</v>
      </c>
      <c r="K48" s="3143" t="s">
        <v>2198</v>
      </c>
      <c r="L48" s="3143"/>
      <c r="M48" s="3165">
        <f ca="1">H101</f>
        <v>1028210</v>
      </c>
      <c r="N48" s="3165"/>
      <c r="O48" s="3165"/>
    </row>
    <row r="49" spans="1:35" ht="25.5" customHeight="1">
      <c r="A49" s="176" t="s">
        <v>2199</v>
      </c>
      <c r="B49" s="3079" t="s">
        <v>2200</v>
      </c>
      <c r="C49" s="3079"/>
      <c r="D49" s="177">
        <v>0</v>
      </c>
      <c r="E49" s="23" t="s">
        <v>2201</v>
      </c>
      <c r="F49" s="28" t="s">
        <v>34</v>
      </c>
      <c r="G49" s="3149"/>
      <c r="H49" s="138"/>
      <c r="I49" s="2481"/>
      <c r="J49" s="1809">
        <v>4</v>
      </c>
      <c r="K49" s="3143" t="str">
        <f>IF(项目基本情况!E8="房地产抵押价值","房地产抵押价值","抵押担保权已注销时的房地产抵押价值")</f>
        <v>房地产抵押价值</v>
      </c>
      <c r="L49" s="3143"/>
      <c r="M49" s="3165">
        <f ca="1">IF(项目基本情况!E8="房地产抵押价值",H107,H109)</f>
        <v>1028210</v>
      </c>
      <c r="N49" s="3165"/>
      <c r="O49" s="3165"/>
    </row>
    <row r="50" spans="1:35" ht="25.5" customHeight="1">
      <c r="A50" s="178"/>
      <c r="B50" s="3079" t="s">
        <v>2202</v>
      </c>
      <c r="C50" s="3079"/>
      <c r="D50" s="179"/>
      <c r="E50" s="31"/>
      <c r="F50" s="180"/>
      <c r="G50" s="3150"/>
      <c r="H50" s="138"/>
      <c r="I50" s="2481"/>
      <c r="J50" s="3143" t="s">
        <v>2203</v>
      </c>
      <c r="K50" s="3143"/>
      <c r="L50" s="3143"/>
      <c r="M50" s="3143"/>
      <c r="N50" s="3143"/>
      <c r="O50" s="3143"/>
    </row>
    <row r="51" spans="1:35" ht="12" customHeight="1">
      <c r="A51" s="181"/>
      <c r="B51" s="3079" t="s">
        <v>2204</v>
      </c>
      <c r="C51" s="3079"/>
      <c r="D51" s="182"/>
      <c r="E51" s="30"/>
      <c r="F51" s="180"/>
      <c r="G51" s="3151"/>
      <c r="H51" s="138"/>
      <c r="I51" s="2481"/>
      <c r="J51" s="2482" t="s">
        <v>2205</v>
      </c>
      <c r="K51" s="3143" t="s">
        <v>2206</v>
      </c>
      <c r="L51" s="3143"/>
      <c r="M51" s="2482" t="s">
        <v>2207</v>
      </c>
      <c r="N51" s="2482" t="s">
        <v>2208</v>
      </c>
      <c r="O51" s="2482" t="s">
        <v>2209</v>
      </c>
    </row>
    <row r="52" spans="1:35" ht="24" customHeight="1">
      <c r="A52" s="183" t="s">
        <v>2210</v>
      </c>
      <c r="B52" s="3079" t="s">
        <v>2211</v>
      </c>
      <c r="C52" s="3079"/>
      <c r="D52" s="182">
        <f ca="1">ROUND(D45*'数据-取费表'!B41/(1+'数据-取费表'!C42),0)</f>
        <v>54838</v>
      </c>
      <c r="E52" s="11" t="s">
        <v>2212</v>
      </c>
      <c r="F52" s="184">
        <f>'数据-取费表'!B41</f>
        <v>5.6000000000000001E-2</v>
      </c>
      <c r="G52" s="2483"/>
      <c r="H52" s="138"/>
      <c r="I52" s="2481"/>
      <c r="J52" s="1809">
        <v>1</v>
      </c>
      <c r="K52" s="3144" t="s">
        <v>2213</v>
      </c>
      <c r="L52" s="3144"/>
      <c r="M52" s="1751">
        <f>D48</f>
        <v>0</v>
      </c>
      <c r="N52" s="1809" t="str">
        <f>E48</f>
        <v>销售额×税（费）率</v>
      </c>
      <c r="O52" s="1752" t="str">
        <f>F48</f>
        <v>免征</v>
      </c>
    </row>
    <row r="53" spans="1:35" ht="12" customHeight="1">
      <c r="A53" s="183" t="s">
        <v>2214</v>
      </c>
      <c r="B53" s="3102" t="s">
        <v>2215</v>
      </c>
      <c r="C53" s="3103"/>
      <c r="D53" s="182">
        <f ca="1">ROUND(D45*'数据-取费表'!B41/(1+'数据-取费表'!C42),0)</f>
        <v>54838</v>
      </c>
      <c r="E53" s="11" t="s">
        <v>2212</v>
      </c>
      <c r="F53" s="184">
        <f>'数据-取费表'!B41</f>
        <v>5.6000000000000001E-2</v>
      </c>
      <c r="G53" s="2483"/>
      <c r="H53" s="138"/>
      <c r="I53" s="2481"/>
      <c r="J53" s="1809">
        <v>2</v>
      </c>
      <c r="K53" s="3144" t="s">
        <v>2216</v>
      </c>
      <c r="L53" s="3144"/>
      <c r="M53" s="1751">
        <f t="shared" ref="M53:O54" ca="1" si="0">D55</f>
        <v>514</v>
      </c>
      <c r="N53" s="1809" t="str">
        <f t="shared" si="0"/>
        <v>销售额×税（费）率</v>
      </c>
      <c r="O53" s="1752">
        <f t="shared" si="0"/>
        <v>5.0000000000000001E-4</v>
      </c>
    </row>
    <row r="54" spans="1:35" ht="12" customHeight="1">
      <c r="A54" s="183" t="s">
        <v>2217</v>
      </c>
      <c r="B54" s="3102" t="s">
        <v>2218</v>
      </c>
      <c r="C54" s="3103"/>
      <c r="D54" s="182">
        <f ca="1">C68</f>
        <v>54838</v>
      </c>
      <c r="E54" s="30" t="s">
        <v>2219</v>
      </c>
      <c r="F54" s="184">
        <f>'数据-取费表'!B41</f>
        <v>5.6000000000000001E-2</v>
      </c>
      <c r="G54" s="2483"/>
      <c r="H54" s="2484"/>
      <c r="I54" s="2481"/>
      <c r="J54" s="1809">
        <v>3</v>
      </c>
      <c r="K54" s="3144" t="s">
        <v>2220</v>
      </c>
      <c r="L54" s="3144"/>
      <c r="M54" s="1751">
        <f t="shared" ca="1" si="0"/>
        <v>581968</v>
      </c>
      <c r="N54" s="1809" t="str">
        <f t="shared" si="0"/>
        <v>增值额×税（费）率</v>
      </c>
      <c r="O54" s="1753" t="str">
        <f t="shared" si="0"/>
        <v>——</v>
      </c>
    </row>
    <row r="55" spans="1:35" ht="24" customHeight="1">
      <c r="A55" s="3093" t="s">
        <v>2221</v>
      </c>
      <c r="B55" s="3094"/>
      <c r="C55" s="3094"/>
      <c r="D55" s="185">
        <f ca="1">IF(H55="个人住宅",0,ROUND(D45*I55,0))</f>
        <v>514</v>
      </c>
      <c r="E55" s="11" t="s">
        <v>2222</v>
      </c>
      <c r="F55" s="184">
        <f>IF(H55="正常",I55,"免征")</f>
        <v>5.0000000000000001E-4</v>
      </c>
      <c r="G55" s="2483"/>
      <c r="H55" s="2480" t="s">
        <v>2223</v>
      </c>
      <c r="I55" s="186">
        <f>'数据-取费表'!B49</f>
        <v>5.0000000000000001E-4</v>
      </c>
      <c r="J55" s="1809" t="str">
        <f>IF(H59="非个人房产","",4)</f>
        <v/>
      </c>
      <c r="K55" s="3144" t="str">
        <f>IF(H59="非个人房产","——","个人所得税")</f>
        <v>——</v>
      </c>
      <c r="L55" s="3144"/>
      <c r="M55" s="1754" t="str">
        <f>D59</f>
        <v>——</v>
      </c>
      <c r="N55" s="1807" t="str">
        <f>E59</f>
        <v>——</v>
      </c>
      <c r="O55" s="1755" t="str">
        <f>F59</f>
        <v>——</v>
      </c>
    </row>
    <row r="56" spans="1:35" ht="24.75">
      <c r="A56" s="3093" t="s">
        <v>2224</v>
      </c>
      <c r="B56" s="3094"/>
      <c r="C56" s="3094"/>
      <c r="D56" s="185">
        <f ca="1">IF(H56="个人住宅",D57,D58)</f>
        <v>581968</v>
      </c>
      <c r="E56" s="11" t="s">
        <v>2225</v>
      </c>
      <c r="F56" s="184" t="str">
        <f>IF(H56="正常",F58,"免征")</f>
        <v>——</v>
      </c>
      <c r="G56" s="2485" t="s">
        <v>2226</v>
      </c>
      <c r="H56" s="2486" t="s">
        <v>2223</v>
      </c>
      <c r="I56" s="2487"/>
      <c r="J56" s="1809" t="str">
        <f>IF(项目基本情况!K6="上海银行",IF(J55="",4,J55+1),"")</f>
        <v/>
      </c>
      <c r="K56" s="3167" t="str">
        <f>IF(项目基本情况!K6="上海银行","其他处置费用","")</f>
        <v/>
      </c>
      <c r="L56" s="3168"/>
      <c r="M56" s="1751" t="str">
        <f>IF(项目基本情况!K6="上海银行",M69,"")</f>
        <v/>
      </c>
      <c r="N56" s="3170" t="str">
        <f>IF(项目基本情况!K6="上海银行","包含处置中涉及的律师、诉讼、拍卖、评估等费用","")</f>
        <v/>
      </c>
      <c r="O56" s="3171"/>
    </row>
    <row r="57" spans="1:35" ht="12.75">
      <c r="A57" s="183" t="s">
        <v>2199</v>
      </c>
      <c r="B57" s="3109" t="s">
        <v>2227</v>
      </c>
      <c r="C57" s="3118"/>
      <c r="D57" s="187">
        <v>0</v>
      </c>
      <c r="E57" s="23" t="s">
        <v>2201</v>
      </c>
      <c r="F57" s="155"/>
      <c r="G57" s="2483"/>
      <c r="H57" s="2487"/>
      <c r="I57" s="2487"/>
      <c r="J57" s="3144">
        <f>IF(AND(J55="",J56=""),4,IF(项目基本情况!K6="上海银行",结果表!J56+1,结果表!J55+1))</f>
        <v>4</v>
      </c>
      <c r="K57" s="3144" t="s">
        <v>2228</v>
      </c>
      <c r="L57" s="2488" t="s">
        <v>2229</v>
      </c>
      <c r="M57" s="1756"/>
      <c r="N57" s="1757">
        <f ca="1">SUMIF(M52:M56,"&lt;9e307")</f>
        <v>582482</v>
      </c>
      <c r="O57" s="2489"/>
      <c r="P57" s="1750">
        <f ca="1">N57/M49</f>
        <v>0.56650100660370939</v>
      </c>
    </row>
    <row r="58" spans="1:35" ht="24.75">
      <c r="A58" s="183" t="s">
        <v>2210</v>
      </c>
      <c r="B58" s="3109" t="s">
        <v>2230</v>
      </c>
      <c r="C58" s="3110"/>
      <c r="D58" s="185">
        <f ca="1">IF(H58="转让取得",C81,C97)</f>
        <v>581968</v>
      </c>
      <c r="E58" s="11" t="s">
        <v>2225</v>
      </c>
      <c r="F58" s="24" t="s">
        <v>34</v>
      </c>
      <c r="G58" s="2483"/>
      <c r="H58" s="2486" t="s">
        <v>2231</v>
      </c>
      <c r="I58" s="2487"/>
      <c r="J58" s="3144"/>
      <c r="K58" s="3144"/>
      <c r="L58" s="2488" t="s">
        <v>2232</v>
      </c>
      <c r="M58" s="1758"/>
      <c r="N58" s="2490" t="str">
        <f ca="1">NUMBERSTRING(INT(N57*10000),2)&amp;"元整"</f>
        <v>伍拾捌亿贰仟肆佰捌拾贰万元整</v>
      </c>
      <c r="O58" s="2491"/>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45">
        <f>J57+1</f>
        <v>5</v>
      </c>
      <c r="K59" s="3144" t="s">
        <v>2235</v>
      </c>
      <c r="L59" s="1809" t="s">
        <v>2229</v>
      </c>
      <c r="M59" s="1759"/>
      <c r="N59" s="1760">
        <f ca="1">M49-N57</f>
        <v>445728</v>
      </c>
      <c r="O59" s="2493"/>
    </row>
    <row r="60" spans="1:35" ht="12" customHeight="1">
      <c r="A60" s="2494"/>
      <c r="B60" s="2416"/>
      <c r="C60" s="2416"/>
      <c r="D60" s="2416"/>
      <c r="E60" s="2164"/>
      <c r="F60" s="2487"/>
      <c r="G60" s="2487"/>
      <c r="H60" s="2495"/>
      <c r="I60" s="138"/>
      <c r="J60" s="3146"/>
      <c r="K60" s="3144"/>
      <c r="L60" s="2488" t="s">
        <v>2232</v>
      </c>
      <c r="M60" s="1758"/>
      <c r="N60" s="2490" t="str">
        <f ca="1">NUMBERSTRING(INT(N59*10000),2)&amp;"元整"</f>
        <v>肆拾肆亿伍仟柒佰贰拾捌万元整</v>
      </c>
      <c r="O60" s="2491"/>
    </row>
    <row r="61" spans="1:35" ht="13.5" thickBot="1">
      <c r="A61" s="3091" t="s">
        <v>2236</v>
      </c>
      <c r="B61" s="3091"/>
      <c r="C61" s="3091"/>
      <c r="D61" s="3091"/>
      <c r="E61" s="3091"/>
      <c r="F61" s="2487"/>
      <c r="G61" s="2487"/>
      <c r="H61" s="2495"/>
      <c r="I61" s="138"/>
      <c r="J61" s="1809">
        <f>J59+1</f>
        <v>6</v>
      </c>
      <c r="K61" s="3144" t="s">
        <v>2237</v>
      </c>
      <c r="L61" s="3144"/>
      <c r="M61" s="1761"/>
      <c r="N61" s="1762">
        <f ca="1">ROUND(N59*10000/'数据-汇总表'!E3,0)</f>
        <v>12215</v>
      </c>
      <c r="O61" s="2496"/>
    </row>
    <row r="62" spans="1:35" ht="12.75">
      <c r="A62" s="3107" t="s">
        <v>2238</v>
      </c>
      <c r="B62" s="3108"/>
      <c r="C62" s="1801"/>
      <c r="D62" s="1801" t="s">
        <v>2239</v>
      </c>
      <c r="E62" s="192" t="s">
        <v>2240</v>
      </c>
      <c r="F62" s="2487"/>
      <c r="G62" s="2487"/>
      <c r="H62" s="2495"/>
      <c r="I62" s="138"/>
    </row>
    <row r="63" spans="1:35" ht="12.75">
      <c r="A63" s="203" t="s">
        <v>775</v>
      </c>
      <c r="B63" s="193" t="s">
        <v>2241</v>
      </c>
      <c r="C63" s="194">
        <f ca="1">ROUND((C64+C65)/(1+'数据-取费表'!C42),0)</f>
        <v>979248</v>
      </c>
      <c r="D63" s="195"/>
      <c r="E63" s="196"/>
      <c r="F63" s="2487"/>
      <c r="G63" s="2487"/>
      <c r="H63" s="2495"/>
      <c r="I63" s="138"/>
      <c r="J63" s="3169" t="s">
        <v>2242</v>
      </c>
      <c r="K63" s="2497" t="s">
        <v>2243</v>
      </c>
      <c r="L63" s="1749">
        <f ca="1">IF(M49&gt;10000,M49*0.5%,IF(AND(M49&gt;1000,M49&lt;=10000),M49*1%,IF(AND(M49&gt;100,M49&lt;=1000),M49*3%,IF(AND(M49&gt;10,M49&lt;=100),M49*5%,M49*8%))))</f>
        <v>5141.05</v>
      </c>
      <c r="M63" s="24">
        <f ca="1">ROUND(L63,1)</f>
        <v>5141.1000000000004</v>
      </c>
      <c r="Z63" s="2421"/>
      <c r="AI63" s="2422"/>
    </row>
    <row r="64" spans="1:35" ht="14.25" customHeight="1">
      <c r="A64" s="197" t="s">
        <v>770</v>
      </c>
      <c r="B64" s="198" t="s">
        <v>2244</v>
      </c>
      <c r="C64" s="199">
        <f ca="1">D45</f>
        <v>1028210</v>
      </c>
      <c r="D64" s="200" t="s">
        <v>32</v>
      </c>
      <c r="E64" s="201"/>
      <c r="F64" s="2487"/>
      <c r="G64" s="2487"/>
      <c r="H64" s="2495"/>
      <c r="I64" s="138"/>
      <c r="J64" s="3169"/>
      <c r="K64" s="2497" t="s">
        <v>2245</v>
      </c>
      <c r="L64" s="1749">
        <f ca="1">IF(M49&gt;2000,M49*0.5%,IF(AND(M49&gt;1000,M49&lt;=2000),M49*0.6%,IF(AND(M49&gt;500,M49&lt;=1000),M49*0.7%,IF(AND(M49&gt;200,M49&lt;=500),M49*0.8%,IF(AND(M49&gt;100,M49&lt;=200),M49*0.9%,IF(AND(M49&gt;50,M49&lt;=100),M49*1%,IF(AND(M49&gt;20,M49&lt;=50),M49*1.5%,IF(AND(M49&gt;10,M49&lt;=20),M49*2%,IF(AND(M49&gt;1,M49&lt;=10),M49*2.5%)))))))))</f>
        <v>5141.05</v>
      </c>
      <c r="M64" s="24">
        <f t="shared" ref="M64:M65" ca="1" si="1">ROUND(L64,1)</f>
        <v>5141.1000000000004</v>
      </c>
      <c r="N64" s="138" t="s">
        <v>2246</v>
      </c>
      <c r="Z64" s="2421"/>
      <c r="AI64" s="2422"/>
    </row>
    <row r="65" spans="1:35" ht="14.25" customHeight="1">
      <c r="A65" s="197" t="s">
        <v>771</v>
      </c>
      <c r="B65" s="198" t="s">
        <v>2247</v>
      </c>
      <c r="C65" s="202"/>
      <c r="D65" s="200"/>
      <c r="E65" s="201"/>
      <c r="F65" s="2487"/>
      <c r="G65" s="2487"/>
      <c r="H65" s="2495"/>
      <c r="I65" s="138"/>
      <c r="J65" s="3169"/>
      <c r="K65" s="2497" t="s">
        <v>2248</v>
      </c>
      <c r="L65" s="1749">
        <f ca="1">IF(M49&gt;1000,M49*0.1%,IF(AND(M49&gt;500,M49&lt;=1000),M49*0.5%,IF(AND(M49&gt;50,M49&lt;=500),M49*1%,IF(AND(M49&gt;1,M49&lt;=50),M49*1.5%))))</f>
        <v>1028.21</v>
      </c>
      <c r="M65" s="24">
        <f t="shared" ca="1" si="1"/>
        <v>1028.2</v>
      </c>
      <c r="N65" s="138" t="s">
        <v>2246</v>
      </c>
      <c r="Z65" s="2421"/>
      <c r="AI65" s="2422"/>
    </row>
    <row r="66" spans="1:35" ht="14.25" customHeight="1">
      <c r="A66" s="203" t="s">
        <v>772</v>
      </c>
      <c r="B66" s="204" t="s">
        <v>2249</v>
      </c>
      <c r="C66" s="205"/>
      <c r="D66" s="206" t="s">
        <v>32</v>
      </c>
      <c r="E66" s="1773" t="s">
        <v>1367</v>
      </c>
      <c r="F66" s="2487"/>
      <c r="G66" s="2487"/>
      <c r="H66" s="2495"/>
      <c r="I66" s="138"/>
      <c r="J66" s="3169"/>
      <c r="K66" s="2497" t="s">
        <v>2250</v>
      </c>
      <c r="L66" s="1749">
        <f ca="1">M49*0.5%</f>
        <v>5141.05</v>
      </c>
      <c r="M66" s="24">
        <f ca="1">IF(L66&gt;0.5,0.5,ROUND(L66,0))</f>
        <v>0.5</v>
      </c>
      <c r="N66" s="138" t="s">
        <v>2251</v>
      </c>
      <c r="Z66" s="2421"/>
      <c r="AI66" s="2422"/>
    </row>
    <row r="67" spans="1:35" ht="14.25" customHeight="1">
      <c r="A67" s="203" t="s">
        <v>773</v>
      </c>
      <c r="B67" s="204" t="s">
        <v>2252</v>
      </c>
      <c r="C67" s="207">
        <f ca="1">C63-C66</f>
        <v>979248</v>
      </c>
      <c r="D67" s="200" t="s">
        <v>32</v>
      </c>
      <c r="E67" s="201"/>
      <c r="F67" s="2487"/>
      <c r="G67" s="2487"/>
      <c r="H67" s="2495"/>
      <c r="I67" s="138"/>
      <c r="J67" s="3169"/>
      <c r="K67" s="2497" t="s">
        <v>2253</v>
      </c>
      <c r="L67" s="1749">
        <f ca="1">IF(M49&gt;=10000,(8.25+(M49-10000)*0.01%),IF(AND(M49&gt;=8000,M49&lt;10000),(7.85+(M49-8000)*0.02%),IF(AND(M49&gt;=5000,M49&lt;8000),(6.65+(M49-5000)*0.04%),IF(AND(M49&gt;=2000,M49&lt;5000),(4.25+(PM49-2000)*0.08%),IF(AND(M49&gt;=1000,M49&lt;2000),(2.75+(M49-1000)*0.15%),IF(AND(M49&gt;=100,M49&lt;1000),(0.5+(M49-100)*0.25%),IF(AND(M49&gt;0,M49&lt;100),M49*0.5%)))))))</f>
        <v>110.071</v>
      </c>
      <c r="M67" s="24">
        <f ca="1">ROUND(L67*0.9,1)</f>
        <v>99.1</v>
      </c>
      <c r="Z67" s="2421"/>
      <c r="AI67" s="2422"/>
    </row>
    <row r="68" spans="1:35" ht="14.25" customHeight="1" thickBot="1">
      <c r="A68" s="208" t="s">
        <v>774</v>
      </c>
      <c r="B68" s="209" t="s">
        <v>2254</v>
      </c>
      <c r="C68" s="210">
        <f ca="1">IF(C67&lt;=0,0,ROUND(C67*D68,0))</f>
        <v>54838</v>
      </c>
      <c r="D68" s="211">
        <f>'数据-取费表'!B41</f>
        <v>5.6000000000000001E-2</v>
      </c>
      <c r="E68" s="212"/>
      <c r="F68" s="2487"/>
      <c r="G68" s="2487"/>
      <c r="H68" s="2495"/>
      <c r="I68" s="138"/>
      <c r="J68" s="3169"/>
      <c r="K68" s="2497" t="s">
        <v>2255</v>
      </c>
      <c r="L68" s="1749">
        <f ca="1">IF(M49&gt;10000,M49*0.5%,IF(AND(M49&gt;5000,M49&lt;=10000),M49*1%,IF(AND(M49&gt;1000,M49&lt;=5000),M49*2%,IF(AND(M49&gt;200,M49&lt;=1000),M49*3%,M49*5%))))</f>
        <v>5141.05</v>
      </c>
      <c r="M68" s="24">
        <f ca="1">ROUND(L68,1)</f>
        <v>5141.1000000000004</v>
      </c>
      <c r="Z68" s="2421"/>
      <c r="AI68" s="2422"/>
    </row>
    <row r="69" spans="1:35" s="2444" customFormat="1" ht="16.5" customHeight="1">
      <c r="A69" s="2498"/>
      <c r="B69" s="2499"/>
      <c r="C69" s="2500"/>
      <c r="D69" s="2501"/>
      <c r="E69" s="2502"/>
      <c r="F69" s="2164"/>
      <c r="G69" s="2164"/>
      <c r="H69" s="2163"/>
      <c r="I69" s="2416"/>
      <c r="J69" s="3169"/>
      <c r="K69" s="2497" t="s">
        <v>2256</v>
      </c>
      <c r="L69" s="2503"/>
      <c r="M69" s="24">
        <f ca="1">ROUND(SUM(M63:M68),0)</f>
        <v>16551</v>
      </c>
      <c r="N69" s="1750">
        <f ca="1">M69/M49</f>
        <v>1.6096906274010173E-2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8" t="s">
        <v>2257</v>
      </c>
      <c r="B70" s="3129"/>
      <c r="C70" s="3129"/>
      <c r="D70" s="3129"/>
      <c r="E70" s="3129"/>
      <c r="F70" s="3129"/>
      <c r="G70" s="3129"/>
      <c r="H70" s="312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7" t="s">
        <v>2238</v>
      </c>
      <c r="B71" s="3108"/>
      <c r="C71" s="1801"/>
      <c r="D71" s="1801"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979248</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5875</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102" t="s">
        <v>2266</v>
      </c>
      <c r="F76" s="3079"/>
      <c r="G76" s="3079"/>
      <c r="H76" s="312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5875</v>
      </c>
      <c r="D78" s="226">
        <f>'数据-取费表'!B43</f>
        <v>6.000000000000001E-3</v>
      </c>
      <c r="E78" s="3088" t="s">
        <v>2271</v>
      </c>
      <c r="F78" s="3089"/>
      <c r="G78" s="3089"/>
      <c r="H78" s="309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973373</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165.68051063829787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581968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8" t="s">
        <v>2275</v>
      </c>
      <c r="B83" s="3129"/>
      <c r="C83" s="3129"/>
      <c r="D83" s="3129"/>
      <c r="E83" s="3129"/>
      <c r="F83" s="3129"/>
      <c r="G83" s="3129"/>
      <c r="H83" s="312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7" t="s">
        <v>2238</v>
      </c>
      <c r="B84" s="3108"/>
      <c r="C84" s="1801"/>
      <c r="D84" s="1801"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979248</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5875</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7"/>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88" t="s">
        <v>2284</v>
      </c>
      <c r="F91" s="3089"/>
      <c r="G91" s="3089"/>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88" t="s">
        <v>2288</v>
      </c>
      <c r="F92" s="3089"/>
      <c r="G92" s="3089"/>
      <c r="H92" s="309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5875</v>
      </c>
      <c r="D93" s="226">
        <f>'数据-取费表'!B43</f>
        <v>6.000000000000001E-3</v>
      </c>
      <c r="E93" s="3088" t="s">
        <v>2271</v>
      </c>
      <c r="F93" s="3089"/>
      <c r="G93" s="3089"/>
      <c r="H93" s="309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99" t="s">
        <v>2292</v>
      </c>
      <c r="F94" s="3100"/>
      <c r="G94" s="3100"/>
      <c r="H94" s="310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973373</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165.68051063829787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581968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2293</v>
      </c>
      <c r="B99" s="2416"/>
      <c r="C99" s="2416"/>
      <c r="D99" s="2416"/>
      <c r="E99" s="2164"/>
      <c r="F99" s="2164"/>
      <c r="G99" s="2164"/>
      <c r="H99" s="2163"/>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v>
      </c>
      <c r="D101" s="737" t="str">
        <f>D4</f>
        <v>收益法（汇总）</v>
      </c>
      <c r="E101" s="3166" t="s">
        <v>2297</v>
      </c>
      <c r="F101" s="3120"/>
      <c r="G101" s="2518" t="s">
        <v>2298</v>
      </c>
      <c r="H101" s="1045">
        <f ca="1">H118</f>
        <v>1028210</v>
      </c>
      <c r="I101" s="138"/>
    </row>
    <row r="102" spans="1:35" ht="18.75" customHeight="1">
      <c r="A102" s="3122" t="s">
        <v>2299</v>
      </c>
      <c r="B102" s="2518" t="s">
        <v>2298</v>
      </c>
      <c r="C102" s="736">
        <f ca="1">C19</f>
        <v>1246886</v>
      </c>
      <c r="D102" s="737">
        <f ca="1">D19</f>
        <v>622097</v>
      </c>
      <c r="E102" s="3166"/>
      <c r="F102" s="3120"/>
      <c r="G102" s="2518" t="s">
        <v>2300</v>
      </c>
      <c r="H102" s="371">
        <f ca="1">I118</f>
        <v>28177</v>
      </c>
      <c r="I102" s="138"/>
    </row>
    <row r="103" spans="1:35" ht="42.75" customHeight="1">
      <c r="A103" s="3122"/>
      <c r="B103" s="2518" t="s">
        <v>2300</v>
      </c>
      <c r="C103" s="738">
        <f ca="1">C20</f>
        <v>34170</v>
      </c>
      <c r="D103" s="739">
        <f ca="1">D20</f>
        <v>17048</v>
      </c>
      <c r="E103" s="3161" t="s">
        <v>2301</v>
      </c>
      <c r="F103" s="3162"/>
      <c r="G103" s="2519" t="s">
        <v>2302</v>
      </c>
      <c r="H103" s="1045">
        <f>IF(D36="正常操作",H104+H105+H106,H105+H106)</f>
        <v>0</v>
      </c>
      <c r="I103" s="138"/>
    </row>
    <row r="104" spans="1:35" ht="18.75" customHeight="1">
      <c r="A104" s="3122" t="s">
        <v>2303</v>
      </c>
      <c r="B104" s="2520" t="s">
        <v>2298</v>
      </c>
      <c r="C104" s="740">
        <f ca="1">H118</f>
        <v>1028210</v>
      </c>
      <c r="D104" s="741"/>
      <c r="E104" s="2264" t="s">
        <v>2304</v>
      </c>
      <c r="F104" s="2256"/>
      <c r="G104" s="2519" t="s">
        <v>2302</v>
      </c>
      <c r="H104" s="1046">
        <f>IF(D36="同一抵押权人同一抵押物续贷",C36&amp;"（未扣减，详见特别提示）",C36)</f>
        <v>0</v>
      </c>
      <c r="I104" s="138"/>
    </row>
    <row r="105" spans="1:35" ht="18.75" customHeight="1" thickBot="1">
      <c r="A105" s="3123"/>
      <c r="B105" s="2521" t="s">
        <v>2300</v>
      </c>
      <c r="C105" s="742">
        <f ca="1">I118</f>
        <v>28177</v>
      </c>
      <c r="D105" s="743"/>
      <c r="E105" s="2264" t="s">
        <v>2305</v>
      </c>
      <c r="F105" s="2256"/>
      <c r="G105" s="2519" t="s">
        <v>2302</v>
      </c>
      <c r="H105" s="1046">
        <f>C37</f>
        <v>0</v>
      </c>
      <c r="I105" s="138"/>
    </row>
    <row r="106" spans="1:35" ht="18.75" customHeight="1">
      <c r="A106" s="2416" t="s">
        <v>2306</v>
      </c>
      <c r="B106" s="2416"/>
      <c r="C106" s="2416"/>
      <c r="D106" s="2416"/>
      <c r="E106" s="2522" t="s">
        <v>2307</v>
      </c>
      <c r="F106" s="2256"/>
      <c r="G106" s="2519" t="s">
        <v>2302</v>
      </c>
      <c r="H106" s="1046">
        <f>C38</f>
        <v>0</v>
      </c>
      <c r="I106" s="138"/>
    </row>
    <row r="107" spans="1:35" ht="18.75" customHeight="1">
      <c r="A107" s="138"/>
      <c r="B107" s="138"/>
      <c r="C107" s="138"/>
      <c r="D107" s="138"/>
      <c r="E107" s="3119" t="str">
        <f>IF(项目基本情况!E8="已注销","——","3.房地产抵押价值")</f>
        <v>3.房地产抵押价值</v>
      </c>
      <c r="F107" s="3120"/>
      <c r="G107" s="2518" t="s">
        <v>2298</v>
      </c>
      <c r="H107" s="1045">
        <f ca="1">IF(E107="——","——",H101-H103)</f>
        <v>1028210</v>
      </c>
      <c r="I107" s="138"/>
    </row>
    <row r="108" spans="1:35" ht="18.75" customHeight="1">
      <c r="A108" s="138"/>
      <c r="B108" s="138"/>
      <c r="C108" s="138"/>
      <c r="D108" s="138"/>
      <c r="E108" s="3119"/>
      <c r="F108" s="3120"/>
      <c r="G108" s="2518" t="s">
        <v>2300</v>
      </c>
      <c r="H108" s="371">
        <f ca="1">ROUND(H107*10000/'数据-汇总表'!E3,0)</f>
        <v>28177</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8" t="s">
        <v>2298</v>
      </c>
      <c r="H109" s="348" t="str">
        <f>IF(E109="——","——",H101-H105-H106)</f>
        <v>——</v>
      </c>
      <c r="I109" s="138"/>
    </row>
    <row r="110" spans="1:35" ht="18.75" customHeight="1">
      <c r="A110" s="138"/>
      <c r="B110" s="138"/>
      <c r="C110" s="138"/>
      <c r="D110" s="138"/>
      <c r="E110" s="3119"/>
      <c r="F110" s="3120"/>
      <c r="G110" s="2518"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8" t="s">
        <v>2298</v>
      </c>
      <c r="H111" s="1045" t="str">
        <f>IF(E111="——","——",N59)</f>
        <v>——</v>
      </c>
      <c r="I111" s="138"/>
    </row>
    <row r="112" spans="1:35" ht="18.75" customHeight="1" thickBot="1">
      <c r="A112" s="138"/>
      <c r="B112" s="138"/>
      <c r="C112" s="138"/>
      <c r="D112" s="138"/>
      <c r="E112" s="3156"/>
      <c r="F112" s="3157"/>
      <c r="G112" s="2523"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6"/>
      <c r="B114" s="2416"/>
      <c r="C114" s="2416"/>
      <c r="D114" s="2416"/>
      <c r="E114" s="2494"/>
      <c r="F114" s="2494"/>
      <c r="G114" s="2494"/>
      <c r="H114" s="2494"/>
      <c r="I114" s="2416"/>
    </row>
    <row r="115" spans="1:11" ht="18.75" customHeight="1">
      <c r="A115" s="3137" t="s">
        <v>2308</v>
      </c>
      <c r="B115" s="3138"/>
      <c r="C115" s="3138"/>
      <c r="D115" s="3138"/>
      <c r="E115" s="3138"/>
      <c r="F115" s="3138"/>
      <c r="G115" s="3138"/>
      <c r="H115" s="3138"/>
      <c r="I115" s="3139"/>
    </row>
    <row r="116" spans="1:11" ht="27" customHeight="1">
      <c r="A116" s="3030" t="s">
        <v>2309</v>
      </c>
      <c r="B116" s="3125" t="s">
        <v>3240</v>
      </c>
      <c r="C116" s="3125" t="s">
        <v>3241</v>
      </c>
      <c r="D116" s="3141" t="s">
        <v>2310</v>
      </c>
      <c r="E116" s="3142"/>
      <c r="F116" s="3133" t="s">
        <v>3242</v>
      </c>
      <c r="G116" s="3133"/>
      <c r="H116" s="3030" t="s">
        <v>2311</v>
      </c>
      <c r="I116" s="3030"/>
    </row>
    <row r="117" spans="1:11" ht="18.75" customHeight="1">
      <c r="A117" s="3030"/>
      <c r="B117" s="3126"/>
      <c r="C117" s="3126"/>
      <c r="D117" s="1795" t="s">
        <v>2312</v>
      </c>
      <c r="E117" s="1795" t="s">
        <v>2313</v>
      </c>
      <c r="F117" s="1795" t="s">
        <v>2312</v>
      </c>
      <c r="G117" s="1795" t="s">
        <v>2314</v>
      </c>
      <c r="H117" s="1795" t="s">
        <v>2312</v>
      </c>
      <c r="I117" s="1795" t="s">
        <v>2314</v>
      </c>
    </row>
    <row r="118" spans="1:11" ht="24.75" customHeight="1">
      <c r="A118" s="2524" t="str">
        <f>项目基本情况!S2</f>
        <v>北京市丰台区南四环西路182号房地产</v>
      </c>
      <c r="B118" s="1795">
        <f>M18</f>
        <v>364906</v>
      </c>
      <c r="C118" s="1795">
        <f>M19</f>
        <v>48267.47</v>
      </c>
      <c r="D118" s="1795">
        <f ca="1">ROUND(IF(D32="总价",C34,E118*B118/10000),0)</f>
        <v>891458</v>
      </c>
      <c r="E118" s="1795">
        <f ca="1">ROUND(IF(C33="自定义",IF(D32="楼面单价",C34,D118*10000/B118),I118-G118),0)</f>
        <v>24429</v>
      </c>
      <c r="F118" s="1795">
        <f ca="1">ROUND(IF(D32="总价",C35,G118*B118/10000),0)</f>
        <v>136752</v>
      </c>
      <c r="G118" s="1795">
        <f ca="1">ROUND(IF(D32="楼面单价",C35,F118*10000/B118),0)</f>
        <v>3748</v>
      </c>
      <c r="H118" s="1795">
        <f ca="1">ROUND(IF(D32="总价",C32,I118*B118/10000),0)</f>
        <v>1028210</v>
      </c>
      <c r="I118" s="1795">
        <f ca="1">ROUND(IF(D32="楼面单价",C32,H118*10000/B118),0)</f>
        <v>28177</v>
      </c>
    </row>
    <row r="119" spans="1:11" ht="31.5" customHeight="1">
      <c r="A119" s="3030" t="s">
        <v>2315</v>
      </c>
      <c r="B119" s="3030"/>
      <c r="C119" s="3030"/>
      <c r="D119" s="3130" t="str">
        <f ca="1">NUMBERSTRING(INT(D118*10000),2)&amp;"元整"</f>
        <v>捌拾玖亿壹仟肆佰伍拾捌万元整</v>
      </c>
      <c r="E119" s="3132"/>
      <c r="F119" s="3130" t="str">
        <f ca="1">NUMBERSTRING(INT(F118*10000),2)&amp;"元整"</f>
        <v>壹拾叁亿陆仟柒佰伍拾贰万元整</v>
      </c>
      <c r="G119" s="3132"/>
      <c r="H119" s="3130" t="str">
        <f ca="1">NUMBERSTRING(INT(H118*10000),2)&amp;"元整"</f>
        <v>壹佰零贰亿捌仟贰佰壹拾万元整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1" t="str">
        <f>IF(D120=0,"故，本次评估不存在"&amp;A120,"故，本次评估"&amp;A120&amp;"为人民币"&amp;D120&amp;"万元整。")</f>
        <v>故，本次评估不存在估价师知悉的法定优先受偿款</v>
      </c>
    </row>
    <row r="121" spans="1:11" ht="18.75" customHeight="1">
      <c r="A121" s="3134" t="s">
        <v>2315</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1028210</v>
      </c>
      <c r="E122" s="3159"/>
      <c r="F122" s="3159"/>
      <c r="G122" s="3159"/>
      <c r="H122" s="3159"/>
      <c r="I122" s="3160"/>
    </row>
    <row r="123" spans="1:11" ht="18.75" customHeight="1">
      <c r="A123" s="3030" t="s">
        <v>2315</v>
      </c>
      <c r="B123" s="3030"/>
      <c r="C123" s="3030"/>
      <c r="D123" s="3130" t="str">
        <f ca="1">NUMBERSTRING(INT(D122*10000),2)&amp;"元整"</f>
        <v>壹佰零贰亿捌仟贰佰壹拾万元整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2315</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2315</v>
      </c>
      <c r="B127" s="3030"/>
      <c r="C127" s="3030"/>
      <c r="D127" s="3130" t="e">
        <f>NUMBERSTRING(INT(D126*10000),2)&amp;"元整"</f>
        <v>#VALUE!</v>
      </c>
      <c r="E127" s="3131"/>
      <c r="F127" s="3131"/>
      <c r="G127" s="3131"/>
      <c r="H127" s="3131"/>
      <c r="I127" s="3132"/>
    </row>
    <row r="128" spans="1:11" ht="21.75" customHeight="1">
      <c r="A128" s="3140" t="s">
        <v>2316</v>
      </c>
      <c r="B128" s="3140"/>
      <c r="C128" s="3140"/>
      <c r="D128" s="3140"/>
      <c r="E128" s="3140"/>
      <c r="F128" s="3140"/>
      <c r="G128" s="3140"/>
      <c r="H128" s="3140"/>
      <c r="I128" s="3140"/>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11</v>
      </c>
    </row>
    <row r="2" spans="1:9" s="244" customFormat="1" ht="18" customHeight="1">
      <c r="A2" s="245" t="s">
        <v>2325</v>
      </c>
      <c r="B2" s="246">
        <f ca="1">IF(D2="——",C52,C52-E2)</f>
        <v>1246886</v>
      </c>
      <c r="C2" s="243" t="s">
        <v>2326</v>
      </c>
      <c r="D2" s="2547" t="s">
        <v>70</v>
      </c>
      <c r="E2" s="1440"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34170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756639</v>
      </c>
      <c r="D5" s="255" t="s">
        <v>2332</v>
      </c>
      <c r="E5" s="256" t="s">
        <v>2333</v>
      </c>
      <c r="F5" s="256" t="s">
        <v>2334</v>
      </c>
      <c r="G5" s="257"/>
    </row>
    <row r="6" spans="1:9" s="258" customFormat="1" ht="13.5" customHeight="1">
      <c r="A6" s="949" t="s">
        <v>2335</v>
      </c>
      <c r="B6" s="259" t="s">
        <v>2336</v>
      </c>
      <c r="C6" s="260">
        <f>'土地比较法-住宅、综合'!B2</f>
        <v>727163</v>
      </c>
      <c r="D6" s="261"/>
      <c r="E6" s="262"/>
      <c r="F6" s="262"/>
      <c r="G6" s="263"/>
    </row>
    <row r="7" spans="1:9" s="258" customFormat="1" ht="13.5" customHeight="1">
      <c r="A7" s="949" t="s">
        <v>2337</v>
      </c>
      <c r="B7" s="259" t="s">
        <v>2338</v>
      </c>
      <c r="C7" s="264">
        <f>ROUND(C6*F7,0)</f>
        <v>22178</v>
      </c>
      <c r="D7" s="264"/>
      <c r="E7" s="262"/>
      <c r="F7" s="265">
        <f>'数据-取费表'!B48+'数据-取费表'!B49</f>
        <v>3.0499999999999999E-2</v>
      </c>
      <c r="G7" s="263"/>
    </row>
    <row r="8" spans="1:9" s="267" customFormat="1">
      <c r="A8" s="949" t="s">
        <v>2339</v>
      </c>
      <c r="B8" s="259" t="s">
        <v>2340</v>
      </c>
      <c r="C8" s="264">
        <f ca="1">IF(G8="已包含在土地购买价格中","0",IF(B1="",'数据-取费表'!B29,IF(G9="全部缴纳",C9+C10,H9)))</f>
        <v>7298</v>
      </c>
      <c r="D8" s="266"/>
      <c r="E8" s="264"/>
      <c r="F8" s="265"/>
      <c r="G8" s="2550" t="s">
        <v>3091</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160</v>
      </c>
      <c r="F9" s="265"/>
      <c r="G9" s="2551" t="s">
        <v>3092</v>
      </c>
      <c r="H9" s="1390"/>
      <c r="I9" s="2552" t="s">
        <v>2342</v>
      </c>
    </row>
    <row r="10" spans="1:9" s="258" customFormat="1" ht="13.5" customHeight="1">
      <c r="A10" s="950" t="s">
        <v>801</v>
      </c>
      <c r="B10" s="268" t="s">
        <v>2343</v>
      </c>
      <c r="C10" s="269">
        <f ca="1">ROUND(D10*E10/10000,0)</f>
        <v>7298</v>
      </c>
      <c r="D10" s="1032">
        <f ca="1">IF(B1="",'数据-汇总表'!E6,IF(INDIRECT("'数据-取费表'!c"&amp;$G$1)="住宅",INDIRECT("'数据-取费表'!s"&amp;$G$1),INDIRECT("'数据-取费表'!k"&amp;$G$1)+INDIRECT("'数据-取费表'!s"&amp;$G$1)))</f>
        <v>364906</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364906</v>
      </c>
      <c r="E19" s="255">
        <f>'数据-取费表'!B31</f>
        <v>200</v>
      </c>
      <c r="F19" s="275"/>
      <c r="G19" s="2550" t="s">
        <v>3093</v>
      </c>
    </row>
    <row r="20" spans="1:7" s="258" customFormat="1" ht="13.5" customHeight="1">
      <c r="A20" s="299" t="s">
        <v>2356</v>
      </c>
      <c r="B20" s="254" t="s">
        <v>2357</v>
      </c>
      <c r="C20" s="276">
        <f ca="1">ROUND((C5+C19)*F20,0)</f>
        <v>15133</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93981</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93077</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904</v>
      </c>
      <c r="D25" s="282"/>
      <c r="E25" s="285"/>
      <c r="F25" s="283"/>
      <c r="G25" s="286" t="s">
        <v>2373</v>
      </c>
    </row>
    <row r="26" spans="1:7" s="258" customFormat="1">
      <c r="A26" s="951"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131201</v>
      </c>
      <c r="D27" s="279">
        <f ca="1">C29</f>
        <v>3.3999999999999998E-3</v>
      </c>
      <c r="E27" s="280" t="s">
        <v>2377</v>
      </c>
      <c r="F27" s="290">
        <f ca="1">IF(B1="",'数据-取费表'!Q16,INDIRECT("'数据-取费表'!q"&amp;$G$1))</f>
        <v>0.17</v>
      </c>
      <c r="G27" s="291" t="s">
        <v>2378</v>
      </c>
    </row>
    <row r="28" spans="1:7" s="258" customFormat="1" ht="13.5" customHeight="1">
      <c r="A28" s="951" t="s">
        <v>791</v>
      </c>
      <c r="B28" s="292" t="s">
        <v>2379</v>
      </c>
      <c r="C28" s="293">
        <f ca="1">ROUND((C5+C19+C20)*F27*'数据-取费表'!B21/'数据-取费表'!B20,0)</f>
        <v>131201</v>
      </c>
      <c r="D28" s="279"/>
      <c r="E28" s="280"/>
      <c r="F28" s="290"/>
      <c r="G28" s="291"/>
    </row>
    <row r="29" spans="1:7" s="258" customFormat="1" ht="13.5" customHeight="1">
      <c r="A29" s="951" t="s">
        <v>792</v>
      </c>
      <c r="B29" s="292" t="s">
        <v>2380</v>
      </c>
      <c r="C29" s="282">
        <f ca="1">ROUND(C21*F27*'数据-取费表'!B21/'数据-取费表'!B20,4)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1081178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143317</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127717</v>
      </c>
      <c r="D34" s="261"/>
      <c r="E34" s="264"/>
      <c r="F34" s="301">
        <f ca="1">IF('数据-取费表'!B24=0,1,IF(B1="",'数据-取费表'!N16,INDIRECT("'数据-取费表'!n"&amp;$G$1)))</f>
        <v>1</v>
      </c>
      <c r="G34" s="263" t="s">
        <v>2389</v>
      </c>
    </row>
    <row r="35" spans="1:7" ht="13.5" customHeight="1">
      <c r="A35" s="951" t="s">
        <v>796</v>
      </c>
      <c r="B35" s="259" t="s">
        <v>2390</v>
      </c>
      <c r="C35" s="264">
        <f ca="1">ROUND(C34*F35,0)</f>
        <v>6386</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7298</v>
      </c>
      <c r="D37" s="261">
        <f ca="1">D19</f>
        <v>364906</v>
      </c>
      <c r="E37" s="293">
        <f>'数据-取费表'!B35</f>
        <v>200</v>
      </c>
      <c r="F37" s="303"/>
      <c r="G37" s="305" t="s">
        <v>2395</v>
      </c>
    </row>
    <row r="38" spans="1:7" ht="13.5" customHeight="1">
      <c r="A38" s="951" t="s">
        <v>799</v>
      </c>
      <c r="B38" s="259" t="s">
        <v>2396</v>
      </c>
      <c r="C38" s="264">
        <f ca="1">ROUND(C34*F38,0)</f>
        <v>1916</v>
      </c>
      <c r="D38" s="264"/>
      <c r="E38" s="264"/>
      <c r="F38" s="303">
        <f>'数据-取费表'!B36</f>
        <v>1.4999999999999999E-2</v>
      </c>
      <c r="G38" s="263" t="s">
        <v>2391</v>
      </c>
    </row>
    <row r="39" spans="1:7" s="258" customFormat="1" ht="13.5" customHeight="1">
      <c r="A39" s="299" t="s">
        <v>2397</v>
      </c>
      <c r="B39" s="254" t="s">
        <v>2398</v>
      </c>
      <c r="C39" s="276">
        <f ca="1">ROUND(C33*F20,0)</f>
        <v>2866</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8730</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8559</v>
      </c>
      <c r="D42" s="282"/>
      <c r="E42" s="282"/>
      <c r="F42" s="283"/>
      <c r="G42" s="3172" t="s">
        <v>2407</v>
      </c>
    </row>
    <row r="43" spans="1:7" ht="13.5" customHeight="1">
      <c r="A43" s="951" t="s">
        <v>792</v>
      </c>
      <c r="B43" s="259" t="s">
        <v>2408</v>
      </c>
      <c r="C43" s="282">
        <f ca="1">ROUND(IF('数据-取费表'!B22&lt;=1,C39*F22*'数据-取费表'!B21/2,C39*(POWER((1+F22),'数据-取费表'!B21/2)-1)),0)</f>
        <v>171</v>
      </c>
      <c r="D43" s="282"/>
      <c r="E43" s="282"/>
      <c r="F43" s="283"/>
      <c r="G43" s="3173"/>
    </row>
    <row r="44" spans="1:7" ht="13.5" customHeight="1">
      <c r="A44" s="951" t="s">
        <v>793</v>
      </c>
      <c r="B44" s="259" t="s">
        <v>2409</v>
      </c>
      <c r="C44" s="282">
        <f ca="1">ROUND(IF('数据-取费表'!B22&lt;=1,C40*F22*'数据-取费表'!B21/2,C40*(POWER((1+F22),'数据-取费表'!B21/2)-1)),4)</f>
        <v>1.1999999999999999E-3</v>
      </c>
      <c r="D44" s="282"/>
      <c r="E44" s="282"/>
      <c r="F44" s="283"/>
      <c r="G44" s="3174"/>
    </row>
    <row r="45" spans="1:7" s="258" customFormat="1" ht="13.5" customHeight="1">
      <c r="A45" s="299" t="s">
        <v>2410</v>
      </c>
      <c r="B45" s="288" t="s">
        <v>2376</v>
      </c>
      <c r="C45" s="289">
        <f ca="1">C46</f>
        <v>24851</v>
      </c>
      <c r="D45" s="279">
        <f ca="1">C47</f>
        <v>3.3999999999999998E-3</v>
      </c>
      <c r="E45" s="280" t="s">
        <v>2402</v>
      </c>
      <c r="F45" s="290"/>
      <c r="G45" s="291" t="s">
        <v>2411</v>
      </c>
    </row>
    <row r="46" spans="1:7" s="258" customFormat="1" ht="13.5" customHeight="1">
      <c r="A46" s="951" t="s">
        <v>791</v>
      </c>
      <c r="B46" s="292" t="s">
        <v>2412</v>
      </c>
      <c r="C46" s="293">
        <f ca="1">ROUND((C33+C39)*F27,0)</f>
        <v>24851</v>
      </c>
      <c r="D46" s="307"/>
      <c r="E46" s="280"/>
      <c r="F46" s="290"/>
      <c r="G46" s="291"/>
    </row>
    <row r="47" spans="1:7" s="258" customFormat="1" ht="13.5" customHeight="1">
      <c r="A47" s="951" t="s">
        <v>792</v>
      </c>
      <c r="B47" s="292" t="s">
        <v>2413</v>
      </c>
      <c r="C47" s="282">
        <f ca="1">ROUND(C40*F27,4)</f>
        <v>3.3999999999999998E-3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194951</v>
      </c>
      <c r="D49" s="276"/>
      <c r="E49" s="276"/>
      <c r="F49" s="308"/>
      <c r="G49" s="278" t="s">
        <v>2417</v>
      </c>
    </row>
    <row r="50" spans="1:7" s="302" customFormat="1" ht="24">
      <c r="A50" s="299" t="s">
        <v>2418</v>
      </c>
      <c r="B50" s="254" t="s">
        <v>2419</v>
      </c>
      <c r="C50" s="276"/>
      <c r="D50" s="276"/>
      <c r="E50" s="276"/>
      <c r="F50" s="308">
        <f>IF('数据-取费表'!B24=0,'数据-取费表'!N16,1)</f>
        <v>0.85</v>
      </c>
      <c r="G50" s="291" t="s">
        <v>2420</v>
      </c>
    </row>
    <row r="51" spans="1:7" ht="16.5" customHeight="1">
      <c r="A51" s="299" t="s">
        <v>2421</v>
      </c>
      <c r="B51" s="254" t="s">
        <v>2422</v>
      </c>
      <c r="C51" s="276">
        <f ca="1">ROUND(C49*F50,0)</f>
        <v>165708</v>
      </c>
      <c r="D51" s="276"/>
      <c r="E51" s="276"/>
      <c r="F51" s="308"/>
      <c r="G51" s="278" t="s">
        <v>2423</v>
      </c>
    </row>
    <row r="52" spans="1:7" s="252" customFormat="1" ht="16.5" thickBot="1">
      <c r="A52" s="309" t="s">
        <v>2424</v>
      </c>
      <c r="B52" s="310"/>
      <c r="C52" s="311">
        <f ca="1">C31+C51</f>
        <v>1246886</v>
      </c>
      <c r="D52" s="310"/>
      <c r="E52" s="310"/>
      <c r="F52" s="310"/>
      <c r="G52" s="312"/>
    </row>
    <row r="55" spans="1:7" ht="15">
      <c r="B55" s="314" t="s">
        <v>2425</v>
      </c>
      <c r="C55" s="315"/>
    </row>
    <row r="56" spans="1:7">
      <c r="B56" s="317" t="s">
        <v>1509</v>
      </c>
      <c r="C56" s="319">
        <f ca="1">1-C57</f>
        <v>0.86699999999999999</v>
      </c>
    </row>
    <row r="57" spans="1:7">
      <c r="B57" s="317" t="s">
        <v>1510</v>
      </c>
      <c r="C57" s="318">
        <f ca="1">ROUND(C51/C52,3)</f>
        <v>0.13300000000000001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北京市丰台区南四环西路182号房地产抵押价值预评估</v>
      </c>
      <c r="C37" s="2986"/>
      <c r="D37" s="2986"/>
      <c r="E37" s="2986"/>
      <c r="F37" s="2986"/>
      <c r="G37" s="2986"/>
      <c r="H37" s="2986"/>
      <c r="I37" s="2986"/>
    </row>
    <row r="38" spans="1:9">
      <c r="A38" s="1016"/>
      <c r="B38" s="1016"/>
    </row>
    <row r="39" spans="1:9">
      <c r="A39" s="1014" t="s">
        <v>818</v>
      </c>
      <c r="B39" s="1014" t="s">
        <v>820</v>
      </c>
    </row>
    <row r="40" spans="1:9">
      <c r="A40" s="1014"/>
      <c r="B40" s="1942" t="str">
        <f>项目基本情况!B5</f>
        <v>北京国美商都建设开发有限公司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郑燚（注册号：1120070131)、崔锴（注册号：0)</v>
      </c>
    </row>
    <row r="47" spans="1:9">
      <c r="A47" s="1014"/>
      <c r="B47" s="1014" t="str">
        <f ca="1">项目基本情况!K5</f>
        <v>崔锴（注册号：0)</v>
      </c>
    </row>
    <row r="48" spans="1:9">
      <c r="A48" s="1014" t="s">
        <v>818</v>
      </c>
      <c r="B48" s="1014" t="s">
        <v>824</v>
      </c>
    </row>
    <row r="49" spans="2:2">
      <c r="B49" s="1942" t="str">
        <f>"康正预评字"&amp;项目基本情况!B2&amp;"号"</f>
        <v>康正预评字2019-1-0375-P01DYGJ1号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C119" sqref="C11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727163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19927</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3"/>
      <c r="Y4" s="3201" t="s">
        <v>2649</v>
      </c>
      <c r="Z4" s="3202"/>
      <c r="AA4" s="3189" t="s">
        <v>2645</v>
      </c>
      <c r="AB4" s="3190" t="s">
        <v>2646</v>
      </c>
      <c r="AC4" s="3189" t="s">
        <v>2647</v>
      </c>
    </row>
    <row r="5" spans="1:30" ht="44.25" customHeight="1">
      <c r="A5" s="404"/>
      <c r="B5" s="405"/>
      <c r="C5" s="3209" t="s">
        <v>2540</v>
      </c>
      <c r="D5" s="3210"/>
      <c r="E5" s="3217" t="str">
        <f>Sheet3!$A$2</f>
        <v>北京市丰台区丽泽金融商务区南区F-22、F-23地块F3其他类多功能用地</v>
      </c>
      <c r="F5" s="3218"/>
      <c r="G5" s="3209" t="str">
        <f>Sheet3!$A$4</f>
        <v>丰台区丽泽金融商务区南区D-07、D-08地块</v>
      </c>
      <c r="H5" s="3210"/>
      <c r="I5" s="3209" t="str">
        <f>Sheet3!$A$5</f>
        <v>丰台区花乡四合庄(中关村科技园丰台园东区三期)1516-28-B地块</v>
      </c>
      <c r="J5" s="3210"/>
      <c r="K5" s="610"/>
      <c r="L5" s="1130"/>
      <c r="M5" s="1131"/>
      <c r="N5" s="1131"/>
      <c r="O5" s="1131"/>
      <c r="P5" s="3197"/>
      <c r="Q5" s="3198"/>
      <c r="R5" s="3203"/>
      <c r="S5" s="3204"/>
      <c r="T5" s="3203"/>
      <c r="U5" s="3204"/>
      <c r="V5" s="3188"/>
      <c r="W5" s="3188"/>
      <c r="X5" s="1813"/>
      <c r="Y5" s="3203"/>
      <c r="Z5" s="3204"/>
      <c r="AA5" s="3190"/>
      <c r="AB5" s="3190"/>
      <c r="AC5" s="3190"/>
    </row>
    <row r="6" spans="1:30" ht="15.75" thickBot="1">
      <c r="A6" s="406"/>
      <c r="B6" s="407"/>
      <c r="C6" s="3214" t="s">
        <v>2544</v>
      </c>
      <c r="D6" s="3208"/>
      <c r="E6" s="3215" t="s">
        <v>3195</v>
      </c>
      <c r="F6" s="3216"/>
      <c r="G6" s="3214" t="str">
        <f>E6</f>
        <v>丽泽商务区</v>
      </c>
      <c r="H6" s="3208"/>
      <c r="I6" s="3207" t="s">
        <v>3196</v>
      </c>
      <c r="J6" s="3208"/>
      <c r="K6" s="610" t="s">
        <v>2545</v>
      </c>
      <c r="L6" s="1130"/>
      <c r="M6" s="1131"/>
      <c r="N6" s="1131"/>
      <c r="O6" s="1131"/>
      <c r="P6" s="3199"/>
      <c r="Q6" s="3200"/>
      <c r="R6" s="3203"/>
      <c r="S6" s="3204"/>
      <c r="T6" s="3205"/>
      <c r="U6" s="3206"/>
      <c r="V6" s="3188"/>
      <c r="W6" s="3188"/>
      <c r="X6" s="1813"/>
      <c r="Y6" s="3205"/>
      <c r="Z6" s="3206"/>
      <c r="AA6" s="3191"/>
      <c r="AB6" s="3191"/>
      <c r="AC6" s="3191"/>
    </row>
    <row r="7" spans="1:30" s="117" customFormat="1" ht="15.75" thickBot="1">
      <c r="A7" s="408" t="s">
        <v>2546</v>
      </c>
      <c r="B7" s="409"/>
      <c r="C7" s="410">
        <f>'数据-取费表'!B2</f>
        <v>43622</v>
      </c>
      <c r="D7" s="411">
        <v>100</v>
      </c>
      <c r="E7" s="412" t="str">
        <f>Sheet3!$G$2</f>
        <v>2018-07-06</v>
      </c>
      <c r="F7" s="413">
        <f>SUMIF(70:70,YEAR(E7)&amp;"-"&amp;INT((MONTH(E7)+2)/3),71:71)</f>
        <v>98.5</v>
      </c>
      <c r="G7" s="2696" t="str">
        <f>Sheet3!$G$4</f>
        <v>2017-05-18</v>
      </c>
      <c r="H7" s="411">
        <f>SUMIF(70:70,YEAR(G7)&amp;"-"&amp;INT((MONTH(G7)+2)/3),71:71)</f>
        <v>96</v>
      </c>
      <c r="I7" s="2696" t="str">
        <f>Sheet3!$G$5</f>
        <v>2015-10-21</v>
      </c>
      <c r="J7" s="411">
        <f>SUMIF(70:70,YEAR(I7)&amp;"-"&amp;INT((MONTH(I7)+2)/3),71:71)</f>
        <v>93</v>
      </c>
      <c r="K7" s="611"/>
      <c r="L7" s="1132"/>
      <c r="M7" s="1133"/>
      <c r="N7" s="1133"/>
      <c r="O7" s="1133"/>
      <c r="P7" s="3211" t="s">
        <v>2547</v>
      </c>
      <c r="Q7" s="3213"/>
      <c r="R7" s="770" t="s">
        <v>17</v>
      </c>
      <c r="S7" s="771">
        <f t="shared" ref="S7:S15" si="0">F7</f>
        <v>98.5</v>
      </c>
      <c r="T7" s="770" t="s">
        <v>17</v>
      </c>
      <c r="U7" s="771">
        <f t="shared" ref="U7:U15" si="1">H7</f>
        <v>96</v>
      </c>
      <c r="V7" s="770" t="s">
        <v>17</v>
      </c>
      <c r="W7" s="771">
        <f t="shared" ref="W7:W15" si="2">J7</f>
        <v>93</v>
      </c>
      <c r="X7" s="772"/>
      <c r="Y7" s="3211" t="s">
        <v>2547</v>
      </c>
      <c r="Z7" s="3212"/>
      <c r="AA7" s="773">
        <f>D7/F7</f>
        <v>1.015228426395939</v>
      </c>
      <c r="AB7" s="773">
        <f>D7/H7</f>
        <v>1.0416666666666667</v>
      </c>
      <c r="AC7" s="773">
        <f>D7/J7</f>
        <v>1.075268817204301</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2"/>
      <c r="M8" s="1133"/>
      <c r="N8" s="1133"/>
      <c r="O8" s="1133"/>
      <c r="P8" s="3211" t="s">
        <v>2550</v>
      </c>
      <c r="Q8" s="3212"/>
      <c r="R8" s="770" t="s">
        <v>17</v>
      </c>
      <c r="S8" s="771">
        <f t="shared" si="0"/>
        <v>100</v>
      </c>
      <c r="T8" s="770" t="s">
        <v>17</v>
      </c>
      <c r="U8" s="771">
        <f t="shared" si="1"/>
        <v>100</v>
      </c>
      <c r="V8" s="770" t="s">
        <v>17</v>
      </c>
      <c r="W8" s="771">
        <f t="shared" si="2"/>
        <v>100</v>
      </c>
      <c r="X8" s="772"/>
      <c r="Y8" s="3211" t="s">
        <v>2550</v>
      </c>
      <c r="Z8" s="3212"/>
      <c r="AA8" s="773">
        <f t="shared" ref="AA8:AA45" si="3">D8/F8</f>
        <v>1</v>
      </c>
      <c r="AB8" s="773">
        <f t="shared" ref="AB8:AB45" si="4">D8/H8</f>
        <v>1</v>
      </c>
      <c r="AC8" s="773">
        <f t="shared" ref="AC8:AC45" si="5">D8/J8</f>
        <v>1</v>
      </c>
    </row>
    <row r="9" spans="1:30" s="117" customFormat="1" ht="42.75">
      <c r="A9" s="415" t="s">
        <v>2551</v>
      </c>
      <c r="B9" s="71" t="s">
        <v>2552</v>
      </c>
      <c r="C9" s="2699" t="s">
        <v>3197</v>
      </c>
      <c r="D9" s="135">
        <v>100</v>
      </c>
      <c r="E9" s="2699" t="s">
        <v>3198</v>
      </c>
      <c r="F9" s="135">
        <f>SUMIF(75:75,E9,76:76)-SUMIF(75:75,C9,76:76)+100</f>
        <v>100</v>
      </c>
      <c r="G9" s="2699" t="s">
        <v>3198</v>
      </c>
      <c r="H9" s="135">
        <f>SUMIF(75:75,G9,76:76)-SUMIF(75:75,C9,76:76)+100</f>
        <v>100</v>
      </c>
      <c r="I9" s="2699" t="s">
        <v>3198</v>
      </c>
      <c r="J9" s="135">
        <f>SUMIF(75:75,I9,76:76)-SUMIF(75:75,C9,76:76)+100</f>
        <v>100</v>
      </c>
      <c r="K9" s="611"/>
      <c r="L9" s="1132"/>
      <c r="M9" s="1133"/>
      <c r="N9" s="1133"/>
      <c r="O9" s="1134"/>
      <c r="P9" s="3182" t="s">
        <v>2553</v>
      </c>
      <c r="Q9" s="1795"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30" s="427" customFormat="1" ht="27">
      <c r="A10" s="421"/>
      <c r="B10" s="422" t="s">
        <v>2555</v>
      </c>
      <c r="C10" s="432" t="s">
        <v>3207</v>
      </c>
      <c r="D10" s="136">
        <v>100</v>
      </c>
      <c r="E10" s="465" t="s">
        <v>3206</v>
      </c>
      <c r="F10" s="136">
        <f>ROUND(100/'数据-取费表'!G16,0)</f>
        <v>113</v>
      </c>
      <c r="G10" s="463" t="s">
        <v>3206</v>
      </c>
      <c r="H10" s="136">
        <f>ROUND(100/'数据-取费表'!G16,0)</f>
        <v>113</v>
      </c>
      <c r="I10" s="463" t="s">
        <v>3206</v>
      </c>
      <c r="J10" s="136">
        <f>ROUND(100/'数据-取费表'!G16,0)</f>
        <v>113</v>
      </c>
      <c r="K10" s="672"/>
      <c r="L10" s="1135"/>
      <c r="M10" s="1136"/>
      <c r="N10" s="1136"/>
      <c r="O10" s="1137"/>
      <c r="P10" s="3182"/>
      <c r="Q10" s="1795" t="str">
        <f t="shared" si="6"/>
        <v>土地使用年限（年）</v>
      </c>
      <c r="R10" s="770" t="s">
        <v>17</v>
      </c>
      <c r="S10" s="771">
        <f t="shared" si="0"/>
        <v>113</v>
      </c>
      <c r="T10" s="770" t="s">
        <v>17</v>
      </c>
      <c r="U10" s="771">
        <f t="shared" si="1"/>
        <v>113</v>
      </c>
      <c r="V10" s="770" t="s">
        <v>17</v>
      </c>
      <c r="W10" s="771">
        <f t="shared" si="2"/>
        <v>113</v>
      </c>
      <c r="X10" s="772"/>
      <c r="Y10" s="3030"/>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f>'数据-汇总表'!I4</f>
        <v>5.23</v>
      </c>
      <c r="D11" s="136">
        <v>100</v>
      </c>
      <c r="E11" s="429">
        <f>Sheet3!E2</f>
        <v>3.04</v>
      </c>
      <c r="F11" s="136">
        <f>LOOKUP(E11,80:80,81:81)-LOOKUP(C11,80:80,81:81)+100</f>
        <v>104</v>
      </c>
      <c r="G11" s="430">
        <f>Sheet3!E4</f>
        <v>5.8</v>
      </c>
      <c r="H11" s="136">
        <f>LOOKUP(G11,80:80,81:81)-LOOKUP(C11,80:80,81:81)+100</f>
        <v>100</v>
      </c>
      <c r="I11" s="429">
        <f>Sheet3!E5</f>
        <v>4</v>
      </c>
      <c r="J11" s="136">
        <f>LOOKUP(I11,80:80,81:81)-LOOKUP(C11,80:80,81:81)+100</f>
        <v>102</v>
      </c>
      <c r="K11" s="673">
        <v>2</v>
      </c>
      <c r="L11" s="1138"/>
      <c r="M11" s="1131"/>
      <c r="N11" s="1131"/>
      <c r="O11" s="1139"/>
      <c r="P11" s="3182"/>
      <c r="Q11" s="1795" t="str">
        <f t="shared" si="6"/>
        <v>容积率</v>
      </c>
      <c r="R11" s="770" t="s">
        <v>17</v>
      </c>
      <c r="S11" s="771">
        <f t="shared" si="0"/>
        <v>104</v>
      </c>
      <c r="T11" s="770" t="s">
        <v>17</v>
      </c>
      <c r="U11" s="771">
        <f t="shared" si="1"/>
        <v>100</v>
      </c>
      <c r="V11" s="770" t="s">
        <v>17</v>
      </c>
      <c r="W11" s="771">
        <f t="shared" si="2"/>
        <v>102</v>
      </c>
      <c r="X11" s="772"/>
      <c r="Y11" s="3030"/>
      <c r="Z11" s="55" t="str">
        <f t="shared" si="7"/>
        <v>容积率</v>
      </c>
      <c r="AA11" s="773">
        <f t="shared" si="3"/>
        <v>0.96153846153846156</v>
      </c>
      <c r="AB11" s="773">
        <f t="shared" si="4"/>
        <v>1</v>
      </c>
      <c r="AC11" s="773">
        <f t="shared" si="5"/>
        <v>0.98039215686274506</v>
      </c>
    </row>
    <row r="12" spans="1:30" s="117" customFormat="1" ht="15">
      <c r="A12" s="431"/>
      <c r="B12" s="2981" t="s">
        <v>3208</v>
      </c>
      <c r="C12" s="2982" t="s">
        <v>3209</v>
      </c>
      <c r="D12" s="433">
        <v>100</v>
      </c>
      <c r="E12" s="2983" t="s">
        <v>3210</v>
      </c>
      <c r="F12" s="136">
        <f>SUMIF(82:82,E12,83:83)-SUMIF(82:82,C12,83:83)+100</f>
        <v>90</v>
      </c>
      <c r="G12" s="463" t="s">
        <v>3211</v>
      </c>
      <c r="H12" s="136">
        <f>SUMIF(82:82,G12,83:83)-SUMIF(82:82,C12,83:83)+100</f>
        <v>90</v>
      </c>
      <c r="I12" s="2983" t="s">
        <v>3209</v>
      </c>
      <c r="J12" s="136">
        <f>SUMIF(82:82,I12,83:83)-SUMIF(82:82,C12,83:83)+100</f>
        <v>100</v>
      </c>
      <c r="K12" s="672"/>
      <c r="L12" s="1132"/>
      <c r="M12" s="1133"/>
      <c r="N12" s="1133"/>
      <c r="O12" s="1134"/>
      <c r="P12" s="3182"/>
      <c r="Q12" s="1795" t="str">
        <f t="shared" si="6"/>
        <v>自持</v>
      </c>
      <c r="R12" s="770" t="s">
        <v>17</v>
      </c>
      <c r="S12" s="771">
        <f t="shared" si="0"/>
        <v>90</v>
      </c>
      <c r="T12" s="770" t="s">
        <v>17</v>
      </c>
      <c r="U12" s="771">
        <f t="shared" si="1"/>
        <v>90</v>
      </c>
      <c r="V12" s="770" t="s">
        <v>17</v>
      </c>
      <c r="W12" s="771">
        <f t="shared" si="2"/>
        <v>100</v>
      </c>
      <c r="X12" s="772"/>
      <c r="Y12" s="3030"/>
      <c r="Z12" s="55" t="str">
        <f t="shared" si="7"/>
        <v>自持</v>
      </c>
      <c r="AA12" s="773">
        <f>D12/F12</f>
        <v>1.1111111111111112</v>
      </c>
      <c r="AB12" s="773">
        <f>D12/H12</f>
        <v>1.1111111111111112</v>
      </c>
      <c r="AC12" s="773">
        <f>D12/J12</f>
        <v>1</v>
      </c>
    </row>
    <row r="13" spans="1:30" ht="15" hidden="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hidden="1">
      <c r="A15" s="440" t="s">
        <v>2557</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2558</v>
      </c>
      <c r="Q15" s="1810" t="str">
        <f t="shared" si="6"/>
        <v>居住社区成熟度</v>
      </c>
      <c r="R15" s="774" t="s">
        <v>17</v>
      </c>
      <c r="S15" s="775">
        <f t="shared" si="0"/>
        <v>100</v>
      </c>
      <c r="T15" s="774" t="s">
        <v>17</v>
      </c>
      <c r="U15" s="775">
        <f t="shared" si="1"/>
        <v>100</v>
      </c>
      <c r="V15" s="774" t="s">
        <v>17</v>
      </c>
      <c r="W15" s="775">
        <f t="shared" si="2"/>
        <v>100</v>
      </c>
      <c r="X15" s="1813"/>
      <c r="Y15" s="3184" t="s">
        <v>2558</v>
      </c>
      <c r="Z15" s="1814" t="str">
        <f t="shared" si="7"/>
        <v>居住社区成熟度</v>
      </c>
      <c r="AA15" s="1811">
        <f t="shared" si="3"/>
        <v>1</v>
      </c>
      <c r="AB15" s="1811">
        <f t="shared" si="4"/>
        <v>1</v>
      </c>
      <c r="AC15" s="1811">
        <f t="shared" si="5"/>
        <v>1</v>
      </c>
    </row>
    <row r="16" spans="1:30" ht="15" hidden="1">
      <c r="A16" s="428"/>
      <c r="B16" s="446"/>
      <c r="C16" s="447"/>
      <c r="D16" s="448"/>
      <c r="E16" s="2605"/>
      <c r="F16" s="448"/>
      <c r="G16" s="2605"/>
      <c r="H16" s="450"/>
      <c r="I16" s="2604"/>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85"/>
      <c r="Q17" s="1810" t="str">
        <f>B17</f>
        <v>商业繁华度</v>
      </c>
      <c r="R17" s="774" t="s">
        <v>17</v>
      </c>
      <c r="S17" s="775">
        <f>F17</f>
        <v>100</v>
      </c>
      <c r="T17" s="774" t="s">
        <v>17</v>
      </c>
      <c r="U17" s="775">
        <f>H17</f>
        <v>100</v>
      </c>
      <c r="V17" s="774" t="s">
        <v>17</v>
      </c>
      <c r="W17" s="775">
        <f>J17</f>
        <v>100</v>
      </c>
      <c r="X17" s="1813"/>
      <c r="Y17" s="3185"/>
      <c r="Z17" s="1814" t="str">
        <f>Q17</f>
        <v>商业繁华度</v>
      </c>
      <c r="AA17" s="1811">
        <f t="shared" si="3"/>
        <v>1</v>
      </c>
      <c r="AB17" s="1811">
        <f t="shared" si="4"/>
        <v>1</v>
      </c>
      <c r="AC17" s="1811">
        <f t="shared" si="5"/>
        <v>1</v>
      </c>
    </row>
    <row r="18" spans="1:29" ht="15">
      <c r="A18" s="428"/>
      <c r="B18" s="456"/>
      <c r="C18" s="2608" t="s">
        <v>3087</v>
      </c>
      <c r="D18" s="450"/>
      <c r="E18" s="2608" t="s">
        <v>3087</v>
      </c>
      <c r="F18" s="450"/>
      <c r="G18" s="2608" t="s">
        <v>3087</v>
      </c>
      <c r="H18" s="448"/>
      <c r="I18" s="2608" t="s">
        <v>3087</v>
      </c>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85"/>
      <c r="Q19" s="1810" t="str">
        <f>B19</f>
        <v>办公集聚程度</v>
      </c>
      <c r="R19" s="774" t="s">
        <v>17</v>
      </c>
      <c r="S19" s="775">
        <f>F19</f>
        <v>100</v>
      </c>
      <c r="T19" s="774" t="s">
        <v>17</v>
      </c>
      <c r="U19" s="775">
        <f>H19</f>
        <v>100</v>
      </c>
      <c r="V19" s="774" t="s">
        <v>17</v>
      </c>
      <c r="W19" s="775">
        <f>J19</f>
        <v>100</v>
      </c>
      <c r="X19" s="1813"/>
      <c r="Y19" s="3185"/>
      <c r="Z19" s="1814" t="str">
        <f>Q19</f>
        <v>办公集聚程度</v>
      </c>
      <c r="AA19" s="1811">
        <f t="shared" si="3"/>
        <v>1</v>
      </c>
      <c r="AB19" s="1811">
        <f t="shared" si="4"/>
        <v>1</v>
      </c>
      <c r="AC19" s="1811">
        <f t="shared" si="5"/>
        <v>1</v>
      </c>
    </row>
    <row r="20" spans="1:29" ht="15">
      <c r="A20" s="428"/>
      <c r="B20" s="456"/>
      <c r="C20" s="447" t="s">
        <v>3087</v>
      </c>
      <c r="D20" s="448"/>
      <c r="E20" s="447" t="s">
        <v>3087</v>
      </c>
      <c r="F20" s="448"/>
      <c r="G20" s="447" t="s">
        <v>3087</v>
      </c>
      <c r="H20" s="448"/>
      <c r="I20" s="447" t="s">
        <v>3087</v>
      </c>
      <c r="J20" s="448"/>
      <c r="K20" s="672"/>
      <c r="L20" s="1140"/>
      <c r="M20" s="1131"/>
      <c r="N20" s="1131"/>
      <c r="O20" s="1139"/>
      <c r="P20" s="3185"/>
      <c r="Q20" s="1810"/>
      <c r="R20" s="774"/>
      <c r="S20" s="775"/>
      <c r="T20" s="774"/>
      <c r="U20" s="775"/>
      <c r="V20" s="774"/>
      <c r="W20" s="775"/>
      <c r="X20" s="1813"/>
      <c r="Y20" s="3185"/>
      <c r="Z20" s="1814"/>
      <c r="AA20" s="1811">
        <v>1</v>
      </c>
      <c r="AB20" s="1811">
        <v>1</v>
      </c>
      <c r="AC20" s="1811">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85"/>
      <c r="Q21" s="1810" t="str">
        <f>B21</f>
        <v>交通便捷度</v>
      </c>
      <c r="R21" s="774" t="s">
        <v>17</v>
      </c>
      <c r="S21" s="775">
        <f>F21</f>
        <v>100</v>
      </c>
      <c r="T21" s="774" t="s">
        <v>17</v>
      </c>
      <c r="U21" s="775">
        <f>H21</f>
        <v>100</v>
      </c>
      <c r="V21" s="774" t="s">
        <v>17</v>
      </c>
      <c r="W21" s="775">
        <f>J21</f>
        <v>100</v>
      </c>
      <c r="X21" s="1813"/>
      <c r="Y21" s="3185"/>
      <c r="Z21" s="1814" t="str">
        <f>Q21</f>
        <v>交通便捷度</v>
      </c>
      <c r="AA21" s="1811">
        <f t="shared" si="3"/>
        <v>1</v>
      </c>
      <c r="AB21" s="1811">
        <f t="shared" si="4"/>
        <v>1</v>
      </c>
      <c r="AC21" s="1811">
        <f t="shared" si="5"/>
        <v>1</v>
      </c>
    </row>
    <row r="22" spans="1:29" ht="15">
      <c r="A22" s="428"/>
      <c r="B22" s="1384"/>
      <c r="C22" s="447" t="s">
        <v>3087</v>
      </c>
      <c r="D22" s="450"/>
      <c r="E22" s="447" t="s">
        <v>3087</v>
      </c>
      <c r="F22" s="448"/>
      <c r="G22" s="447" t="s">
        <v>3087</v>
      </c>
      <c r="H22" s="448"/>
      <c r="I22" s="447" t="s">
        <v>3087</v>
      </c>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5"/>
      <c r="Q23" s="1810" t="str">
        <f t="shared" ref="Q23:Q37" si="8">B23</f>
        <v>区域土地利用方向</v>
      </c>
      <c r="R23" s="774" t="s">
        <v>17</v>
      </c>
      <c r="S23" s="775">
        <f>F23</f>
        <v>100</v>
      </c>
      <c r="T23" s="774" t="s">
        <v>17</v>
      </c>
      <c r="U23" s="775">
        <f>H23</f>
        <v>100</v>
      </c>
      <c r="V23" s="774" t="s">
        <v>17</v>
      </c>
      <c r="W23" s="775">
        <f>J23</f>
        <v>100</v>
      </c>
      <c r="X23" s="1813"/>
      <c r="Y23" s="3185"/>
      <c r="Z23" s="1814" t="str">
        <f>Q23</f>
        <v>区域土地利用方向</v>
      </c>
      <c r="AA23" s="1811">
        <f t="shared" si="3"/>
        <v>1</v>
      </c>
      <c r="AB23" s="1811">
        <f t="shared" si="4"/>
        <v>1</v>
      </c>
      <c r="AC23" s="1811">
        <f t="shared" si="5"/>
        <v>1</v>
      </c>
    </row>
    <row r="24" spans="1:29" ht="15">
      <c r="A24" s="404"/>
      <c r="B24" s="456"/>
      <c r="C24" s="616" t="s">
        <v>3087</v>
      </c>
      <c r="D24" s="448"/>
      <c r="E24" s="616" t="s">
        <v>3087</v>
      </c>
      <c r="F24" s="448"/>
      <c r="G24" s="616" t="s">
        <v>3087</v>
      </c>
      <c r="H24" s="448"/>
      <c r="I24" s="616" t="s">
        <v>3087</v>
      </c>
      <c r="J24" s="448"/>
      <c r="K24" s="812"/>
      <c r="L24" s="1140"/>
      <c r="M24" s="1131"/>
      <c r="N24" s="1131"/>
      <c r="O24" s="1139"/>
      <c r="P24" s="3185"/>
      <c r="Q24" s="1810"/>
      <c r="R24" s="774"/>
      <c r="S24" s="775"/>
      <c r="T24" s="774"/>
      <c r="U24" s="775"/>
      <c r="V24" s="774"/>
      <c r="W24" s="775"/>
      <c r="X24" s="1813"/>
      <c r="Y24" s="3185"/>
      <c r="Z24" s="1814"/>
      <c r="AA24" s="1811"/>
      <c r="AB24" s="1811"/>
      <c r="AC24" s="1811"/>
    </row>
    <row r="25" spans="1:29" ht="57">
      <c r="A25" s="404"/>
      <c r="B25" s="1384"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85"/>
      <c r="Q25" s="1810" t="str">
        <f t="shared" si="8"/>
        <v>自然及人文环境状况</v>
      </c>
      <c r="R25" s="774" t="s">
        <v>17</v>
      </c>
      <c r="S25" s="775">
        <f>F25</f>
        <v>100</v>
      </c>
      <c r="T25" s="774" t="s">
        <v>17</v>
      </c>
      <c r="U25" s="775">
        <f>H25</f>
        <v>100</v>
      </c>
      <c r="V25" s="774" t="s">
        <v>17</v>
      </c>
      <c r="W25" s="775">
        <f>J25</f>
        <v>100</v>
      </c>
      <c r="X25" s="1813"/>
      <c r="Y25" s="3185"/>
      <c r="Z25" s="1814" t="str">
        <f>Q25</f>
        <v>自然及人文环境状况</v>
      </c>
      <c r="AA25" s="1811">
        <f t="shared" si="3"/>
        <v>1</v>
      </c>
      <c r="AB25" s="1811">
        <f t="shared" si="4"/>
        <v>1</v>
      </c>
      <c r="AC25" s="1811">
        <f t="shared" si="5"/>
        <v>1</v>
      </c>
    </row>
    <row r="26" spans="1:29" ht="15">
      <c r="A26" s="404"/>
      <c r="B26" s="456"/>
      <c r="C26" s="447" t="s">
        <v>3089</v>
      </c>
      <c r="D26" s="448"/>
      <c r="E26" s="447" t="s">
        <v>3089</v>
      </c>
      <c r="F26" s="448"/>
      <c r="G26" s="447" t="s">
        <v>3089</v>
      </c>
      <c r="H26" s="448"/>
      <c r="I26" s="447" t="s">
        <v>3089</v>
      </c>
      <c r="J26" s="448"/>
      <c r="K26" s="672"/>
      <c r="L26" s="1140"/>
      <c r="M26" s="1131"/>
      <c r="N26" s="1131"/>
      <c r="O26" s="1139"/>
      <c r="P26" s="3185"/>
      <c r="Q26" s="1810"/>
      <c r="R26" s="774"/>
      <c r="S26" s="775"/>
      <c r="T26" s="774"/>
      <c r="U26" s="775"/>
      <c r="V26" s="774"/>
      <c r="W26" s="775"/>
      <c r="X26" s="1813"/>
      <c r="Y26" s="3185"/>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85"/>
      <c r="Q27" s="1795" t="str">
        <f t="shared" si="8"/>
        <v>公共配套设施</v>
      </c>
      <c r="R27" s="770" t="s">
        <v>17</v>
      </c>
      <c r="S27" s="771">
        <f>F27</f>
        <v>100</v>
      </c>
      <c r="T27" s="770" t="s">
        <v>17</v>
      </c>
      <c r="U27" s="771">
        <f>H27</f>
        <v>100</v>
      </c>
      <c r="V27" s="770" t="s">
        <v>17</v>
      </c>
      <c r="W27" s="771">
        <f>J27</f>
        <v>100</v>
      </c>
      <c r="X27" s="772"/>
      <c r="Y27" s="3185"/>
      <c r="Z27" s="55" t="str">
        <f>Q27</f>
        <v>公共配套设施</v>
      </c>
      <c r="AA27" s="1811">
        <f>D27/F27</f>
        <v>1</v>
      </c>
      <c r="AB27" s="1811">
        <f>D27/H27</f>
        <v>1</v>
      </c>
      <c r="AC27" s="1811">
        <f>D27/J27</f>
        <v>1</v>
      </c>
    </row>
    <row r="28" spans="1:29" s="117" customFormat="1" ht="15">
      <c r="A28" s="649"/>
      <c r="B28" s="456"/>
      <c r="C28" s="2700" t="s">
        <v>3087</v>
      </c>
      <c r="D28" s="448"/>
      <c r="E28" s="2700" t="s">
        <v>3087</v>
      </c>
      <c r="F28" s="448"/>
      <c r="G28" s="2700" t="s">
        <v>3087</v>
      </c>
      <c r="H28" s="448"/>
      <c r="I28" s="2700" t="s">
        <v>3087</v>
      </c>
      <c r="J28" s="448"/>
      <c r="K28" s="672"/>
      <c r="L28" s="1132"/>
      <c r="M28" s="1133"/>
      <c r="N28" s="1133"/>
      <c r="O28" s="1134"/>
      <c r="P28" s="3185"/>
      <c r="Q28" s="1795"/>
      <c r="R28" s="770"/>
      <c r="S28" s="771"/>
      <c r="T28" s="770"/>
      <c r="U28" s="771"/>
      <c r="V28" s="770"/>
      <c r="W28" s="771"/>
      <c r="X28" s="772"/>
      <c r="Y28" s="3185"/>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85"/>
      <c r="Q29" s="1795"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1">
        <f>D29/F29</f>
        <v>1</v>
      </c>
      <c r="AB29" s="1811">
        <f>D29/H29</f>
        <v>1</v>
      </c>
      <c r="AC29" s="1811">
        <f>D29/J29</f>
        <v>1</v>
      </c>
    </row>
    <row r="30" spans="1:29" s="117" customFormat="1" ht="15">
      <c r="A30" s="649"/>
      <c r="B30" s="456"/>
      <c r="C30" s="2700" t="s">
        <v>3212</v>
      </c>
      <c r="D30" s="448"/>
      <c r="E30" s="2700" t="s">
        <v>3212</v>
      </c>
      <c r="F30" s="448"/>
      <c r="G30" s="2700" t="s">
        <v>3212</v>
      </c>
      <c r="H30" s="448"/>
      <c r="I30" s="2700" t="s">
        <v>3212</v>
      </c>
      <c r="J30" s="448"/>
      <c r="K30" s="672"/>
      <c r="L30" s="1132"/>
      <c r="M30" s="1133"/>
      <c r="N30" s="1133"/>
      <c r="O30" s="1134"/>
      <c r="P30" s="3185"/>
      <c r="Q30" s="1795"/>
      <c r="R30" s="770"/>
      <c r="S30" s="771"/>
      <c r="T30" s="770"/>
      <c r="U30" s="771"/>
      <c r="V30" s="770"/>
      <c r="W30" s="771"/>
      <c r="X30" s="772"/>
      <c r="Y30" s="3185"/>
      <c r="Z30" s="55"/>
      <c r="AA30" s="1811">
        <v>1</v>
      </c>
      <c r="AB30" s="1811">
        <v>1</v>
      </c>
      <c r="AC30" s="1811">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5"/>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99</v>
      </c>
      <c r="G32" s="452"/>
      <c r="H32" s="450">
        <f>SUMIF(106:106,G33,107:107)-SUMIF(106:106,C33,107:107)+100</f>
        <v>99</v>
      </c>
      <c r="I32" s="454"/>
      <c r="J32" s="450">
        <f>SUMIF(106:106,I33,107:107)-SUMIF(106:106,C33,107:107)+100</f>
        <v>97</v>
      </c>
      <c r="K32" s="673">
        <v>1</v>
      </c>
      <c r="L32" s="1140"/>
      <c r="M32" s="1131"/>
      <c r="N32" s="1131"/>
      <c r="O32" s="1139"/>
      <c r="P32" s="3185"/>
      <c r="Q32" s="1810" t="str">
        <f t="shared" si="8"/>
        <v>毗邻道路的类型与等级</v>
      </c>
      <c r="R32" s="774" t="s">
        <v>17</v>
      </c>
      <c r="S32" s="775">
        <f t="shared" si="10"/>
        <v>99</v>
      </c>
      <c r="T32" s="774" t="s">
        <v>17</v>
      </c>
      <c r="U32" s="775">
        <f t="shared" si="11"/>
        <v>99</v>
      </c>
      <c r="V32" s="774" t="s">
        <v>17</v>
      </c>
      <c r="W32" s="775">
        <f t="shared" si="12"/>
        <v>97</v>
      </c>
      <c r="X32" s="1813"/>
      <c r="Y32" s="3185"/>
      <c r="Z32" s="1814" t="str">
        <f t="shared" si="13"/>
        <v>毗邻道路的类型与等级</v>
      </c>
      <c r="AA32" s="1811">
        <f t="shared" si="3"/>
        <v>1.0101010101010102</v>
      </c>
      <c r="AB32" s="1811">
        <f t="shared" si="4"/>
        <v>1.0101010101010102</v>
      </c>
      <c r="AC32" s="1811">
        <f t="shared" si="5"/>
        <v>1.0309278350515463</v>
      </c>
    </row>
    <row r="33" spans="1:29" ht="15.75" thickBot="1">
      <c r="A33" s="428"/>
      <c r="B33" s="456"/>
      <c r="C33" s="447" t="s">
        <v>3214</v>
      </c>
      <c r="D33" s="448"/>
      <c r="E33" s="2611" t="s">
        <v>3216</v>
      </c>
      <c r="F33" s="448"/>
      <c r="G33" s="2611" t="s">
        <v>3216</v>
      </c>
      <c r="H33" s="448"/>
      <c r="I33" s="447" t="s">
        <v>3219</v>
      </c>
      <c r="J33" s="448"/>
      <c r="K33" s="613"/>
      <c r="L33" s="1140"/>
      <c r="M33" s="1131"/>
      <c r="N33" s="1131"/>
      <c r="O33" s="1139"/>
      <c r="P33" s="3185"/>
      <c r="Q33" s="1810"/>
      <c r="R33" s="774"/>
      <c r="S33" s="775"/>
      <c r="T33" s="774"/>
      <c r="U33" s="775"/>
      <c r="V33" s="774"/>
      <c r="W33" s="775"/>
      <c r="X33" s="1813"/>
      <c r="Y33" s="3185"/>
      <c r="Z33" s="1814"/>
      <c r="AA33" s="1811">
        <v>1</v>
      </c>
      <c r="AB33" s="1811">
        <v>1</v>
      </c>
      <c r="AC33" s="1811">
        <v>1</v>
      </c>
    </row>
    <row r="34" spans="1:29" ht="15" hidden="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10" t="str">
        <f t="shared" si="8"/>
        <v>土地级别</v>
      </c>
      <c r="R34" s="774" t="s">
        <v>17</v>
      </c>
      <c r="S34" s="775">
        <f t="shared" si="10"/>
        <v>100</v>
      </c>
      <c r="T34" s="774" t="s">
        <v>17</v>
      </c>
      <c r="U34" s="775">
        <f t="shared" si="11"/>
        <v>100</v>
      </c>
      <c r="V34" s="774" t="s">
        <v>17</v>
      </c>
      <c r="W34" s="775">
        <f t="shared" si="12"/>
        <v>100</v>
      </c>
      <c r="X34" s="1813"/>
      <c r="Y34" s="3185"/>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10">
        <f t="shared" si="8"/>
        <v>111</v>
      </c>
      <c r="R35" s="774" t="s">
        <v>17</v>
      </c>
      <c r="S35" s="775">
        <f t="shared" si="10"/>
        <v>100</v>
      </c>
      <c r="T35" s="774" t="s">
        <v>17</v>
      </c>
      <c r="U35" s="775">
        <f t="shared" si="11"/>
        <v>100</v>
      </c>
      <c r="V35" s="774" t="s">
        <v>17</v>
      </c>
      <c r="W35" s="775">
        <f t="shared" si="12"/>
        <v>100</v>
      </c>
      <c r="X35" s="1813"/>
      <c r="Y35" s="3185"/>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6" t="s">
        <v>2563</v>
      </c>
      <c r="Q36" s="1810">
        <f t="shared" si="8"/>
        <v>111</v>
      </c>
      <c r="R36" s="774" t="s">
        <v>17</v>
      </c>
      <c r="S36" s="775">
        <f t="shared" si="10"/>
        <v>100</v>
      </c>
      <c r="T36" s="774" t="s">
        <v>17</v>
      </c>
      <c r="U36" s="775">
        <f t="shared" si="11"/>
        <v>100</v>
      </c>
      <c r="V36" s="774" t="s">
        <v>17</v>
      </c>
      <c r="W36" s="775">
        <f t="shared" si="12"/>
        <v>100</v>
      </c>
      <c r="X36" s="1813"/>
      <c r="Y36" s="3187" t="s">
        <v>2563</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10">
        <f t="shared" si="8"/>
        <v>111</v>
      </c>
      <c r="R37" s="777" t="s">
        <v>17</v>
      </c>
      <c r="S37" s="778">
        <f t="shared" si="10"/>
        <v>100</v>
      </c>
      <c r="T37" s="777" t="s">
        <v>17</v>
      </c>
      <c r="U37" s="778">
        <f t="shared" si="11"/>
        <v>100</v>
      </c>
      <c r="V37" s="777" t="s">
        <v>17</v>
      </c>
      <c r="W37" s="778">
        <f t="shared" si="12"/>
        <v>100</v>
      </c>
      <c r="X37" s="779"/>
      <c r="Y37" s="3187"/>
      <c r="Z37" s="780">
        <f t="shared" si="13"/>
        <v>111</v>
      </c>
      <c r="AA37" s="1811">
        <f t="shared" si="3"/>
        <v>1</v>
      </c>
      <c r="AB37" s="1811">
        <f t="shared" si="4"/>
        <v>1</v>
      </c>
      <c r="AC37" s="1811">
        <f t="shared" si="5"/>
        <v>1</v>
      </c>
    </row>
    <row r="38" spans="1:29" ht="15">
      <c r="A38" s="472" t="s">
        <v>2561</v>
      </c>
      <c r="B38" s="456" t="s">
        <v>2748</v>
      </c>
      <c r="C38" s="679">
        <f>'数据-基础表'!A3</f>
        <v>48267.47</v>
      </c>
      <c r="D38" s="467">
        <v>100</v>
      </c>
      <c r="E38" s="679">
        <f>Sheet3!C2</f>
        <v>39410.74</v>
      </c>
      <c r="F38" s="467">
        <f>LOOKUP(E38,117:117,118:118)-LOOKUP(C38,117:117,118:118)+100</f>
        <v>99</v>
      </c>
      <c r="G38" s="679">
        <f>Sheet3!C4</f>
        <v>27295.08</v>
      </c>
      <c r="H38" s="467">
        <f>LOOKUP(G38,117:117,118:118)-LOOKUP(C38,117:117,118:118)+100</f>
        <v>99</v>
      </c>
      <c r="I38" s="530">
        <f>Sheet3!C5</f>
        <v>14788.3</v>
      </c>
      <c r="J38" s="467">
        <f>LOOKUP(I38,117:117,118:118)-LOOKUP(C38,117:117,118:118)+100</f>
        <v>98</v>
      </c>
      <c r="K38" s="613"/>
      <c r="L38" s="1140"/>
      <c r="M38" s="1131"/>
      <c r="N38" s="1131"/>
      <c r="O38" s="1139"/>
      <c r="P38" s="3187"/>
      <c r="Q38" s="1810" t="str">
        <f>B38</f>
        <v>宗地面积</v>
      </c>
      <c r="R38" s="774" t="s">
        <v>17</v>
      </c>
      <c r="S38" s="775">
        <f t="shared" si="10"/>
        <v>99</v>
      </c>
      <c r="T38" s="774" t="s">
        <v>17</v>
      </c>
      <c r="U38" s="775">
        <f t="shared" si="11"/>
        <v>99</v>
      </c>
      <c r="V38" s="774" t="s">
        <v>17</v>
      </c>
      <c r="W38" s="775">
        <f t="shared" si="12"/>
        <v>98</v>
      </c>
      <c r="X38" s="1813"/>
      <c r="Y38" s="3187"/>
      <c r="Z38" s="1814" t="str">
        <f t="shared" si="13"/>
        <v>宗地面积</v>
      </c>
      <c r="AA38" s="1811">
        <f t="shared" si="3"/>
        <v>1.0101010101010102</v>
      </c>
      <c r="AB38" s="1811">
        <f t="shared" si="4"/>
        <v>1.0101010101010102</v>
      </c>
      <c r="AC38" s="1811">
        <f t="shared" si="5"/>
        <v>1.0204081632653061</v>
      </c>
    </row>
    <row r="39" spans="1:29" ht="15">
      <c r="A39" s="472"/>
      <c r="B39" s="422" t="s">
        <v>2749</v>
      </c>
      <c r="C39" s="2613" t="s">
        <v>3222</v>
      </c>
      <c r="D39" s="435">
        <v>100</v>
      </c>
      <c r="E39" s="2613" t="s">
        <v>3222</v>
      </c>
      <c r="F39" s="435">
        <f>SUMIF(119:119,E39,120:120)-SUMIF(119:119,C39,120:120)+100</f>
        <v>100</v>
      </c>
      <c r="G39" s="2613" t="s">
        <v>3222</v>
      </c>
      <c r="H39" s="435">
        <f>SUMIF(119:119,G39,120:120)-SUMIF(119:119,C39,120:120)+100</f>
        <v>100</v>
      </c>
      <c r="I39" s="2613" t="s">
        <v>3222</v>
      </c>
      <c r="J39" s="435">
        <f>SUMIF(119:119,I39,120:120)-SUMIF(119:119,C39,120:120)+100</f>
        <v>100</v>
      </c>
      <c r="K39" s="612">
        <v>2</v>
      </c>
      <c r="L39" s="1140"/>
      <c r="M39" s="1131"/>
      <c r="N39" s="1131"/>
      <c r="O39" s="1139"/>
      <c r="P39" s="3187"/>
      <c r="Q39" s="1810" t="str">
        <f t="shared" ref="Q39:Q45" si="14">B39</f>
        <v>宗地形状</v>
      </c>
      <c r="R39" s="774" t="s">
        <v>17</v>
      </c>
      <c r="S39" s="775">
        <f t="shared" si="10"/>
        <v>100</v>
      </c>
      <c r="T39" s="774" t="s">
        <v>17</v>
      </c>
      <c r="U39" s="775">
        <f t="shared" si="11"/>
        <v>100</v>
      </c>
      <c r="V39" s="774" t="s">
        <v>17</v>
      </c>
      <c r="W39" s="775">
        <f t="shared" si="12"/>
        <v>100</v>
      </c>
      <c r="X39" s="1813"/>
      <c r="Y39" s="3187"/>
      <c r="Z39" s="1814" t="str">
        <f t="shared" si="13"/>
        <v>宗地形状</v>
      </c>
      <c r="AA39" s="1811">
        <f t="shared" si="3"/>
        <v>1</v>
      </c>
      <c r="AB39" s="1811">
        <f t="shared" si="4"/>
        <v>1</v>
      </c>
      <c r="AC39" s="1811">
        <f t="shared" si="5"/>
        <v>1</v>
      </c>
    </row>
    <row r="40" spans="1:29" ht="15">
      <c r="A40" s="472"/>
      <c r="B40" s="422" t="s">
        <v>2750</v>
      </c>
      <c r="C40" s="2613" t="s">
        <v>3227</v>
      </c>
      <c r="D40" s="435">
        <v>100</v>
      </c>
      <c r="E40" s="2613" t="s">
        <v>3227</v>
      </c>
      <c r="F40" s="435">
        <f>SUMIF(121:121,E40,122:122)-SUMIF(121:121,C40,122:122)+100</f>
        <v>100</v>
      </c>
      <c r="G40" s="2613" t="s">
        <v>3227</v>
      </c>
      <c r="H40" s="435">
        <f>SUMIF(121:121,G40,122:122)-SUMIF(121:121,C40,122:122)+100</f>
        <v>100</v>
      </c>
      <c r="I40" s="2613" t="s">
        <v>3227</v>
      </c>
      <c r="J40" s="435">
        <f>SUMIF(121:121,I40,122:122)-SUMIF(121:121,C40,122:122)+100</f>
        <v>100</v>
      </c>
      <c r="K40" s="612">
        <v>2</v>
      </c>
      <c r="L40" s="1140"/>
      <c r="M40" s="1131"/>
      <c r="N40" s="1131"/>
      <c r="O40" s="1139"/>
      <c r="P40" s="3187"/>
      <c r="Q40" s="1810" t="str">
        <f t="shared" si="14"/>
        <v>临街宽度及深度</v>
      </c>
      <c r="R40" s="774" t="s">
        <v>17</v>
      </c>
      <c r="S40" s="775">
        <f t="shared" si="10"/>
        <v>100</v>
      </c>
      <c r="T40" s="774" t="s">
        <v>17</v>
      </c>
      <c r="U40" s="775">
        <f t="shared" si="11"/>
        <v>100</v>
      </c>
      <c r="V40" s="774" t="s">
        <v>17</v>
      </c>
      <c r="W40" s="775">
        <f t="shared" si="12"/>
        <v>100</v>
      </c>
      <c r="X40" s="1813"/>
      <c r="Y40" s="3187"/>
      <c r="Z40" s="1814" t="str">
        <f t="shared" si="13"/>
        <v>临街宽度及深度</v>
      </c>
      <c r="AA40" s="1811">
        <f t="shared" si="3"/>
        <v>1</v>
      </c>
      <c r="AB40" s="1811">
        <f t="shared" si="4"/>
        <v>1</v>
      </c>
      <c r="AC40" s="1811">
        <f t="shared" si="5"/>
        <v>1</v>
      </c>
    </row>
    <row r="41" spans="1:29" s="117" customFormat="1" ht="15">
      <c r="A41" s="473"/>
      <c r="B41" s="422" t="s">
        <v>2751</v>
      </c>
      <c r="C41" s="2702" t="s">
        <v>3232</v>
      </c>
      <c r="D41" s="136">
        <v>100</v>
      </c>
      <c r="E41" s="2702" t="s">
        <v>3234</v>
      </c>
      <c r="F41" s="435">
        <f>SUMIF(123:123,E41,124:124)-SUMIF(123:123,C41,124:124)+100</f>
        <v>99</v>
      </c>
      <c r="G41" s="2702" t="s">
        <v>3234</v>
      </c>
      <c r="H41" s="435">
        <f>SUMIF(123:123,G41,124:124)-SUMIF(123:123,C41,124:124)+100</f>
        <v>99</v>
      </c>
      <c r="I41" s="2702" t="s">
        <v>3234</v>
      </c>
      <c r="J41" s="435">
        <f>SUMIF(123:123,I41,124:124)-SUMIF(123:123,C41,124:124)+100</f>
        <v>99</v>
      </c>
      <c r="K41" s="612">
        <v>1</v>
      </c>
      <c r="L41" s="1132"/>
      <c r="M41" s="1133"/>
      <c r="N41" s="1133"/>
      <c r="O41" s="1134"/>
      <c r="P41" s="3187"/>
      <c r="Q41" s="1810" t="str">
        <f t="shared" si="14"/>
        <v>宗地开发程度</v>
      </c>
      <c r="R41" s="770" t="s">
        <v>17</v>
      </c>
      <c r="S41" s="771">
        <f t="shared" si="10"/>
        <v>99</v>
      </c>
      <c r="T41" s="770" t="s">
        <v>17</v>
      </c>
      <c r="U41" s="771">
        <f t="shared" si="11"/>
        <v>99</v>
      </c>
      <c r="V41" s="770" t="s">
        <v>17</v>
      </c>
      <c r="W41" s="771">
        <f t="shared" si="12"/>
        <v>99</v>
      </c>
      <c r="X41" s="772"/>
      <c r="Y41" s="3187"/>
      <c r="Z41" s="55" t="str">
        <f t="shared" si="13"/>
        <v>宗地开发程度</v>
      </c>
      <c r="AA41" s="773">
        <f t="shared" si="3"/>
        <v>1.0101010101010102</v>
      </c>
      <c r="AB41" s="773">
        <f t="shared" si="4"/>
        <v>1.0101010101010102</v>
      </c>
      <c r="AC41" s="773">
        <f t="shared" si="5"/>
        <v>1.0101010101010102</v>
      </c>
    </row>
    <row r="42" spans="1:29" ht="15.75" thickBot="1">
      <c r="A42" s="472"/>
      <c r="B42" s="422" t="s">
        <v>2752</v>
      </c>
      <c r="C42" s="2613" t="s">
        <v>3087</v>
      </c>
      <c r="D42" s="435">
        <v>100</v>
      </c>
      <c r="E42" s="2613" t="s">
        <v>3087</v>
      </c>
      <c r="F42" s="435">
        <f>SUMIF(125:125,E42,126:126)-SUMIF(125:125,C42,126:126)+100</f>
        <v>100</v>
      </c>
      <c r="G42" s="2613" t="s">
        <v>3087</v>
      </c>
      <c r="H42" s="435">
        <f>SUMIF(125:125,G42,126:126)-SUMIF(125:125,C42,126:126)+100</f>
        <v>100</v>
      </c>
      <c r="I42" s="2613" t="s">
        <v>3087</v>
      </c>
      <c r="J42" s="435">
        <f>SUMIF(125:125,I42,126:126)-SUMIF(125:125,C42,126:126)+100</f>
        <v>100</v>
      </c>
      <c r="K42" s="612">
        <v>1</v>
      </c>
      <c r="L42" s="1140"/>
      <c r="M42" s="1131"/>
      <c r="N42" s="1131"/>
      <c r="O42" s="1139"/>
      <c r="P42" s="3187" t="s">
        <v>2563</v>
      </c>
      <c r="Q42" s="1810" t="str">
        <f t="shared" si="14"/>
        <v>工程地质条件</v>
      </c>
      <c r="R42" s="774" t="s">
        <v>17</v>
      </c>
      <c r="S42" s="775">
        <f t="shared" si="10"/>
        <v>100</v>
      </c>
      <c r="T42" s="774" t="s">
        <v>17</v>
      </c>
      <c r="U42" s="775">
        <f t="shared" si="11"/>
        <v>100</v>
      </c>
      <c r="V42" s="774" t="s">
        <v>17</v>
      </c>
      <c r="W42" s="775">
        <f t="shared" si="12"/>
        <v>100</v>
      </c>
      <c r="X42" s="1813"/>
      <c r="Y42" s="3187" t="s">
        <v>2563</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10">
        <f t="shared" si="14"/>
        <v>111</v>
      </c>
      <c r="R43" s="774" t="s">
        <v>17</v>
      </c>
      <c r="S43" s="775">
        <f t="shared" si="10"/>
        <v>100</v>
      </c>
      <c r="T43" s="774" t="s">
        <v>17</v>
      </c>
      <c r="U43" s="775">
        <f t="shared" si="11"/>
        <v>100</v>
      </c>
      <c r="V43" s="774" t="s">
        <v>17</v>
      </c>
      <c r="W43" s="775">
        <f t="shared" si="12"/>
        <v>100</v>
      </c>
      <c r="X43" s="1813"/>
      <c r="Y43" s="3187"/>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10">
        <f t="shared" si="14"/>
        <v>111</v>
      </c>
      <c r="R44" s="774" t="s">
        <v>17</v>
      </c>
      <c r="S44" s="775">
        <f t="shared" si="10"/>
        <v>100</v>
      </c>
      <c r="T44" s="774" t="s">
        <v>17</v>
      </c>
      <c r="U44" s="775">
        <f t="shared" si="11"/>
        <v>100</v>
      </c>
      <c r="V44" s="774" t="s">
        <v>17</v>
      </c>
      <c r="W44" s="775">
        <f t="shared" si="12"/>
        <v>100</v>
      </c>
      <c r="X44" s="1813"/>
      <c r="Y44" s="3187"/>
      <c r="Z44" s="1814">
        <f t="shared" si="13"/>
        <v>111</v>
      </c>
      <c r="AA44" s="1811">
        <f t="shared" si="3"/>
        <v>1</v>
      </c>
      <c r="AB44" s="1811">
        <f t="shared" si="4"/>
        <v>1</v>
      </c>
      <c r="AC44" s="1811">
        <f t="shared" si="5"/>
        <v>1</v>
      </c>
    </row>
    <row r="45" spans="1:29" s="471" customFormat="1" ht="15.75" hidden="1"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10">
        <f t="shared" si="14"/>
        <v>111</v>
      </c>
      <c r="R45" s="777" t="s">
        <v>17</v>
      </c>
      <c r="S45" s="778">
        <f t="shared" si="10"/>
        <v>100</v>
      </c>
      <c r="T45" s="777" t="s">
        <v>17</v>
      </c>
      <c r="U45" s="778">
        <f t="shared" si="11"/>
        <v>100</v>
      </c>
      <c r="V45" s="777" t="s">
        <v>17</v>
      </c>
      <c r="W45" s="778">
        <f t="shared" si="12"/>
        <v>100</v>
      </c>
      <c r="X45" s="779"/>
      <c r="Y45" s="3187"/>
      <c r="Z45" s="780">
        <f t="shared" si="13"/>
        <v>111</v>
      </c>
      <c r="AA45" s="1811">
        <f t="shared" si="3"/>
        <v>1</v>
      </c>
      <c r="AB45" s="1811">
        <f t="shared" si="4"/>
        <v>1</v>
      </c>
      <c r="AC45" s="1811">
        <f t="shared" si="5"/>
        <v>1</v>
      </c>
    </row>
    <row r="46" spans="1:29" ht="15">
      <c r="A46" s="479" t="s">
        <v>2718</v>
      </c>
      <c r="B46" s="2704" t="s">
        <v>2753</v>
      </c>
      <c r="C46" s="682" t="s">
        <v>1</v>
      </c>
      <c r="D46" s="481"/>
      <c r="E46" s="482">
        <f>ROUND(Sheet3!J2,0)</f>
        <v>26563</v>
      </c>
      <c r="F46" s="483"/>
      <c r="G46" s="484">
        <f>Sheet3!J4</f>
        <v>27125</v>
      </c>
      <c r="H46" s="485"/>
      <c r="I46" s="482">
        <f>ROUND(Sheet3!J5,0)</f>
        <v>29753</v>
      </c>
      <c r="J46" s="485"/>
      <c r="K46" s="783"/>
      <c r="L46" s="1143"/>
      <c r="M46" s="1144"/>
      <c r="N46" s="1131"/>
      <c r="O46" s="1144"/>
      <c r="P46" s="3182" t="str">
        <f>A46</f>
        <v>成交单价</v>
      </c>
      <c r="Q46" s="3182"/>
      <c r="R46" s="3188">
        <f>E46</f>
        <v>26563</v>
      </c>
      <c r="S46" s="3188"/>
      <c r="T46" s="3188">
        <f>G46</f>
        <v>27125</v>
      </c>
      <c r="U46" s="3188"/>
      <c r="V46" s="3188">
        <f>I46</f>
        <v>29753</v>
      </c>
      <c r="W46" s="3188"/>
      <c r="X46" s="759"/>
      <c r="Y46" s="781"/>
      <c r="Z46" s="759"/>
      <c r="AA46" s="759"/>
      <c r="AB46" s="759"/>
      <c r="AC46" s="759"/>
    </row>
    <row r="47" spans="1:29" ht="15.75" thickBot="1">
      <c r="A47" s="486" t="s">
        <v>2667</v>
      </c>
      <c r="B47" s="683"/>
      <c r="C47" s="490">
        <f>R48</f>
        <v>28135</v>
      </c>
      <c r="D47" s="489"/>
      <c r="E47" s="490">
        <f>R47</f>
        <v>26277</v>
      </c>
      <c r="F47" s="491"/>
      <c r="G47" s="488">
        <f>T47</f>
        <v>28633</v>
      </c>
      <c r="H47" s="489"/>
      <c r="I47" s="490">
        <f>V47</f>
        <v>29494</v>
      </c>
      <c r="J47" s="489"/>
      <c r="K47" s="784"/>
      <c r="L47" s="1143"/>
      <c r="M47" s="1144"/>
      <c r="N47" s="1144"/>
      <c r="O47" s="1144"/>
      <c r="P47" s="3182" t="str">
        <f>A47</f>
        <v>比较价值（元/平方米）</v>
      </c>
      <c r="Q47" s="3182"/>
      <c r="R47" s="3175">
        <f>ROUND(PRODUCT(R46,AA7:AA45),0)</f>
        <v>26277</v>
      </c>
      <c r="S47" s="3175"/>
      <c r="T47" s="3175">
        <f>ROUND(PRODUCT(T46,AB7:AB45),0)</f>
        <v>28633</v>
      </c>
      <c r="U47" s="3175"/>
      <c r="V47" s="3175">
        <f>ROUND(PRODUCT(V46,AC7:AC45),0)</f>
        <v>29494</v>
      </c>
      <c r="W47" s="3175"/>
      <c r="X47" s="759"/>
      <c r="Y47" s="759"/>
      <c r="Z47" s="759"/>
      <c r="AA47" s="759"/>
      <c r="AB47" s="759"/>
      <c r="AC47" s="759"/>
    </row>
    <row r="48" spans="1:29" ht="15.75" thickBot="1">
      <c r="A48" s="492" t="s">
        <v>2754</v>
      </c>
      <c r="B48" s="493"/>
      <c r="C48" s="494">
        <f>R48</f>
        <v>28135</v>
      </c>
      <c r="D48" s="494"/>
      <c r="E48" s="494"/>
      <c r="F48" s="494"/>
      <c r="G48" s="494"/>
      <c r="H48" s="494"/>
      <c r="I48" s="494"/>
      <c r="J48" s="494"/>
      <c r="K48" s="785"/>
      <c r="L48" s="1143"/>
      <c r="M48" s="1144"/>
      <c r="N48" s="1144"/>
      <c r="O48" s="1144"/>
      <c r="P48" s="3176" t="str">
        <f>A48</f>
        <v>估价对象XX用房的比较价值（楼面单价，元/平方米）</v>
      </c>
      <c r="Q48" s="3177"/>
      <c r="R48" s="3178">
        <f>ROUND(AVERAGE(R47:V47),0)</f>
        <v>28135</v>
      </c>
      <c r="S48" s="3178"/>
      <c r="T48" s="3178"/>
      <c r="U48" s="3178"/>
      <c r="V48" s="3178"/>
      <c r="W48" s="31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1.0884043079499195E-2</v>
      </c>
      <c r="F51" s="500" t="str">
        <f>IF(OR(E51&gt;=0.3,E51&lt;=-0.3),"超过30%","")</f>
        <v/>
      </c>
      <c r="G51" s="499">
        <f>IF(G46&lt;G47,G47/G46-1,G46/G47-1)</f>
        <v>5.5594470046082867E-2</v>
      </c>
      <c r="H51" s="500" t="str">
        <f>IF(OR(G51&gt;=0.3,G51&lt;=-0.3),"超过30%","")</f>
        <v/>
      </c>
      <c r="I51" s="499">
        <f>IF(I46&lt;I47,I47/I46-1,I46/I47-1)</f>
        <v>8.7814470739810968E-3</v>
      </c>
      <c r="J51" s="500" t="str">
        <f>IF(OR(I51&gt;=0.3,I51&lt;=-0.3),"超过30%","")</f>
        <v/>
      </c>
      <c r="K51" s="1105"/>
      <c r="L51" s="1106"/>
      <c r="M51" s="1144"/>
      <c r="N51" s="1144"/>
      <c r="O51" s="1144"/>
    </row>
    <row r="52" spans="1:15" ht="13.5" customHeight="1">
      <c r="A52" s="1144"/>
      <c r="B52" s="1144"/>
      <c r="C52" s="497" t="s">
        <v>2670</v>
      </c>
      <c r="D52" s="501"/>
      <c r="E52" s="499">
        <f>IF(E47&lt;G47,G47/E47-1,E47/G47-1)</f>
        <v>8.9660159074475887E-2</v>
      </c>
      <c r="F52" s="500" t="str">
        <f>IF(OR(E52&gt;=0.2,E52&lt;=-0.2),"超过20%","")</f>
        <v/>
      </c>
      <c r="G52" s="499">
        <f>IF(G47&lt;I47,I47/G47-1,G47/I47-1)</f>
        <v>3.0070198721754648E-2</v>
      </c>
      <c r="H52" s="500" t="str">
        <f>IF(OR(G52&gt;=0.2,G52&lt;=-0.2),"超过20%","")</f>
        <v/>
      </c>
      <c r="I52" s="499">
        <f>IF(I47&lt;E47,E47/I47-1,I47/E47-1)</f>
        <v>0.12242645659702411</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2.1157248804728468E-2</v>
      </c>
      <c r="F53" s="500" t="str">
        <f>IF(OR(E53&gt;=0.3,E53&lt;=-0.3),"超过30%","")</f>
        <v/>
      </c>
      <c r="G53" s="499">
        <f>IF(G46&lt;I46,I46/G46-1,G46/I46-1)</f>
        <v>9.6884792626728E-2</v>
      </c>
      <c r="H53" s="500" t="str">
        <f>IF(OR(G53&gt;=0.3,G53&lt;=-0.3),"超过30%","")</f>
        <v/>
      </c>
      <c r="I53" s="499">
        <f>IF(I46&lt;E46,E46/I46-1,I46/E46-1)</f>
        <v>0.12009185709445469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179" t="s">
        <v>2761</v>
      </c>
      <c r="H55" s="3180"/>
      <c r="I55" s="144" t="s">
        <v>2762</v>
      </c>
      <c r="J55" s="2707">
        <f>项目基本情况!F35</f>
        <v>0</v>
      </c>
      <c r="K55" s="2708" t="s">
        <v>2763</v>
      </c>
      <c r="L55" s="1106"/>
      <c r="M55" s="1144"/>
      <c r="N55" s="1144"/>
      <c r="O55" s="1144"/>
    </row>
    <row r="56" spans="1:15" s="692" customFormat="1">
      <c r="A56" s="688" t="s">
        <v>2764</v>
      </c>
      <c r="B56" s="689">
        <f>C48</f>
        <v>28135</v>
      </c>
      <c r="C56" s="690">
        <v>1</v>
      </c>
      <c r="D56" s="1163">
        <v>1</v>
      </c>
      <c r="E56" s="690">
        <f>'数据-汇总表'!E8+'数据-汇总表'!E9</f>
        <v>252487.32</v>
      </c>
      <c r="F56" s="1103">
        <f t="shared" ref="F56:F65" si="15">ROUND(B56*E56/10000,0)</f>
        <v>710373</v>
      </c>
      <c r="G56" s="3181"/>
      <c r="H56" s="3182"/>
      <c r="I56" s="1108">
        <v>1</v>
      </c>
      <c r="J56" s="1111">
        <v>1</v>
      </c>
      <c r="K56" s="1145"/>
      <c r="L56" s="941"/>
      <c r="M56" s="941"/>
      <c r="N56" s="941"/>
      <c r="O56" s="941"/>
    </row>
    <row r="57" spans="1:15" s="692" customFormat="1">
      <c r="A57" s="693" t="s">
        <v>2765</v>
      </c>
      <c r="B57" s="262">
        <f>ROUND($C$48*C57*D57,0)</f>
        <v>4924</v>
      </c>
      <c r="C57" s="200">
        <f t="shared" ref="C57:C65" si="16">IF($C$55="北京市系数",I57,J57)</f>
        <v>0.7</v>
      </c>
      <c r="D57" s="1164">
        <v>0.25</v>
      </c>
      <c r="E57" s="694"/>
      <c r="F57" s="1103">
        <f t="shared" si="15"/>
        <v>0</v>
      </c>
      <c r="G57" s="3183" t="s">
        <v>2766</v>
      </c>
      <c r="H57" s="1104" t="str">
        <f>项目基本情况!B37</f>
        <v>五级</v>
      </c>
      <c r="I57" s="1108">
        <f>SUMIF(修正!A45:A56,H57,修正!B45:B56)</f>
        <v>0.7</v>
      </c>
      <c r="J57" s="1112"/>
      <c r="K57" s="1144"/>
      <c r="L57" s="941"/>
      <c r="M57" s="941"/>
      <c r="N57" s="941"/>
      <c r="O57" s="941"/>
    </row>
    <row r="58" spans="1:15" s="692" customFormat="1">
      <c r="A58" s="693" t="s">
        <v>2767</v>
      </c>
      <c r="B58" s="262">
        <f t="shared" ref="B58:B65" si="17">ROUND($C$48*C58*D58,0)</f>
        <v>2814</v>
      </c>
      <c r="C58" s="200">
        <f t="shared" si="16"/>
        <v>0.4</v>
      </c>
      <c r="D58" s="1164">
        <v>0.25</v>
      </c>
      <c r="E58" s="694"/>
      <c r="F58" s="1103">
        <f t="shared" si="15"/>
        <v>0</v>
      </c>
      <c r="G58" s="3183"/>
      <c r="H58" s="1104" t="str">
        <f>项目基本情况!B37</f>
        <v>五级</v>
      </c>
      <c r="I58" s="1108">
        <f>SUMIF(修正!A45:A56,H58,修正!C45:C56)</f>
        <v>0.4</v>
      </c>
      <c r="J58" s="1112"/>
      <c r="K58" s="1145"/>
      <c r="L58" s="941"/>
      <c r="M58" s="941"/>
      <c r="N58" s="941"/>
      <c r="O58" s="941"/>
    </row>
    <row r="59" spans="1:15" s="692" customFormat="1">
      <c r="A59" s="693" t="s">
        <v>2768</v>
      </c>
      <c r="B59" s="262">
        <f t="shared" si="17"/>
        <v>1969</v>
      </c>
      <c r="C59" s="200">
        <f t="shared" si="16"/>
        <v>0.28000000000000003</v>
      </c>
      <c r="D59" s="1164">
        <v>0.25</v>
      </c>
      <c r="E59" s="694"/>
      <c r="F59" s="1103">
        <f t="shared" si="15"/>
        <v>0</v>
      </c>
      <c r="G59" s="3183"/>
      <c r="H59" s="1104" t="str">
        <f>项目基本情况!B37</f>
        <v>五级</v>
      </c>
      <c r="I59" s="1108">
        <f>SUMIF(修正!A45:A56,H59,修正!D45:D56)</f>
        <v>0.28000000000000003</v>
      </c>
      <c r="J59" s="1112"/>
      <c r="K59" s="1144"/>
      <c r="L59" s="941"/>
      <c r="M59" s="941"/>
      <c r="N59" s="941"/>
      <c r="O59" s="941"/>
    </row>
    <row r="60" spans="1:15" s="692" customFormat="1">
      <c r="A60" s="693" t="s">
        <v>2769</v>
      </c>
      <c r="B60" s="262">
        <f t="shared" si="17"/>
        <v>1758</v>
      </c>
      <c r="C60" s="200">
        <f t="shared" si="16"/>
        <v>0.25</v>
      </c>
      <c r="D60" s="1164">
        <v>0.25</v>
      </c>
      <c r="E60" s="694"/>
      <c r="F60" s="1103">
        <f t="shared" si="15"/>
        <v>0</v>
      </c>
      <c r="G60" s="3183"/>
      <c r="H60" s="1104" t="str">
        <f>项目基本情况!B37</f>
        <v>五级</v>
      </c>
      <c r="I60" s="1108">
        <f>SUMIF(修正!A45:A56,H60,修正!E45:E56)</f>
        <v>0.25</v>
      </c>
      <c r="J60" s="1112"/>
      <c r="K60" s="1145"/>
      <c r="L60" s="941"/>
      <c r="M60" s="941"/>
      <c r="N60" s="941"/>
      <c r="O60" s="941"/>
    </row>
    <row r="61" spans="1:15" s="692" customFormat="1">
      <c r="A61" s="693" t="s">
        <v>2770</v>
      </c>
      <c r="B61" s="262">
        <f t="shared" si="17"/>
        <v>1758</v>
      </c>
      <c r="C61" s="200">
        <f t="shared" si="16"/>
        <v>0.25</v>
      </c>
      <c r="D61" s="1164">
        <v>0.25</v>
      </c>
      <c r="E61" s="261">
        <f>'数据-汇总表'!E11</f>
        <v>0</v>
      </c>
      <c r="F61" s="1103">
        <f t="shared" si="15"/>
        <v>0</v>
      </c>
      <c r="G61" s="2709" t="s">
        <v>2771</v>
      </c>
      <c r="H61" s="1104" t="str">
        <f>项目基本情况!C37</f>
        <v>五级</v>
      </c>
      <c r="I61" s="1108">
        <f>SUMIF(修正!A45:A56,H61,修正!F45:F56)</f>
        <v>0.25</v>
      </c>
      <c r="J61" s="1112"/>
      <c r="K61" s="1144"/>
      <c r="L61" s="941"/>
      <c r="M61" s="941"/>
      <c r="N61" s="941"/>
      <c r="O61" s="941"/>
    </row>
    <row r="62" spans="1:15" s="692" customFormat="1">
      <c r="A62" s="693" t="s">
        <v>2772</v>
      </c>
      <c r="B62" s="262">
        <f t="shared" si="17"/>
        <v>1758</v>
      </c>
      <c r="C62" s="200">
        <f t="shared" si="16"/>
        <v>0.25</v>
      </c>
      <c r="D62" s="1164">
        <v>0.25</v>
      </c>
      <c r="E62" s="261">
        <f>'数据-汇总表'!E12</f>
        <v>27732.94</v>
      </c>
      <c r="F62" s="1103">
        <f t="shared" si="15"/>
        <v>4875</v>
      </c>
      <c r="G62" s="1109" t="s">
        <v>27</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2774</v>
      </c>
      <c r="B63" s="262">
        <f t="shared" si="17"/>
        <v>1407</v>
      </c>
      <c r="C63" s="200">
        <f t="shared" si="16"/>
        <v>0.2</v>
      </c>
      <c r="D63" s="1164">
        <v>0.25</v>
      </c>
      <c r="E63" s="261">
        <f>'数据-汇总表'!E13</f>
        <v>84685.74</v>
      </c>
      <c r="F63" s="1103">
        <f t="shared" si="15"/>
        <v>11915</v>
      </c>
      <c r="G63" s="1109" t="s">
        <v>3238</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2776</v>
      </c>
      <c r="B64" s="262">
        <f t="shared" si="17"/>
        <v>1407</v>
      </c>
      <c r="C64" s="200">
        <f t="shared" si="16"/>
        <v>0.2</v>
      </c>
      <c r="D64" s="1164">
        <v>0.25</v>
      </c>
      <c r="E64" s="261">
        <f>'数据-汇总表'!E14</f>
        <v>0</v>
      </c>
      <c r="F64" s="1103">
        <f t="shared" si="15"/>
        <v>0</v>
      </c>
      <c r="G64" s="2709" t="s">
        <v>2766</v>
      </c>
      <c r="H64" s="1104" t="str">
        <f>项目基本情况!B37</f>
        <v>五级</v>
      </c>
      <c r="I64" s="1108">
        <f>SUMIF(修正!A45:A56,H64,修正!H45:H56)</f>
        <v>0.2</v>
      </c>
      <c r="J64" s="1112"/>
      <c r="K64" s="1145"/>
      <c r="L64" s="941"/>
      <c r="M64" s="941"/>
      <c r="N64" s="941"/>
      <c r="O64" s="941"/>
    </row>
    <row r="65" spans="1:20" s="692" customFormat="1" ht="15" thickBot="1">
      <c r="A65" s="693" t="s">
        <v>2777</v>
      </c>
      <c r="B65" s="262">
        <f t="shared" si="17"/>
        <v>1407</v>
      </c>
      <c r="C65" s="200">
        <f t="shared" si="16"/>
        <v>0.2</v>
      </c>
      <c r="D65" s="1164">
        <v>0.25</v>
      </c>
      <c r="E65" s="261">
        <f>'数据-汇总表'!E15</f>
        <v>0</v>
      </c>
      <c r="F65" s="1103">
        <f t="shared" si="15"/>
        <v>0</v>
      </c>
      <c r="G65" s="2710" t="s">
        <v>2771</v>
      </c>
      <c r="H65" s="1114" t="str">
        <f>项目基本情况!C37</f>
        <v>五级</v>
      </c>
      <c r="I65" s="1110">
        <f>SUMIF(修正!A45:A56,H65,修正!H45:H56)</f>
        <v>0.2</v>
      </c>
      <c r="J65" s="1113"/>
      <c r="K65" s="1144"/>
      <c r="L65" s="941"/>
      <c r="M65" s="941"/>
      <c r="N65" s="941"/>
      <c r="O65" s="941"/>
    </row>
    <row r="66" spans="1:20" s="692" customFormat="1" ht="13.5" thickBot="1">
      <c r="A66" s="695" t="s">
        <v>2778</v>
      </c>
      <c r="B66" s="696" t="s">
        <v>28</v>
      </c>
      <c r="C66" s="696" t="s">
        <v>29</v>
      </c>
      <c r="D66" s="696" t="s">
        <v>1026</v>
      </c>
      <c r="E66" s="696">
        <f>IF(B46="楼面地价",SUM(E56:E65),'数据-汇总表'!D3)</f>
        <v>364906</v>
      </c>
      <c r="F66" s="697">
        <f>IF(B46="楼面地价",SUM(F56:F65),ROUND(C48*E66/10000,0))</f>
        <v>727163</v>
      </c>
      <c r="G66" s="787"/>
      <c r="H66" s="787"/>
      <c r="I66" s="787"/>
      <c r="J66" s="787"/>
      <c r="K66" s="1158"/>
      <c r="L66" s="941"/>
      <c r="M66" s="941"/>
      <c r="N66" s="941"/>
      <c r="O66" s="941"/>
    </row>
    <row r="67" spans="1:20">
      <c r="A67" s="759"/>
      <c r="B67" s="761"/>
      <c r="C67" s="762"/>
      <c r="D67" s="759"/>
      <c r="E67" s="759"/>
      <c r="F67" s="759"/>
      <c r="G67" s="759"/>
      <c r="H67" s="759"/>
      <c r="I67" s="759"/>
      <c r="J67" s="1144"/>
      <c r="K67" s="1105"/>
      <c r="L67" s="1106"/>
      <c r="M67" s="1144"/>
      <c r="N67" s="1144"/>
      <c r="O67" s="1144"/>
    </row>
    <row r="68" spans="1:20">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20" ht="21.75" thickBot="1">
      <c r="A69" s="763" t="s">
        <v>2672</v>
      </c>
      <c r="B69" s="759"/>
      <c r="C69" s="764"/>
      <c r="D69" s="764"/>
      <c r="E69" s="764"/>
      <c r="F69" s="765"/>
      <c r="G69" s="765"/>
      <c r="H69" s="764"/>
      <c r="I69" s="764"/>
      <c r="J69" s="1159"/>
      <c r="K69" s="1160"/>
      <c r="L69" s="1161"/>
      <c r="M69" s="1159"/>
      <c r="N69" s="1159"/>
      <c r="O69" s="1159"/>
      <c r="P69" s="503"/>
      <c r="Q69" s="504"/>
    </row>
    <row r="70" spans="1:20" s="508" customFormat="1" ht="15">
      <c r="A70" s="2711"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t="s">
        <v>3201</v>
      </c>
      <c r="Q70" s="508" t="s">
        <v>3202</v>
      </c>
      <c r="R70" s="508" t="s">
        <v>3203</v>
      </c>
      <c r="S70" s="508" t="s">
        <v>3204</v>
      </c>
      <c r="T70" s="508" t="s">
        <v>3205</v>
      </c>
    </row>
    <row r="71" spans="1:20" s="117" customFormat="1" ht="30" customHeight="1">
      <c r="A71" s="2712" t="s">
        <v>2780</v>
      </c>
      <c r="B71" s="332" t="str">
        <f>"北京市平均增长率"&amp;TEXT(SUMIF('基准地价修正（商业）'!N21:N25,A71,'基准地价修正（商业）'!P21:P25),"0.00%")</f>
        <v>北京市平均增长率2.26%</v>
      </c>
      <c r="C71" s="603">
        <v>100</v>
      </c>
      <c r="D71" s="595">
        <v>99.5</v>
      </c>
      <c r="E71" s="595">
        <v>99</v>
      </c>
      <c r="F71" s="595">
        <v>98.5</v>
      </c>
      <c r="G71" s="595">
        <v>98</v>
      </c>
      <c r="H71" s="595">
        <v>97.5</v>
      </c>
      <c r="I71" s="595">
        <v>97</v>
      </c>
      <c r="J71" s="595">
        <v>96.5</v>
      </c>
      <c r="K71" s="595">
        <v>96</v>
      </c>
      <c r="L71" s="595">
        <v>95.5</v>
      </c>
      <c r="M71" s="1567">
        <v>95</v>
      </c>
      <c r="N71" s="595">
        <v>94.5</v>
      </c>
      <c r="O71" s="1568">
        <v>94</v>
      </c>
      <c r="P71" s="504">
        <v>0.93500000000000005</v>
      </c>
      <c r="Q71" s="117">
        <v>93</v>
      </c>
      <c r="R71" s="117">
        <v>92.5</v>
      </c>
      <c r="S71" s="117">
        <v>92</v>
      </c>
      <c r="T71" s="117">
        <v>91.5</v>
      </c>
    </row>
    <row r="72" spans="1:20" s="117" customFormat="1" ht="15.75" thickBot="1">
      <c r="A72" s="515" t="s">
        <v>2583</v>
      </c>
      <c r="B72" s="516"/>
      <c r="C72" s="517"/>
      <c r="D72" s="518"/>
      <c r="E72" s="518"/>
      <c r="F72" s="518"/>
      <c r="G72" s="518"/>
      <c r="H72" s="518"/>
      <c r="I72" s="518"/>
      <c r="J72" s="518"/>
      <c r="K72" s="518"/>
      <c r="L72" s="518"/>
      <c r="M72" s="519"/>
      <c r="N72" s="518"/>
      <c r="O72" s="1162"/>
      <c r="P72" s="504"/>
      <c r="Q72" s="504"/>
    </row>
    <row r="73" spans="1:20" s="117" customFormat="1" ht="15">
      <c r="A73" s="521" t="s">
        <v>2548</v>
      </c>
      <c r="B73" s="510"/>
      <c r="C73" s="522" t="s">
        <v>2650</v>
      </c>
      <c r="D73" s="523"/>
      <c r="E73" s="523"/>
      <c r="F73" s="523"/>
      <c r="G73" s="523"/>
      <c r="H73" s="523"/>
      <c r="I73" s="523"/>
      <c r="J73" s="523"/>
      <c r="K73" s="523"/>
      <c r="L73" s="524"/>
      <c r="M73" s="525"/>
      <c r="N73" s="1151"/>
      <c r="O73" s="1151"/>
      <c r="P73" s="526"/>
      <c r="Q73" s="504"/>
    </row>
    <row r="74" spans="1:20" s="117" customFormat="1" ht="15.75" thickBot="1">
      <c r="A74" s="521"/>
      <c r="B74" s="510"/>
      <c r="C74" s="639">
        <v>100</v>
      </c>
      <c r="D74" s="512"/>
      <c r="E74" s="512"/>
      <c r="F74" s="512"/>
      <c r="G74" s="512"/>
      <c r="H74" s="512"/>
      <c r="I74" s="512"/>
      <c r="J74" s="512"/>
      <c r="K74" s="512"/>
      <c r="L74" s="512"/>
      <c r="M74" s="514"/>
      <c r="N74" s="1151"/>
      <c r="O74" s="1151"/>
      <c r="P74" s="504"/>
      <c r="Q74" s="504"/>
    </row>
    <row r="75" spans="1:20" ht="40.5">
      <c r="A75" s="527" t="s">
        <v>2586</v>
      </c>
      <c r="B75" s="528" t="s">
        <v>2552</v>
      </c>
      <c r="C75" s="2980" t="s">
        <v>3200</v>
      </c>
      <c r="D75" s="2980" t="s">
        <v>3199</v>
      </c>
      <c r="E75" s="530"/>
      <c r="F75" s="530"/>
      <c r="G75" s="530"/>
      <c r="H75" s="530"/>
      <c r="I75" s="530"/>
      <c r="J75" s="530"/>
      <c r="K75" s="531"/>
      <c r="L75" s="532"/>
      <c r="M75" s="533"/>
      <c r="N75" s="1152"/>
      <c r="O75" s="1152"/>
      <c r="P75" s="45"/>
      <c r="Q75" s="504"/>
    </row>
    <row r="76" spans="1:20" ht="15.75" thickBot="1">
      <c r="A76" s="534"/>
      <c r="B76" s="535"/>
      <c r="C76" s="536">
        <v>100</v>
      </c>
      <c r="D76" s="536">
        <v>100</v>
      </c>
      <c r="E76" s="536"/>
      <c r="F76" s="536"/>
      <c r="G76" s="536"/>
      <c r="H76" s="536"/>
      <c r="I76" s="536"/>
      <c r="J76" s="536"/>
      <c r="K76" s="536"/>
      <c r="L76" s="536"/>
      <c r="M76" s="537"/>
      <c r="N76" s="1153"/>
      <c r="O76" s="1153"/>
      <c r="P76" s="45"/>
      <c r="Q76" s="504"/>
    </row>
    <row r="77" spans="1:20" ht="27.75" thickTop="1">
      <c r="A77" s="534"/>
      <c r="B77" s="538" t="s">
        <v>2555</v>
      </c>
      <c r="C77" s="539"/>
      <c r="D77" s="539"/>
      <c r="E77" s="539"/>
      <c r="F77" s="539"/>
      <c r="G77" s="539"/>
      <c r="H77" s="539"/>
      <c r="I77" s="539"/>
      <c r="J77" s="539"/>
      <c r="K77" s="540"/>
      <c r="L77" s="541"/>
      <c r="M77" s="542"/>
      <c r="N77" s="1152"/>
      <c r="O77" s="1152"/>
      <c r="P77" s="45"/>
      <c r="Q77" s="504"/>
    </row>
    <row r="78" spans="1:20" ht="15.75" thickBot="1">
      <c r="A78" s="534"/>
      <c r="B78" s="543"/>
      <c r="C78" s="544"/>
      <c r="D78" s="544"/>
      <c r="E78" s="544"/>
      <c r="F78" s="544"/>
      <c r="G78" s="544"/>
      <c r="H78" s="544"/>
      <c r="I78" s="544"/>
      <c r="J78" s="544"/>
      <c r="K78" s="544"/>
      <c r="L78" s="544"/>
      <c r="M78" s="545"/>
      <c r="N78" s="1153"/>
      <c r="O78" s="1153"/>
      <c r="P78" s="45"/>
      <c r="Q78" s="504"/>
    </row>
    <row r="79" spans="1:20"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3"/>
      <c r="O79" s="1153"/>
      <c r="P79" s="45"/>
      <c r="Q79" s="504"/>
    </row>
    <row r="80" spans="1:20"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自持</v>
      </c>
      <c r="C82" s="2984" t="s">
        <v>3209</v>
      </c>
      <c r="D82" s="554" t="s">
        <v>3211</v>
      </c>
      <c r="E82" s="554"/>
      <c r="F82" s="554"/>
      <c r="G82" s="554"/>
      <c r="H82" s="555"/>
      <c r="I82" s="555"/>
      <c r="J82" s="555"/>
      <c r="K82" s="555"/>
      <c r="L82" s="556"/>
      <c r="M82" s="557"/>
      <c r="N82" s="1154"/>
      <c r="O82" s="1154"/>
      <c r="P82" s="558"/>
      <c r="Q82" s="559"/>
    </row>
    <row r="83" spans="1:17" s="471" customFormat="1" ht="15.75" thickBot="1">
      <c r="A83" s="553"/>
      <c r="B83" s="543"/>
      <c r="C83" s="560">
        <v>100</v>
      </c>
      <c r="D83" s="536">
        <v>90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2984" t="s">
        <v>3213</v>
      </c>
      <c r="D106" s="2984" t="s">
        <v>3215</v>
      </c>
      <c r="E106" s="2984" t="s">
        <v>3217</v>
      </c>
      <c r="F106" s="2984" t="s">
        <v>3218</v>
      </c>
      <c r="G106" s="2984" t="s">
        <v>3220</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2788</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5.75" thickBot="1">
      <c r="A118" s="534"/>
      <c r="B118" s="543"/>
      <c r="C118" s="570">
        <v>98</v>
      </c>
      <c r="D118" s="591">
        <v>99</v>
      </c>
      <c r="E118" s="591">
        <v>100</v>
      </c>
      <c r="F118" s="591">
        <v>99</v>
      </c>
      <c r="G118" s="591">
        <v>98</v>
      </c>
      <c r="H118" s="591"/>
      <c r="I118" s="591"/>
      <c r="J118" s="591"/>
      <c r="K118" s="591"/>
      <c r="L118" s="591"/>
      <c r="M118" s="592"/>
      <c r="N118" s="1153"/>
      <c r="O118" s="1153"/>
      <c r="P118" s="45"/>
      <c r="Q118" s="504"/>
    </row>
    <row r="119" spans="1:17" ht="15" thickTop="1">
      <c r="A119" s="599"/>
      <c r="B119" s="538" t="s">
        <v>2789</v>
      </c>
      <c r="C119" s="2985" t="s">
        <v>3221</v>
      </c>
      <c r="D119" s="2985" t="s">
        <v>3223</v>
      </c>
      <c r="E119" s="2985" t="s">
        <v>3224</v>
      </c>
      <c r="F119" s="2985" t="s">
        <v>3225</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2790</v>
      </c>
      <c r="C121" s="2984" t="s">
        <v>3226</v>
      </c>
      <c r="D121" s="2984" t="s">
        <v>3228</v>
      </c>
      <c r="E121" s="2984" t="s">
        <v>3229</v>
      </c>
      <c r="F121" s="2985" t="s">
        <v>3230</v>
      </c>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2791</v>
      </c>
      <c r="C123" s="2984" t="s">
        <v>3231</v>
      </c>
      <c r="D123" s="2984" t="s">
        <v>3233</v>
      </c>
      <c r="E123" s="2984" t="s">
        <v>3235</v>
      </c>
      <c r="F123" s="2984" t="s">
        <v>3236</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2792</v>
      </c>
      <c r="C125" s="2984" t="s">
        <v>3237</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3" sqref="E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0</v>
      </c>
      <c r="C2" s="2721" t="s">
        <v>2810</v>
      </c>
      <c r="D2" s="2722" t="s">
        <v>2811</v>
      </c>
      <c r="E2" s="2723" t="s">
        <v>1373</v>
      </c>
      <c r="F2" s="2722" t="s">
        <v>2812</v>
      </c>
      <c r="G2" s="2724" t="str">
        <f>IF(E2="商业",项目基本情况!B37,IF(E2="办公",项目基本情况!C37,IF(E2="住宅",项目基本情况!D37,项目基本情况!E37)))</f>
        <v>五级</v>
      </c>
      <c r="H2" s="2722" t="s">
        <v>2813</v>
      </c>
      <c r="I2" s="2724" t="str">
        <f>IF(E2="商业",项目基本情况!B38,IF(E2="办公",项目基本情况!C38,IF(E2="住宅",项目基本情况!D38,项目基本情况!E38)))</f>
        <v>Ⅴ-16</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27897</v>
      </c>
      <c r="U2" s="1603">
        <v>3320.53</v>
      </c>
      <c r="V2" s="1602">
        <f ca="1">ROUND(T2*U2/10000,0)</f>
        <v>9263</v>
      </c>
      <c r="W2" s="1606"/>
      <c r="X2" s="1606"/>
      <c r="Y2" s="1606"/>
      <c r="Z2" s="1606"/>
      <c r="AA2" s="1606"/>
      <c r="AB2" s="1606"/>
      <c r="AC2" s="1607"/>
      <c r="AD2" s="1608"/>
      <c r="AE2" s="1608"/>
      <c r="AF2" s="1608"/>
      <c r="AG2" s="1608"/>
      <c r="AH2" s="1608"/>
      <c r="AI2" s="1608"/>
      <c r="AJ2" s="1609"/>
    </row>
    <row r="3" spans="1:36" ht="25.5">
      <c r="A3" s="247" t="s">
        <v>2815</v>
      </c>
      <c r="B3" s="248" t="e">
        <f ca="1">ROUND(B2*10000/D1,0)</f>
        <v>#DIV/0!</v>
      </c>
      <c r="C3" s="2721" t="s">
        <v>2816</v>
      </c>
      <c r="D3" s="2722" t="s">
        <v>2817</v>
      </c>
      <c r="E3" s="2727" t="s">
        <v>3121</v>
      </c>
      <c r="F3" s="2728" t="s">
        <v>2818</v>
      </c>
      <c r="G3" s="916">
        <f>IF(F3="宗地容积率",'数据-汇总表'!I4,IF(F3="估价对象容积率",'数据-汇总表'!I6,'数据-汇总表'!I7))</f>
        <v>5.23</v>
      </c>
      <c r="H3" s="198" t="s">
        <v>2819</v>
      </c>
      <c r="I3" s="944">
        <v>7</v>
      </c>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20025</v>
      </c>
      <c r="U3" s="1603">
        <v>4001.08</v>
      </c>
      <c r="V3" s="1602">
        <f t="shared" ref="V3:V16" ca="1" si="1">ROUND(T3*U3/10000,0)</f>
        <v>8012</v>
      </c>
      <c r="W3" s="1606"/>
      <c r="X3" s="1606"/>
      <c r="Y3" s="1606"/>
      <c r="Z3" s="1606"/>
      <c r="AA3" s="1606"/>
      <c r="AB3" s="1606"/>
      <c r="AC3" s="1607"/>
      <c r="AD3" s="1608"/>
      <c r="AE3" s="1608"/>
      <c r="AF3" s="1608"/>
      <c r="AG3" s="1608"/>
      <c r="AH3" s="1608"/>
      <c r="AI3" s="1608"/>
      <c r="AJ3" s="1609"/>
    </row>
    <row r="4" spans="1:36" ht="15.75">
      <c r="A4" s="3222"/>
      <c r="B4" s="3223"/>
      <c r="C4" s="3223"/>
      <c r="D4" s="3224"/>
      <c r="E4" s="3224"/>
      <c r="F4" s="3224"/>
      <c r="G4" s="3224"/>
      <c r="H4" s="3224"/>
      <c r="I4" s="3224"/>
      <c r="J4" s="3225"/>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16155</v>
      </c>
      <c r="U4" s="1603">
        <v>4331.13</v>
      </c>
      <c r="V4" s="1602">
        <f t="shared" ca="1" si="1"/>
        <v>6997</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f>ROUND(IF(E2="商业",C6*C7+C16,(IF(E2="住宅",C6*C12+C16,C6+C16))),0)</f>
        <v>11374</v>
      </c>
      <c r="D5" s="1787">
        <f>ROUND(IF(F17="增加",C6+C16,C6-C16),0)</f>
        <v>11446</v>
      </c>
      <c r="E5" s="1787"/>
      <c r="F5" s="2731"/>
      <c r="G5" s="2732"/>
      <c r="H5" s="2732"/>
      <c r="I5" s="2732"/>
      <c r="J5" s="2733"/>
      <c r="K5" s="2734"/>
      <c r="L5" s="2726" t="s">
        <v>2824</v>
      </c>
      <c r="M5" s="1081">
        <f>SUMPRODUCT((区片价!B76:B109=I2)*(区片价!C3:F3=E2)*(区片价!C76:F109))</f>
        <v>11410</v>
      </c>
      <c r="N5" s="1083">
        <f>SUMPRODUCT((因素修正幅度!B76:B109=I2)*(因素修正幅度!C3:F3=E2)*(因素修正幅度!C76:F109))</f>
        <v>9.9000000000000005E-2</v>
      </c>
      <c r="O5" s="1370"/>
      <c r="P5" s="1370"/>
      <c r="Q5" s="1370"/>
      <c r="R5" s="1602">
        <v>4</v>
      </c>
      <c r="S5" s="1602">
        <f>ROUND(IF(G3&gt;1,IF(R5&lt;7,SUMPRODUCT((B93:B98=R5)*(C92:N92=G2)*(C93:N98)),SUMIF(C92:N92,G2,C100:N100)),IF(R5&lt;7,SUMPRODUCT((B102:B107=R5)*(C92:N92=G2)*(C102:N107)),SUMIF(C92:N92,G2,C109:N109))),4)</f>
        <v>0.86560000000000004</v>
      </c>
      <c r="T5" s="1602">
        <f t="shared" ca="1" si="0"/>
        <v>12962</v>
      </c>
      <c r="U5" s="1603">
        <v>4438.08</v>
      </c>
      <c r="V5" s="1602">
        <f t="shared" ca="1" si="1"/>
        <v>5753</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11410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11038</v>
      </c>
      <c r="U6" s="1603">
        <v>4437.38</v>
      </c>
      <c r="V6" s="1602">
        <f t="shared" ca="1" si="1"/>
        <v>4898</v>
      </c>
      <c r="W6" s="1606"/>
      <c r="X6" s="1606"/>
      <c r="Y6" s="1606"/>
      <c r="Z6" s="1606"/>
      <c r="AA6" s="1606"/>
      <c r="AB6" s="1606"/>
      <c r="AC6" s="2735"/>
      <c r="AD6" s="2736"/>
      <c r="AE6" s="2736"/>
      <c r="AF6" s="2736"/>
      <c r="AG6" s="2736"/>
      <c r="AH6" s="2736"/>
      <c r="AI6" s="2736"/>
      <c r="AJ6" s="2737"/>
    </row>
    <row r="7" spans="1:36" ht="24">
      <c r="A7" s="3226" t="str">
        <f>IF(E2="商业",IF(C8="不临58条商业街","",2),"")</f>
        <v/>
      </c>
      <c r="B7" s="2745" t="s">
        <v>2829</v>
      </c>
      <c r="C7" s="919">
        <f>IF(C8="不临58条商业街",1,ROUND(1+(1.6*E8+1.2*E9+0.8*E10+0.4*E11)*C9,4))</f>
        <v>1</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9707</v>
      </c>
      <c r="U7" s="1603">
        <v>4437.38</v>
      </c>
      <c r="V7" s="1602">
        <f t="shared" ca="1" si="1"/>
        <v>4307</v>
      </c>
      <c r="W7" s="1816" t="s">
        <v>2832</v>
      </c>
      <c r="X7" s="1604" t="str">
        <f>G2</f>
        <v>五级</v>
      </c>
      <c r="Y7" s="1604" t="s">
        <v>2833</v>
      </c>
      <c r="Z7" s="1605">
        <f>G3</f>
        <v>5.23</v>
      </c>
      <c r="AA7" s="1606"/>
      <c r="AB7" s="1606"/>
      <c r="AC7" s="1607"/>
      <c r="AD7" s="1608"/>
      <c r="AE7" s="1608"/>
      <c r="AF7" s="1608"/>
      <c r="AG7" s="1608"/>
      <c r="AH7" s="1608"/>
      <c r="AI7" s="1608"/>
      <c r="AJ7" s="1609"/>
    </row>
    <row r="8" spans="1:36" ht="25.5">
      <c r="A8" s="3227"/>
      <c r="B8" s="198" t="s">
        <v>2834</v>
      </c>
      <c r="C8" s="2750" t="s">
        <v>3083</v>
      </c>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2974">
        <v>0.64729999999999999</v>
      </c>
      <c r="T8" s="1602">
        <f t="shared" ca="1" si="0"/>
        <v>9693</v>
      </c>
      <c r="U8" s="1603">
        <v>4425.9799999999996</v>
      </c>
      <c r="V8" s="1602">
        <f t="shared" ca="1" si="1"/>
        <v>4290</v>
      </c>
      <c r="W8" s="3219" t="s">
        <v>2837</v>
      </c>
      <c r="X8" s="322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27"/>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1" t="s">
        <v>2853</v>
      </c>
      <c r="X9" s="1611" t="s">
        <v>2854</v>
      </c>
      <c r="Y9" s="1772">
        <v>9</v>
      </c>
      <c r="Z9" s="1612">
        <f>$Y$9</f>
        <v>9</v>
      </c>
      <c r="AA9" s="1612">
        <f t="shared" ref="AA9:AJ9" si="2">$Y$9</f>
        <v>9</v>
      </c>
      <c r="AB9" s="1612">
        <f t="shared" si="2"/>
        <v>9</v>
      </c>
      <c r="AC9" s="1612">
        <f t="shared" si="2"/>
        <v>9</v>
      </c>
      <c r="AD9" s="1612">
        <f t="shared" si="2"/>
        <v>9</v>
      </c>
      <c r="AE9" s="1612">
        <f t="shared" si="2"/>
        <v>9</v>
      </c>
      <c r="AF9" s="1612">
        <f t="shared" si="2"/>
        <v>9</v>
      </c>
      <c r="AG9" s="1612">
        <f t="shared" si="2"/>
        <v>9</v>
      </c>
      <c r="AH9" s="1612">
        <f t="shared" si="2"/>
        <v>9</v>
      </c>
      <c r="AI9" s="1612">
        <f t="shared" si="2"/>
        <v>9</v>
      </c>
      <c r="AJ9" s="1612">
        <f t="shared" si="2"/>
        <v>9</v>
      </c>
    </row>
    <row r="10" spans="1:36" ht="15">
      <c r="A10" s="3227"/>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v>0.6452</v>
      </c>
      <c r="T10" s="1602">
        <f t="shared" ca="1" si="0"/>
        <v>9662</v>
      </c>
      <c r="U10" s="1603">
        <f>'数据-汇总表'!F20</f>
        <v>55403.69</v>
      </c>
      <c r="V10" s="1602">
        <f t="shared" ca="1" si="1"/>
        <v>53531</v>
      </c>
      <c r="W10" s="3221"/>
      <c r="X10" s="1611">
        <v>7</v>
      </c>
      <c r="Y10" s="1613">
        <f>(-0.163*(Y9^2)-0.59*Y9+7617)*(10^(-4))</f>
        <v>0.75984870000000004</v>
      </c>
      <c r="Z10" s="1613">
        <f>(-0.163*(Z9^2)-0.59*Z9+7617)*(10^(-4))</f>
        <v>0.75984870000000004</v>
      </c>
      <c r="AA10" s="1613">
        <f>(-0.161*(AA9^2)-7.509*AA9+6533)*(10^(-4))</f>
        <v>0.64523779999999997</v>
      </c>
      <c r="AB10" s="1613">
        <f>(-0.161*(AB9^2)-7.509*AB9+6533)*(10^(-4))</f>
        <v>0.64523779999999997</v>
      </c>
      <c r="AC10" s="1613">
        <f>(-0.161*(AC9^2)-7.509*AC9+6533)*(10^(-4))</f>
        <v>0.64523779999999997</v>
      </c>
      <c r="AD10" s="1613">
        <f>(-0.161*(AD9^2)-7.509*AD9+6533)*(10^(-4))</f>
        <v>0.64523779999999997</v>
      </c>
      <c r="AE10" s="1613">
        <f>(-0.161*(AE9^2)-7.509*AE9+6533)*(10^(-4))</f>
        <v>0.64523779999999997</v>
      </c>
      <c r="AF10" s="1613">
        <f>(-0.214*(AF9^2)-21.991*AF9+4665)*(10^(-4))</f>
        <v>0.44497470000000006</v>
      </c>
      <c r="AG10" s="1613">
        <f>(-0.214*(AG9^2)-21.991*AG9+4665)*(10^(-4))</f>
        <v>0.44497470000000006</v>
      </c>
      <c r="AH10" s="1613">
        <f>(-0.214*(AH9^2)-21.991*AH9+4665)*(10^(-4))</f>
        <v>0.44497470000000006</v>
      </c>
      <c r="AI10" s="1613">
        <f>(-0.214*(AI9^2)-21.991*AI9+4665)*(10^(-4))</f>
        <v>0.44497470000000006</v>
      </c>
      <c r="AJ10" s="1613">
        <f>(-0.214*(AJ9^2)-21.991*AJ9+4665)*(10^(-4))</f>
        <v>0.44497470000000006</v>
      </c>
    </row>
    <row r="11" spans="1:36" ht="15.75" thickBot="1">
      <c r="A11" s="3227"/>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1" t="s">
        <v>2861</v>
      </c>
      <c r="X11" s="1614" t="s">
        <v>2862</v>
      </c>
      <c r="Y11" s="1615">
        <f>$G$3</f>
        <v>5.23</v>
      </c>
      <c r="Z11" s="1615">
        <f t="shared" ref="Z11:AJ11" si="3">$G$3</f>
        <v>5.23</v>
      </c>
      <c r="AA11" s="1615">
        <f t="shared" si="3"/>
        <v>5.23</v>
      </c>
      <c r="AB11" s="1615">
        <f t="shared" si="3"/>
        <v>5.23</v>
      </c>
      <c r="AC11" s="1615">
        <f t="shared" si="3"/>
        <v>5.23</v>
      </c>
      <c r="AD11" s="1615">
        <f t="shared" si="3"/>
        <v>5.23</v>
      </c>
      <c r="AE11" s="1615">
        <f t="shared" si="3"/>
        <v>5.23</v>
      </c>
      <c r="AF11" s="1615">
        <f t="shared" si="3"/>
        <v>5.23</v>
      </c>
      <c r="AG11" s="1615">
        <f t="shared" si="3"/>
        <v>5.23</v>
      </c>
      <c r="AH11" s="1615">
        <f t="shared" si="3"/>
        <v>5.23</v>
      </c>
      <c r="AI11" s="1615">
        <f t="shared" si="3"/>
        <v>5.23</v>
      </c>
      <c r="AJ11" s="1615">
        <f t="shared" si="3"/>
        <v>5.23</v>
      </c>
    </row>
    <row r="12" spans="1:36" ht="25.5" thickBot="1">
      <c r="A12" s="3226"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1"/>
      <c r="X12" s="1616" t="s">
        <v>2867</v>
      </c>
      <c r="Y12" s="1612">
        <f t="shared" ref="Y12:AJ12" si="4">Y9</f>
        <v>9</v>
      </c>
      <c r="Z12" s="1612">
        <f t="shared" si="4"/>
        <v>9</v>
      </c>
      <c r="AA12" s="1612">
        <f t="shared" si="4"/>
        <v>9</v>
      </c>
      <c r="AB12" s="1612">
        <f t="shared" si="4"/>
        <v>9</v>
      </c>
      <c r="AC12" s="1612">
        <f t="shared" si="4"/>
        <v>9</v>
      </c>
      <c r="AD12" s="1612">
        <f t="shared" si="4"/>
        <v>9</v>
      </c>
      <c r="AE12" s="1612">
        <f t="shared" si="4"/>
        <v>9</v>
      </c>
      <c r="AF12" s="1612">
        <f t="shared" si="4"/>
        <v>9</v>
      </c>
      <c r="AG12" s="1612">
        <f t="shared" si="4"/>
        <v>9</v>
      </c>
      <c r="AH12" s="1612">
        <f t="shared" si="4"/>
        <v>9</v>
      </c>
      <c r="AI12" s="1612">
        <f t="shared" si="4"/>
        <v>9</v>
      </c>
      <c r="AJ12" s="1612">
        <f t="shared" si="4"/>
        <v>9</v>
      </c>
    </row>
    <row r="13" spans="1:36" ht="24">
      <c r="A13" s="3228"/>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f t="shared" ca="1" si="0"/>
        <v>0</v>
      </c>
      <c r="U13" s="1603"/>
      <c r="V13" s="1602">
        <f t="shared" ca="1" si="1"/>
        <v>0</v>
      </c>
      <c r="W13" s="3221"/>
      <c r="X13" s="1616"/>
      <c r="Y13" s="1613">
        <f>(-0.163*(Y12^2)-0.59*Y12+7617)*(10^(-4))/Y11</f>
        <v>0.14528655831739962</v>
      </c>
      <c r="Z13" s="1613">
        <f t="shared" ref="Z13:AJ13" si="5">(-0.163*(Z12^2)-0.59*Z12+7617)*(10^(-4))/Z11</f>
        <v>0.14528655831739962</v>
      </c>
      <c r="AA13" s="1613">
        <f t="shared" si="5"/>
        <v>0.14528655831739962</v>
      </c>
      <c r="AB13" s="1613">
        <f t="shared" si="5"/>
        <v>0.14528655831739962</v>
      </c>
      <c r="AC13" s="1613">
        <f t="shared" si="5"/>
        <v>0.14528655831739962</v>
      </c>
      <c r="AD13" s="1613">
        <f t="shared" si="5"/>
        <v>0.14528655831739962</v>
      </c>
      <c r="AE13" s="1613">
        <f t="shared" si="5"/>
        <v>0.14528655831739962</v>
      </c>
      <c r="AF13" s="1613">
        <f t="shared" si="5"/>
        <v>0.14528655831739962</v>
      </c>
      <c r="AG13" s="1613">
        <f t="shared" si="5"/>
        <v>0.14528655831739962</v>
      </c>
      <c r="AH13" s="1613">
        <f t="shared" si="5"/>
        <v>0.14528655831739962</v>
      </c>
      <c r="AI13" s="1613">
        <f t="shared" si="5"/>
        <v>0.14528655831739962</v>
      </c>
      <c r="AJ13" s="1613">
        <f t="shared" si="5"/>
        <v>0.14528655831739962</v>
      </c>
    </row>
    <row r="14" spans="1:36" ht="15">
      <c r="A14" s="3228"/>
      <c r="B14" s="2768"/>
      <c r="C14" s="2769"/>
      <c r="D14" s="2770"/>
      <c r="E14" s="2770"/>
      <c r="F14" s="2771"/>
      <c r="G14" s="2772" t="s">
        <v>2874</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9"/>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26" t="s">
        <v>2880</v>
      </c>
      <c r="B16" s="2745" t="s">
        <v>2881</v>
      </c>
      <c r="C16" s="2935">
        <f>ROUND(IF(F17="与级别开发程度一致",0,(G17-E17)/C17),0)</f>
        <v>-36</v>
      </c>
      <c r="D16" s="3240" t="s">
        <v>2885</v>
      </c>
      <c r="E16" s="3241"/>
      <c r="F16" s="3240" t="s">
        <v>2882</v>
      </c>
      <c r="G16" s="3241"/>
      <c r="H16" s="2779" t="s">
        <v>3064</v>
      </c>
      <c r="I16" s="2779" t="s">
        <v>3065</v>
      </c>
      <c r="J16" s="2939" t="s">
        <v>3066</v>
      </c>
      <c r="K16" s="2779" t="s">
        <v>3067</v>
      </c>
      <c r="L16" s="2779" t="s">
        <v>3068</v>
      </c>
      <c r="M16" s="2779" t="s">
        <v>70</v>
      </c>
      <c r="N16" s="2779" t="s">
        <v>70</v>
      </c>
      <c r="O16" s="2780" t="s">
        <v>3084</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30"/>
      <c r="B17" s="2946" t="s">
        <v>2884</v>
      </c>
      <c r="C17" s="2947">
        <f>SUMPRODUCT((修正!A2:A5=E2)*(修正!B1:M1=G2)*(修正!B2:M5))</f>
        <v>2.5</v>
      </c>
      <c r="D17" s="229" t="str">
        <f>IF(OR(G2="八级",G2="九级",G2="十级",G2="十一级",G2="十二级"),"五通一平","七通一平")</f>
        <v>七通一平</v>
      </c>
      <c r="E17" s="2936">
        <f>SUMPRODUCT((修正!B1:M1=G2)*(修正!B15:M15))</f>
        <v>300</v>
      </c>
      <c r="F17" s="2937" t="s">
        <v>3085</v>
      </c>
      <c r="G17" s="2938">
        <f>SUM(H17:O17)</f>
        <v>210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0</v>
      </c>
      <c r="N17" s="2947">
        <f>SUMPRODUCT((七通一平=N16)*(修正!B1:M1=G2)*(修正!B6:M14))</f>
        <v>0</v>
      </c>
      <c r="O17" s="2949">
        <f>SUMPRODUCT((七通一平=O16)*(修正!B1:M1=G2)*(修正!B6:M14))</f>
        <v>15</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2887</v>
      </c>
      <c r="C18" s="2942">
        <f>SUMIF(修正!C18:C39,E3,修正!E18:E39)</f>
        <v>1.1000000000000001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2888</v>
      </c>
      <c r="C19" s="924">
        <f>ROUND(IF(H19="按公示增长率计算",SUMPRODUCT((地价!A3:A26=YEAR(G19)&amp;"-"&amp;ROUNDUP(MONTH(G19)/3,0))*(地价!X2:AB2=E2)*(地价!X3:AB26)),IF(H19="地价指数",M20/M19,(1+I19)^O19)),4)</f>
        <v>1.3423</v>
      </c>
      <c r="D19" s="2789" t="s">
        <v>2889</v>
      </c>
      <c r="E19" s="925">
        <v>41640</v>
      </c>
      <c r="F19" s="2789" t="s">
        <v>2890</v>
      </c>
      <c r="G19" s="926">
        <f>'数据-取费表'!B2</f>
        <v>43622</v>
      </c>
      <c r="H19" s="2790" t="s">
        <v>3086</v>
      </c>
      <c r="I19" s="927" t="str">
        <f>IF(H19="季度增幅（自定义）",SUMIF(N21:N24,E2,O21:O24),"")</f>
        <v/>
      </c>
      <c r="J19" s="2787"/>
      <c r="K19" s="1377"/>
      <c r="L19" s="2791" t="s">
        <v>2891</v>
      </c>
      <c r="M19" s="1734">
        <f>ROUND(SUMIF(地价!B2:F2,E2,地价!B26:F26),0)</f>
        <v>258</v>
      </c>
      <c r="N19" s="2792"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f ca="1">ROUND(POWER(1+G20,J20-I20)*(POWER(1+G20,I20)-1)/(POWER(1+G20,J20)-1),4)</f>
        <v>0.84850000000000003</v>
      </c>
      <c r="D20" s="2798" t="s">
        <v>2894</v>
      </c>
      <c r="E20" s="1768">
        <f ca="1">存贷款利率!D4/100</f>
        <v>4.3499999999999997E-2</v>
      </c>
      <c r="F20" s="2798" t="s">
        <v>2886</v>
      </c>
      <c r="G20" s="934">
        <f ca="1">SUMIF(M26:P26,E2,M28:P28)</f>
        <v>5.3999999999999999E-2</v>
      </c>
      <c r="H20" s="2798" t="s">
        <v>2895</v>
      </c>
      <c r="I20" s="935">
        <f>SUMIF('数据-取费表'!C6:C15,E2,'数据-取费表'!F6:F15)/COUNTIF('数据-取费表'!C6:C15,E2)</f>
        <v>25.98</v>
      </c>
      <c r="J20" s="936">
        <f>IF(E2="住宅",70,IF(E2="商业",40,50))</f>
        <v>40</v>
      </c>
      <c r="K20" s="1377"/>
      <c r="L20" s="2799" t="s">
        <v>2896</v>
      </c>
      <c r="M20" s="1735">
        <f>ROUND(SUMPRODUCT((地价!A4:A26=YEAR(G19)&amp;"-"&amp;ROUNDUP(MONTH(G19)/3,0))*(地价!B2:F2=E2)*(地价!B4:F26)),0)</f>
        <v>346</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0.64729999999999999</v>
      </c>
      <c r="D21" s="2805"/>
      <c r="E21" s="2805"/>
      <c r="F21" s="2805"/>
      <c r="G21" s="2805"/>
      <c r="H21" s="2805"/>
      <c r="I21" s="2805"/>
      <c r="J21" s="2806"/>
      <c r="K21" s="1377"/>
      <c r="N21" s="2807" t="s">
        <v>2901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10" t="s">
        <v>2904</v>
      </c>
      <c r="D22" s="1810">
        <f>IF(E22=G22,F22,IF(G3&lt;=10,ROUND(F22+(H22-F22)*(G3-E22)/(G22-E22),4),"——"))</f>
        <v>0.81299999999999994</v>
      </c>
      <c r="E22" s="916">
        <f>ROUNDDOWN(G3,1)</f>
        <v>5.2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0.81399999999999995</v>
      </c>
      <c r="G22" s="916">
        <f>ROUNDUP(G3,1)</f>
        <v>5.3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0.81059999999999999</v>
      </c>
      <c r="I22" s="1810" t="s">
        <v>155</v>
      </c>
      <c r="J22" s="938" t="str">
        <f>IF(G3&gt;10,D113,"——")</f>
        <v>——</v>
      </c>
      <c r="K22" s="1377"/>
      <c r="N22" s="2807" t="s">
        <v>2905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0.64729999999999999</v>
      </c>
      <c r="D23" s="2773"/>
      <c r="E23" s="2773"/>
      <c r="F23" s="2810"/>
      <c r="G23" s="2811"/>
      <c r="H23" s="2812"/>
      <c r="I23" s="2813"/>
      <c r="J23" s="2814"/>
      <c r="K23" s="1370"/>
      <c r="N23" s="2807" t="s">
        <v>2908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1.0508999999999999</v>
      </c>
      <c r="D24" s="2786"/>
      <c r="E24" s="2815"/>
      <c r="F24" s="2815"/>
      <c r="G24" s="2815"/>
      <c r="H24" s="2815"/>
      <c r="I24" s="2815"/>
      <c r="J24" s="2816"/>
      <c r="K24" s="1377"/>
      <c r="N24" s="2817" t="s">
        <v>2910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2913</v>
      </c>
      <c r="C26" s="206">
        <f ca="1">E29+SUM(E33:E39)</f>
        <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f ca="1">E30+SUM(I33:I39)</f>
        <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f ca="1">ROUND(C5*C18*C19*C20*C21*C24,0)</f>
        <v>9693</v>
      </c>
      <c r="D29" s="2837"/>
      <c r="E29" s="942">
        <f ca="1">ROUND(C29*D29/10000,0)</f>
        <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f ca="1">ROUND(IF(E2="工业",C29*M39,C29*M38),0)</f>
        <v>2423</v>
      </c>
      <c r="D30" s="2843"/>
      <c r="E30" s="942">
        <f ca="1">ROUND(C30*D30/10000,0)</f>
        <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37" t="s">
        <v>2927</v>
      </c>
      <c r="B33" s="2853" t="s">
        <v>2928</v>
      </c>
      <c r="C33" s="206">
        <f ca="1">ROUND(D5*C19*C20*C24*F33,0)</f>
        <v>9590</v>
      </c>
      <c r="D33" s="2837"/>
      <c r="E33" s="200">
        <f ca="1">ROUND(C33*D33/10000,0)</f>
        <v>0</v>
      </c>
      <c r="F33" s="200">
        <f>SUMIF(修正!A45:A56,G2,修正!B45:B56)</f>
        <v>0.7</v>
      </c>
      <c r="G33" s="200">
        <f t="shared" ref="G33" ca="1" si="6">ROUND(IF(E2="工业",C33*$M$39,C33*$M$38),0)</f>
        <v>2398</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8"/>
      <c r="B34" s="2765" t="s">
        <v>2929</v>
      </c>
      <c r="C34" s="206">
        <f ca="1">ROUND(D5*C19*C20*C24*F34,0)</f>
        <v>5480</v>
      </c>
      <c r="D34" s="2837"/>
      <c r="E34" s="200">
        <f t="shared" ref="E34:E39" ca="1" si="7">ROUND(C34*D34/10000,0)</f>
        <v>0</v>
      </c>
      <c r="F34" s="200">
        <f>SUMIF(修正!A45:A56,G2,修正!C45:C56)</f>
        <v>0.4</v>
      </c>
      <c r="G34" s="200">
        <f ca="1">ROUND(IF(E2="工业",C34*$M$39,C34*$M$38),0)</f>
        <v>1370</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8"/>
      <c r="B35" s="2765" t="s">
        <v>2930</v>
      </c>
      <c r="C35" s="206">
        <f ca="1">ROUND(D5*C19*C20*C24*F35,0)</f>
        <v>3836</v>
      </c>
      <c r="D35" s="2837"/>
      <c r="E35" s="200">
        <f t="shared" ca="1" si="7"/>
        <v>0</v>
      </c>
      <c r="F35" s="200">
        <f>SUMIF(修正!A45:A56,G2,修正!D45:D56)</f>
        <v>0.28000000000000003</v>
      </c>
      <c r="G35" s="200">
        <f ca="1">ROUND(IF(E2="工业",C35*$M$39,C35*$M$38),0)</f>
        <v>959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39"/>
      <c r="B36" s="2765" t="s">
        <v>2931</v>
      </c>
      <c r="C36" s="206">
        <f ca="1">ROUND(D5*C19*C20*C24*F36,0)</f>
        <v>3425</v>
      </c>
      <c r="D36" s="2837"/>
      <c r="E36" s="200">
        <f t="shared" ca="1" si="7"/>
        <v>0</v>
      </c>
      <c r="F36" s="200">
        <f>SUMIF(修正!A45:A56,G2,修正!E45:E56)</f>
        <v>0.25</v>
      </c>
      <c r="G36" s="200">
        <f ca="1">ROUND(IF(E2="工业",C36*$M$39,C36*$M$38),0)</f>
        <v>856</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f ca="1">ROUND(D5*C19*C20*C24*F37,0)</f>
        <v>3425</v>
      </c>
      <c r="D37" s="2837"/>
      <c r="E37" s="200">
        <f t="shared" ca="1" si="7"/>
        <v>0</v>
      </c>
      <c r="F37" s="206">
        <f>SUMIF(修正!A45:A56,G2,修正!F45:F56)</f>
        <v>0.25</v>
      </c>
      <c r="G37" s="200">
        <f ca="1">ROUND(IF(E2="工业",C37*$M$39,C37*$M$38),0)</f>
        <v>856</v>
      </c>
      <c r="H37" s="200">
        <f t="shared" si="8"/>
        <v>0</v>
      </c>
      <c r="I37" s="200">
        <f t="shared" ca="1" si="9"/>
        <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f ca="1">ROUND(D5*C19*C41*C24*F38,0)</f>
        <v>3241</v>
      </c>
      <c r="D38" s="2837"/>
      <c r="E38" s="200">
        <f t="shared" ca="1" si="7"/>
        <v>0</v>
      </c>
      <c r="F38" s="206">
        <f>SUMIF(修正!A45:A56,G2,修正!G45:G56)</f>
        <v>0.25</v>
      </c>
      <c r="G38" s="200">
        <f ca="1">ROUND(IF(E2="工业",C38*$M$39,C38*$M$38),0)</f>
        <v>810</v>
      </c>
      <c r="H38" s="200">
        <f t="shared" si="8"/>
        <v>0</v>
      </c>
      <c r="I38" s="200">
        <f t="shared" ca="1" si="9"/>
        <v>0</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f ca="1">ROUND(D5*C19*C41*C24*F39,0)</f>
        <v>2593</v>
      </c>
      <c r="D39" s="2843"/>
      <c r="E39" s="229">
        <f t="shared" ca="1" si="7"/>
        <v>0</v>
      </c>
      <c r="F39" s="932">
        <f>SUMIF(修正!A45:A56,G2,修正!H45:H56)</f>
        <v>0.2</v>
      </c>
      <c r="G39" s="229">
        <f ca="1">ROUND(IF(E2="工业",C39*$M$39,C39*$M$38),0)</f>
        <v>648</v>
      </c>
      <c r="H39" s="229">
        <f t="shared" si="8"/>
        <v>0</v>
      </c>
      <c r="I39" s="229">
        <f t="shared" ca="1" si="9"/>
        <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18.75" customHeight="1">
      <c r="A41" s="1371"/>
      <c r="B41" s="2930" t="s">
        <v>3046</v>
      </c>
      <c r="C41" s="388">
        <f ca="1">ROUND(POWER(1+E41,H41-G41)*(POWER(1+E41,G41)-1)/(POWER(1+E41,H41)-1),4)</f>
        <v>0.80289999999999995</v>
      </c>
      <c r="D41" s="200" t="s">
        <v>2886</v>
      </c>
      <c r="E41" s="2929">
        <f ca="1">G20</f>
        <v>5.3999999999999999E-2</v>
      </c>
      <c r="F41" s="200" t="s">
        <v>2895</v>
      </c>
      <c r="G41" s="218">
        <f>项目基本情况!E15</f>
        <v>25.98</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1.0508999999999999</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9" t="s">
        <v>2940</v>
      </c>
      <c r="C47" s="1809" t="s">
        <v>2941</v>
      </c>
      <c r="D47" s="1809" t="s">
        <v>2942</v>
      </c>
      <c r="E47" s="819" t="s">
        <v>2943</v>
      </c>
      <c r="F47" s="2871" t="s">
        <v>2944</v>
      </c>
      <c r="G47" s="1809" t="s">
        <v>754</v>
      </c>
      <c r="H47" s="2872" t="s">
        <v>2945</v>
      </c>
      <c r="I47" s="1809"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t="s">
        <v>3087</v>
      </c>
      <c r="D48" s="1286">
        <f t="shared" ref="D48:D56" si="10">SUMIF($J$47:$N$47,C48,J48:N48)</f>
        <v>1.6299999999999999E-2</v>
      </c>
      <c r="E48" s="821">
        <f>ROUND(SUM(D48:D56),4)</f>
        <v>5.0900000000000001E-2</v>
      </c>
      <c r="F48" s="2501">
        <f>IF(E2="商业",SUMIF(L1:L12,G2,N1:N12),"——")</f>
        <v>9.9000000000000005E-2</v>
      </c>
      <c r="G48" s="1284">
        <f>H48</f>
        <v>1.6299999999999999E-2</v>
      </c>
      <c r="H48" s="1288">
        <f t="shared" ref="H48:H56" si="11">IFERROR(ROUNDDOWN($F$48*I48/2,4),"——")</f>
        <v>1.6299999999999999E-2</v>
      </c>
      <c r="I48" s="820">
        <v>0.33</v>
      </c>
      <c r="J48" s="1285">
        <f t="shared" ref="J48:J56" si="12">K48+$G48</f>
        <v>3.2599999999999997E-2</v>
      </c>
      <c r="K48" s="1285">
        <f t="shared" ref="K48:K56" si="13">$L48+$G48</f>
        <v>1.6299999999999999E-2</v>
      </c>
      <c r="L48" s="1285">
        <v>0</v>
      </c>
      <c r="M48" s="1285">
        <f t="shared" ref="M48:N56" si="14">L48-$G48</f>
        <v>-1.6299999999999999E-2</v>
      </c>
      <c r="N48" s="1285">
        <f t="shared" si="14"/>
        <v>-3.2599999999999997E-2</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t="s">
        <v>3087</v>
      </c>
      <c r="D49" s="1286">
        <f t="shared" si="10"/>
        <v>1.23E-2</v>
      </c>
      <c r="E49" s="822"/>
      <c r="F49" s="2501"/>
      <c r="G49" s="1284">
        <f t="shared" ref="G49:G56" si="15">H49</f>
        <v>1.23E-2</v>
      </c>
      <c r="H49" s="1288">
        <f t="shared" si="11"/>
        <v>1.23E-2</v>
      </c>
      <c r="I49" s="820">
        <v>0.25</v>
      </c>
      <c r="J49" s="1285">
        <f t="shared" si="12"/>
        <v>2.46E-2</v>
      </c>
      <c r="K49" s="1285">
        <f t="shared" si="13"/>
        <v>1.23E-2</v>
      </c>
      <c r="L49" s="1285">
        <v>0</v>
      </c>
      <c r="M49" s="1285">
        <f t="shared" si="14"/>
        <v>-1.23E-2</v>
      </c>
      <c r="N49" s="1285">
        <f t="shared" si="14"/>
        <v>-2.46E-2</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t="s">
        <v>3087</v>
      </c>
      <c r="D50" s="1286">
        <f t="shared" si="10"/>
        <v>2.3999999999999998E-3</v>
      </c>
      <c r="E50" s="822"/>
      <c r="F50" s="2501"/>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0" t="s">
        <v>2950</v>
      </c>
      <c r="B51" s="2875" t="s">
        <v>2951</v>
      </c>
      <c r="C51" s="2770" t="s">
        <v>3087</v>
      </c>
      <c r="D51" s="1286">
        <f t="shared" si="10"/>
        <v>2.3999999999999998E-3</v>
      </c>
      <c r="E51" s="822"/>
      <c r="F51" s="2501"/>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t="s">
        <v>3087</v>
      </c>
      <c r="D52" s="1286">
        <f t="shared" si="10"/>
        <v>3.8999999999999998E-3</v>
      </c>
      <c r="E52" s="822"/>
      <c r="F52" s="2501"/>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0" t="s">
        <v>2953</v>
      </c>
      <c r="B53" s="2876" t="s">
        <v>2954</v>
      </c>
      <c r="C53" s="2770" t="s">
        <v>3087</v>
      </c>
      <c r="D53" s="1286">
        <f t="shared" si="10"/>
        <v>1.4E-3</v>
      </c>
      <c r="E53" s="822"/>
      <c r="F53" s="2501"/>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77" t="s">
        <v>2955</v>
      </c>
      <c r="B54" s="1725" t="str">
        <f>估价对象房地状况!C21</f>
        <v>估价对象所在区域公共配套设施齐备情况</v>
      </c>
      <c r="C54" s="2770" t="s">
        <v>3087</v>
      </c>
      <c r="D54" s="1286">
        <f t="shared" si="10"/>
        <v>2.3999999999999998E-3</v>
      </c>
      <c r="E54" s="822"/>
      <c r="F54" s="2501"/>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t="s">
        <v>3088</v>
      </c>
      <c r="D55" s="1286">
        <f t="shared" si="10"/>
        <v>9.7999999999999997E-3</v>
      </c>
      <c r="E55" s="822"/>
      <c r="F55" s="2501"/>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t="s">
        <v>3089</v>
      </c>
      <c r="D56" s="1286">
        <f t="shared" si="10"/>
        <v>0</v>
      </c>
      <c r="E56" s="825"/>
      <c r="F56" s="2501"/>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9"/>
      <c r="C58" s="1809" t="s">
        <v>2941</v>
      </c>
      <c r="D58" s="1809" t="s">
        <v>2942</v>
      </c>
      <c r="E58" s="819" t="s">
        <v>2943</v>
      </c>
      <c r="F58" s="2871" t="s">
        <v>2959</v>
      </c>
      <c r="G58" s="1809" t="s">
        <v>754</v>
      </c>
      <c r="H58" s="2872" t="s">
        <v>2945</v>
      </c>
      <c r="I58" s="1809"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0" t="s">
        <v>2955</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0" t="s">
        <v>2956</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9"/>
      <c r="C69" s="1809" t="s">
        <v>2941</v>
      </c>
      <c r="D69" s="1809" t="s">
        <v>2942</v>
      </c>
      <c r="E69" s="819" t="s">
        <v>2943</v>
      </c>
      <c r="F69" s="2871" t="s">
        <v>2959</v>
      </c>
      <c r="G69" s="1809" t="s">
        <v>754</v>
      </c>
      <c r="H69" s="2872" t="s">
        <v>2945</v>
      </c>
      <c r="I69" s="1809"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2955</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2956</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2964</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9"/>
      <c r="C80" s="1809" t="s">
        <v>2941</v>
      </c>
      <c r="D80" s="1809" t="s">
        <v>2942</v>
      </c>
      <c r="E80" s="819" t="s">
        <v>2943</v>
      </c>
      <c r="F80" s="2871" t="s">
        <v>2959</v>
      </c>
      <c r="G80" s="1809" t="s">
        <v>754</v>
      </c>
      <c r="H80" s="2872" t="s">
        <v>2945</v>
      </c>
      <c r="I80" s="1809"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2949</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2963</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2955</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2956</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2953</v>
      </c>
      <c r="B87" s="2876" t="s">
        <v>2967</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231" t="s">
        <v>2969</v>
      </c>
      <c r="B90" s="3231"/>
      <c r="C90" s="3231"/>
      <c r="D90" s="3231"/>
      <c r="E90" s="3231"/>
      <c r="F90" s="3231"/>
      <c r="G90" s="3231"/>
      <c r="H90" s="3231"/>
      <c r="I90" s="3231"/>
      <c r="J90" s="3231"/>
      <c r="K90" s="2884"/>
      <c r="L90" s="2884"/>
      <c r="M90" s="2884"/>
      <c r="N90" s="2884"/>
    </row>
    <row r="91" spans="1:37">
      <c r="A91" s="3233" t="s">
        <v>2970</v>
      </c>
      <c r="B91" s="3233" t="s">
        <v>2971</v>
      </c>
      <c r="C91" s="2838" t="s">
        <v>2972</v>
      </c>
      <c r="D91" s="2839"/>
      <c r="E91" s="2839"/>
      <c r="F91" s="2839"/>
      <c r="G91" s="2839"/>
      <c r="H91" s="2839"/>
      <c r="I91" s="2839"/>
      <c r="J91" s="2885"/>
      <c r="K91" s="2886"/>
      <c r="L91" s="2886"/>
      <c r="M91" s="2886"/>
      <c r="N91" s="2886"/>
    </row>
    <row r="92" spans="1:37">
      <c r="A92" s="3233"/>
      <c r="B92" s="323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3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3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3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3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3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3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35"/>
      <c r="B99" s="2887" t="s">
        <v>2854</v>
      </c>
      <c r="C99" s="2889">
        <f>$I$3</f>
        <v>7</v>
      </c>
      <c r="D99" s="2889">
        <f t="shared" ref="D99:M99" si="31">$I$3</f>
        <v>7</v>
      </c>
      <c r="E99" s="2889">
        <f t="shared" si="31"/>
        <v>7</v>
      </c>
      <c r="F99" s="2889">
        <f t="shared" si="31"/>
        <v>7</v>
      </c>
      <c r="G99" s="2889">
        <f t="shared" si="31"/>
        <v>7</v>
      </c>
      <c r="H99" s="2889">
        <f t="shared" si="31"/>
        <v>7</v>
      </c>
      <c r="I99" s="2889">
        <f t="shared" si="31"/>
        <v>7</v>
      </c>
      <c r="J99" s="2889">
        <f t="shared" si="31"/>
        <v>7</v>
      </c>
      <c r="K99" s="2889">
        <f t="shared" si="31"/>
        <v>7</v>
      </c>
      <c r="L99" s="2889">
        <f t="shared" si="31"/>
        <v>7</v>
      </c>
      <c r="M99" s="2889">
        <f t="shared" si="31"/>
        <v>7</v>
      </c>
      <c r="N99" s="2889">
        <f>$I$3</f>
        <v>7</v>
      </c>
    </row>
    <row r="100" spans="1:14">
      <c r="A100" s="3236"/>
      <c r="B100" s="2887">
        <v>7</v>
      </c>
      <c r="C100" s="2890">
        <f>(-0.163*(C99^2)-0.59*C99+7617)*(10^(-4))</f>
        <v>0.76048830000000001</v>
      </c>
      <c r="D100" s="2890">
        <f>(-0.163*(D99^2)-0.59*D99+7617)*(10^(-4))</f>
        <v>0.76048830000000001</v>
      </c>
      <c r="E100" s="2890">
        <f>(-0.161*(E99^2)-7.509*E99+6533)*(10^(-4))</f>
        <v>0.64725480000000002</v>
      </c>
      <c r="F100" s="2890">
        <f>(-0.161*(F99^2)-7.509*F99+6533)*(10^(-4))</f>
        <v>0.64725480000000002</v>
      </c>
      <c r="G100" s="2890">
        <f>(-0.161*(G99^2)-7.509*G99+6533)*(10^(-4))</f>
        <v>0.64725480000000002</v>
      </c>
      <c r="H100" s="2890">
        <f>(-0.161*(H99^2)-7.509*H99+6533)*(10^(-4))</f>
        <v>0.64725480000000002</v>
      </c>
      <c r="I100" s="2890">
        <f>(-0.161*(I99^2)-7.509*I99+6533)*(10^(-4))</f>
        <v>0.64725480000000002</v>
      </c>
      <c r="J100" s="2890">
        <f>(-0.214*(J99^2)-21.991*J99+4665)*(10^(-4))</f>
        <v>0.45005770000000006</v>
      </c>
      <c r="K100" s="2890">
        <f>(-0.214*(K99^2)-21.991*K99+4665)*(10^(-4))</f>
        <v>0.45005770000000006</v>
      </c>
      <c r="L100" s="2890">
        <f>(-0.214*(L99^2)-21.991*L99+4665)*(10^(-4))</f>
        <v>0.45005770000000006</v>
      </c>
      <c r="M100" s="2890">
        <f>(-0.214*(M99^2)-21.991*M99+4665)*(10^(-4))</f>
        <v>0.45005770000000006</v>
      </c>
      <c r="N100" s="2890">
        <f>(-0.214*(N99^2)-21.991*N99+4665)*(10^(-4))</f>
        <v>0.45005770000000006</v>
      </c>
    </row>
    <row r="101" spans="1:14">
      <c r="A101" s="3234" t="s">
        <v>2974</v>
      </c>
      <c r="B101" s="2891" t="s">
        <v>2975</v>
      </c>
      <c r="C101" s="2892">
        <f>$G$3</f>
        <v>5.23</v>
      </c>
      <c r="D101" s="2892">
        <f t="shared" ref="D101:N101" si="32">$G$3</f>
        <v>5.23</v>
      </c>
      <c r="E101" s="2892">
        <f t="shared" si="32"/>
        <v>5.23</v>
      </c>
      <c r="F101" s="2892">
        <f t="shared" si="32"/>
        <v>5.23</v>
      </c>
      <c r="G101" s="2892">
        <f t="shared" si="32"/>
        <v>5.23</v>
      </c>
      <c r="H101" s="2892">
        <f t="shared" si="32"/>
        <v>5.23</v>
      </c>
      <c r="I101" s="2892">
        <f t="shared" si="32"/>
        <v>5.23</v>
      </c>
      <c r="J101" s="2892">
        <f t="shared" si="32"/>
        <v>5.23</v>
      </c>
      <c r="K101" s="2892">
        <f t="shared" si="32"/>
        <v>5.23</v>
      </c>
      <c r="L101" s="2892">
        <f t="shared" si="32"/>
        <v>5.23</v>
      </c>
      <c r="M101" s="2892">
        <f t="shared" si="32"/>
        <v>5.23</v>
      </c>
      <c r="N101" s="2892">
        <f t="shared" si="32"/>
        <v>5.23</v>
      </c>
    </row>
    <row r="102" spans="1:14">
      <c r="A102" s="3235"/>
      <c r="B102" s="2887">
        <v>1</v>
      </c>
      <c r="C102" s="2888">
        <f>1.9362/C101</f>
        <v>0.3702103250478011</v>
      </c>
      <c r="D102" s="2888">
        <f>1.9362/D101</f>
        <v>0.3702103250478011</v>
      </c>
      <c r="E102" s="2888">
        <f>1.8629/E101</f>
        <v>0.35619502868068831</v>
      </c>
      <c r="F102" s="2888">
        <f>1.8629/F101</f>
        <v>0.35619502868068831</v>
      </c>
      <c r="G102" s="2888">
        <f>1.8629/G101</f>
        <v>0.35619502868068831</v>
      </c>
      <c r="H102" s="2888">
        <f>1.8629/H101</f>
        <v>0.35619502868068831</v>
      </c>
      <c r="I102" s="2888">
        <f>1.8629/I101</f>
        <v>0.35619502868068831</v>
      </c>
      <c r="J102" s="2888">
        <f>1.942/J101</f>
        <v>0.37131931166347987</v>
      </c>
      <c r="K102" s="2888">
        <f>1.942/K101</f>
        <v>0.37131931166347987</v>
      </c>
      <c r="L102" s="2888">
        <f>1.942/L101</f>
        <v>0.37131931166347987</v>
      </c>
      <c r="M102" s="2888">
        <f>1.942/M101</f>
        <v>0.37131931166347987</v>
      </c>
      <c r="N102" s="2888">
        <f>1.942/N101</f>
        <v>0.37131931166347987</v>
      </c>
    </row>
    <row r="103" spans="1:14">
      <c r="A103" s="3235"/>
      <c r="B103" s="2887">
        <v>2</v>
      </c>
      <c r="C103" s="2888">
        <f>1.4198/C101</f>
        <v>0.27147227533460799</v>
      </c>
      <c r="D103" s="2888">
        <f>1.4198/D101</f>
        <v>0.27147227533460799</v>
      </c>
      <c r="E103" s="2888">
        <f>1.3372/E101</f>
        <v>0.25567877629063096</v>
      </c>
      <c r="F103" s="2888">
        <f>1.3372/F101</f>
        <v>0.25567877629063096</v>
      </c>
      <c r="G103" s="2888">
        <f>1.3372/G101</f>
        <v>0.25567877629063096</v>
      </c>
      <c r="H103" s="2888">
        <f>1.3372/H101</f>
        <v>0.25567877629063096</v>
      </c>
      <c r="I103" s="2888">
        <f>1.3372/I101</f>
        <v>0.25567877629063096</v>
      </c>
      <c r="J103" s="2888">
        <f>1.2799/J101</f>
        <v>0.24472275334608029</v>
      </c>
      <c r="K103" s="2888">
        <f>1.2799/K101</f>
        <v>0.24472275334608029</v>
      </c>
      <c r="L103" s="2888">
        <f>1.2799/L101</f>
        <v>0.24472275334608029</v>
      </c>
      <c r="M103" s="2888">
        <f>1.2799/M101</f>
        <v>0.24472275334608029</v>
      </c>
      <c r="N103" s="2888">
        <f>1.2799/N101</f>
        <v>0.24472275334608029</v>
      </c>
    </row>
    <row r="104" spans="1:14">
      <c r="A104" s="3235"/>
      <c r="B104" s="2887">
        <v>3</v>
      </c>
      <c r="C104" s="2888">
        <f>1.1594/C101</f>
        <v>0.22168260038240917</v>
      </c>
      <c r="D104" s="2888">
        <f>1.1594/D101</f>
        <v>0.22168260038240917</v>
      </c>
      <c r="E104" s="2888">
        <f>1.0788/E101</f>
        <v>0.20627151051625237</v>
      </c>
      <c r="F104" s="2888">
        <f>1.0788/F101</f>
        <v>0.20627151051625237</v>
      </c>
      <c r="G104" s="2888">
        <f>1.0788/G101</f>
        <v>0.20627151051625237</v>
      </c>
      <c r="H104" s="2888">
        <f>1.0788/H101</f>
        <v>0.20627151051625237</v>
      </c>
      <c r="I104" s="2888">
        <f>1.0788/I101</f>
        <v>0.20627151051625237</v>
      </c>
      <c r="J104" s="2888">
        <f>1.0072/J101</f>
        <v>0.1925812619502868</v>
      </c>
      <c r="K104" s="2888">
        <f>1.0072/K101</f>
        <v>0.1925812619502868</v>
      </c>
      <c r="L104" s="2888">
        <f>1.0072/L101</f>
        <v>0.1925812619502868</v>
      </c>
      <c r="M104" s="2888">
        <f>1.0072/M101</f>
        <v>0.1925812619502868</v>
      </c>
      <c r="N104" s="2888">
        <f>1.0072/N101</f>
        <v>0.1925812619502868</v>
      </c>
    </row>
    <row r="105" spans="1:14">
      <c r="A105" s="3235"/>
      <c r="B105" s="2887">
        <v>4</v>
      </c>
      <c r="C105" s="2888">
        <f>0.9622/C101</f>
        <v>0.18397705544933077</v>
      </c>
      <c r="D105" s="2888">
        <f>0.9622/D101</f>
        <v>0.18397705544933077</v>
      </c>
      <c r="E105" s="2888">
        <f>0.8656/E101</f>
        <v>0.16550669216061184</v>
      </c>
      <c r="F105" s="2888">
        <f>0.8656/F101</f>
        <v>0.16550669216061184</v>
      </c>
      <c r="G105" s="2888">
        <f>0.8656/G101</f>
        <v>0.16550669216061184</v>
      </c>
      <c r="H105" s="2888">
        <f>0.8656/H101</f>
        <v>0.16550669216061184</v>
      </c>
      <c r="I105" s="2888">
        <f>0.8656/I101</f>
        <v>0.16550669216061184</v>
      </c>
      <c r="J105" s="2888">
        <f>0.7525/J101</f>
        <v>0.14388145315487569</v>
      </c>
      <c r="K105" s="2888">
        <f>0.7525/K101</f>
        <v>0.14388145315487569</v>
      </c>
      <c r="L105" s="2888">
        <f>0.7525/L101</f>
        <v>0.14388145315487569</v>
      </c>
      <c r="M105" s="2888">
        <f>0.7525/M101</f>
        <v>0.14388145315487569</v>
      </c>
      <c r="N105" s="2888">
        <f>0.7525/N101</f>
        <v>0.14388145315487569</v>
      </c>
    </row>
    <row r="106" spans="1:14">
      <c r="A106" s="3235"/>
      <c r="B106" s="2887">
        <v>5</v>
      </c>
      <c r="C106" s="2888">
        <f>0.8417/C101</f>
        <v>0.16093690248565964</v>
      </c>
      <c r="D106" s="2888">
        <f>0.8417/D101</f>
        <v>0.16093690248565964</v>
      </c>
      <c r="E106" s="2888">
        <f>0.7371/E101</f>
        <v>0.14093690248565963</v>
      </c>
      <c r="F106" s="2888">
        <f>0.7371/F101</f>
        <v>0.14093690248565963</v>
      </c>
      <c r="G106" s="2888">
        <f>0.7371/G101</f>
        <v>0.14093690248565963</v>
      </c>
      <c r="H106" s="2888">
        <f>0.7371/H101</f>
        <v>0.14093690248565963</v>
      </c>
      <c r="I106" s="2888">
        <f>0.7371/I101</f>
        <v>0.14093690248565963</v>
      </c>
      <c r="J106" s="2888">
        <f>0.5659/J101</f>
        <v>0.10820267686424473</v>
      </c>
      <c r="K106" s="2888">
        <f>0.5659/K101</f>
        <v>0.10820267686424473</v>
      </c>
      <c r="L106" s="2888">
        <f>0.5659/L101</f>
        <v>0.10820267686424473</v>
      </c>
      <c r="M106" s="2888">
        <f>0.5659/M101</f>
        <v>0.10820267686424473</v>
      </c>
      <c r="N106" s="2888">
        <f>0.5659/N101</f>
        <v>0.10820267686424473</v>
      </c>
    </row>
    <row r="107" spans="1:14">
      <c r="A107" s="3235"/>
      <c r="B107" s="2887">
        <v>6</v>
      </c>
      <c r="C107" s="2888">
        <f>0.7608/C101</f>
        <v>0.14546845124282981</v>
      </c>
      <c r="D107" s="2888">
        <f>0.7608/D101</f>
        <v>0.14546845124282981</v>
      </c>
      <c r="E107" s="2888">
        <f>0.6482/E101</f>
        <v>0.12393881453154874</v>
      </c>
      <c r="F107" s="2888">
        <f>0.6482/F101</f>
        <v>0.12393881453154874</v>
      </c>
      <c r="G107" s="2888">
        <f>0.6482/G101</f>
        <v>0.12393881453154874</v>
      </c>
      <c r="H107" s="2888">
        <f>0.6482/H101</f>
        <v>0.12393881453154874</v>
      </c>
      <c r="I107" s="2888">
        <f>0.6482/I101</f>
        <v>0.12393881453154874</v>
      </c>
      <c r="J107" s="2888">
        <f>0.4525/J101</f>
        <v>8.6520076481835559E-2</v>
      </c>
      <c r="K107" s="2888">
        <f>0.4525/K101</f>
        <v>8.6520076481835559E-2</v>
      </c>
      <c r="L107" s="2888">
        <f>0.4525/L101</f>
        <v>8.6520076481835559E-2</v>
      </c>
      <c r="M107" s="2888">
        <f>0.4525/M101</f>
        <v>8.6520076481835559E-2</v>
      </c>
      <c r="N107" s="2888">
        <f>0.4525/N101</f>
        <v>8.6520076481835559E-2</v>
      </c>
    </row>
    <row r="108" spans="1:14">
      <c r="A108" s="3235"/>
      <c r="B108" s="3145" t="s">
        <v>2976</v>
      </c>
      <c r="C108" s="2889">
        <f>C99</f>
        <v>7</v>
      </c>
      <c r="D108" s="2889">
        <f t="shared" ref="D108:N108" si="33">D99</f>
        <v>7</v>
      </c>
      <c r="E108" s="2889">
        <f t="shared" si="33"/>
        <v>7</v>
      </c>
      <c r="F108" s="2889">
        <f t="shared" si="33"/>
        <v>7</v>
      </c>
      <c r="G108" s="2889">
        <f t="shared" si="33"/>
        <v>7</v>
      </c>
      <c r="H108" s="2889">
        <f t="shared" si="33"/>
        <v>7</v>
      </c>
      <c r="I108" s="2889">
        <f t="shared" si="33"/>
        <v>7</v>
      </c>
      <c r="J108" s="2889">
        <f t="shared" si="33"/>
        <v>7</v>
      </c>
      <c r="K108" s="2889">
        <f t="shared" si="33"/>
        <v>7</v>
      </c>
      <c r="L108" s="2889">
        <f t="shared" si="33"/>
        <v>7</v>
      </c>
      <c r="M108" s="2889">
        <f t="shared" si="33"/>
        <v>7</v>
      </c>
      <c r="N108" s="2889">
        <f t="shared" si="33"/>
        <v>7</v>
      </c>
    </row>
    <row r="109" spans="1:14">
      <c r="A109" s="3236"/>
      <c r="B109" s="3146"/>
      <c r="C109" s="2890">
        <f>(-0.163*(C108^2)-0.59*C108+7617)*(10^(-4))/C101</f>
        <v>0.14540885277246654</v>
      </c>
      <c r="D109" s="2890">
        <f>(-0.163*(D108^2)-0.59*D108+7617)*(10^(-4))/D101</f>
        <v>0.14540885277246654</v>
      </c>
      <c r="E109" s="2890">
        <f>(-0.161*(E108^2)-7.509*E108+6533)*(10^(-4))/E101</f>
        <v>0.12375808795411089</v>
      </c>
      <c r="F109" s="2890">
        <f>(-0.161*(F108^2)-7.509*F108+6533)*(10^(-4))/F101</f>
        <v>0.12375808795411089</v>
      </c>
      <c r="G109" s="2890">
        <f>(-0.161*(G108^2)-7.509*G108+6533)*(10^(-4))/G101</f>
        <v>0.12375808795411089</v>
      </c>
      <c r="H109" s="2890">
        <f>(-0.161*(H108^2)-7.509*H108+6533)*(10^(-4))/H101</f>
        <v>0.12375808795411089</v>
      </c>
      <c r="I109" s="2890">
        <f>(-0.161*(I108^2)-7.509*I108+6533)*(10^(-4))/I101</f>
        <v>0.12375808795411089</v>
      </c>
      <c r="J109" s="2890">
        <f>(-0.214*(J108^2)-21.991*J108+4665)*(10^(-4))/J101</f>
        <v>8.6053097514340343E-2</v>
      </c>
      <c r="K109" s="2890">
        <f>(-0.214*(K108^2)-21.991*K108+4665)*(10^(-4))/K101</f>
        <v>8.6053097514340343E-2</v>
      </c>
      <c r="L109" s="2890">
        <f>(-0.214*(L108^2)-21.991*L108+4665)*(10^(-4))/L101</f>
        <v>8.6053097514340343E-2</v>
      </c>
      <c r="M109" s="2890">
        <f>(-0.214*(M108^2)-21.991*M108+4665)*(10^(-4))/M101</f>
        <v>8.6053097514340343E-2</v>
      </c>
      <c r="N109" s="2890">
        <f>(-0.214*(N108^2)-21.991*N108+4665)*(10^(-4))/N101</f>
        <v>8.6053097514340343E-2</v>
      </c>
    </row>
    <row r="110" spans="1:14">
      <c r="A110" s="3232" t="s">
        <v>2977</v>
      </c>
      <c r="B110" s="3232"/>
      <c r="C110" s="3232"/>
      <c r="D110" s="3232"/>
      <c r="E110" s="3232"/>
      <c r="F110" s="3232"/>
      <c r="G110" s="3232"/>
      <c r="H110" s="3232"/>
      <c r="I110" s="3232"/>
      <c r="J110" s="3232"/>
      <c r="K110" s="2893"/>
      <c r="L110" s="2893"/>
      <c r="M110" s="2893"/>
      <c r="N110" s="2893"/>
    </row>
    <row r="112" spans="1:14" ht="13.5" thickBot="1"/>
    <row r="113" spans="1:13" ht="25.5" thickBot="1">
      <c r="A113" s="903" t="s">
        <v>2978</v>
      </c>
      <c r="B113" s="1287">
        <f>G3</f>
        <v>5.23</v>
      </c>
      <c r="C113" s="904" t="s">
        <v>2979</v>
      </c>
      <c r="D113" s="905">
        <f>SUMPRODUCT((A115:A118=F113)*(B114:M114=H113)*B115:M118)</f>
        <v>0.77610000000000001</v>
      </c>
      <c r="E113" s="2724" t="s">
        <v>2811</v>
      </c>
      <c r="F113" s="2895" t="str">
        <f>E2</f>
        <v>商业</v>
      </c>
      <c r="G113" s="2724" t="s">
        <v>2812</v>
      </c>
      <c r="H113" s="2895" t="str">
        <f>G2</f>
        <v>五级</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0.88429999999999997</v>
      </c>
      <c r="C115" s="910">
        <f>B115</f>
        <v>0.88429999999999997</v>
      </c>
      <c r="D115" s="910">
        <f>ROUND(0.8331-0.0109*B113,4)</f>
        <v>0.77610000000000001</v>
      </c>
      <c r="E115" s="910">
        <f>D115</f>
        <v>0.77610000000000001</v>
      </c>
      <c r="F115" s="910">
        <f>E115</f>
        <v>0.77610000000000001</v>
      </c>
      <c r="G115" s="910">
        <f>F115</f>
        <v>0.77610000000000001</v>
      </c>
      <c r="H115" s="910">
        <f>G115</f>
        <v>0.77610000000000001</v>
      </c>
      <c r="I115" s="910">
        <f>ROUND(0.689-0.0155*B113,4)</f>
        <v>0.6079</v>
      </c>
      <c r="J115" s="910">
        <f t="shared" ref="J115:M118" si="34">I115</f>
        <v>0.6079</v>
      </c>
      <c r="K115" s="910">
        <f t="shared" si="34"/>
        <v>0.6079</v>
      </c>
      <c r="L115" s="910">
        <f t="shared" si="34"/>
        <v>0.6079</v>
      </c>
      <c r="M115" s="911">
        <f t="shared" si="34"/>
        <v>0.6079</v>
      </c>
    </row>
    <row r="116" spans="1:13">
      <c r="A116" s="909" t="s">
        <v>2877</v>
      </c>
      <c r="B116" s="910">
        <f>ROUND(0.949-0.012*B113,4)</f>
        <v>0.88619999999999999</v>
      </c>
      <c r="C116" s="910">
        <f>B116</f>
        <v>0.88619999999999999</v>
      </c>
      <c r="D116" s="910">
        <f>ROUND(0.8567-0.013*B113,4)</f>
        <v>0.78869999999999996</v>
      </c>
      <c r="E116" s="910">
        <f t="shared" ref="E116:H117" si="35">D116</f>
        <v>0.78869999999999996</v>
      </c>
      <c r="F116" s="910">
        <f t="shared" si="35"/>
        <v>0.78869999999999996</v>
      </c>
      <c r="G116" s="910">
        <f t="shared" si="35"/>
        <v>0.78869999999999996</v>
      </c>
      <c r="H116" s="910">
        <f t="shared" si="35"/>
        <v>0.78869999999999996</v>
      </c>
      <c r="I116" s="910">
        <f>ROUND(0.7694-0.014*B113,4)</f>
        <v>0.69620000000000004</v>
      </c>
      <c r="J116" s="910">
        <f t="shared" si="34"/>
        <v>0.69620000000000004</v>
      </c>
      <c r="K116" s="910">
        <f t="shared" si="34"/>
        <v>0.69620000000000004</v>
      </c>
      <c r="L116" s="910">
        <f t="shared" si="34"/>
        <v>0.69620000000000004</v>
      </c>
      <c r="M116" s="911">
        <f t="shared" si="34"/>
        <v>0.69620000000000004</v>
      </c>
    </row>
    <row r="117" spans="1:13">
      <c r="A117" s="909" t="s">
        <v>2878</v>
      </c>
      <c r="B117" s="910">
        <f>ROUND(0.8808-0.006*B113,4)</f>
        <v>0.84940000000000004</v>
      </c>
      <c r="C117" s="910">
        <f>B117</f>
        <v>0.84940000000000004</v>
      </c>
      <c r="D117" s="910">
        <f>ROUND(0.8748-0.008*B113,4)</f>
        <v>0.83299999999999996</v>
      </c>
      <c r="E117" s="910">
        <f t="shared" si="35"/>
        <v>0.83299999999999996</v>
      </c>
      <c r="F117" s="910">
        <f t="shared" si="35"/>
        <v>0.83299999999999996</v>
      </c>
      <c r="G117" s="910">
        <f t="shared" si="35"/>
        <v>0.83299999999999996</v>
      </c>
      <c r="H117" s="910">
        <f t="shared" si="35"/>
        <v>0.83299999999999996</v>
      </c>
      <c r="I117" s="910">
        <f>ROUND(0.7412-0.0095*B113,4)</f>
        <v>0.6915</v>
      </c>
      <c r="J117" s="910">
        <f t="shared" si="34"/>
        <v>0.6915</v>
      </c>
      <c r="K117" s="910">
        <f t="shared" si="34"/>
        <v>0.6915</v>
      </c>
      <c r="L117" s="910">
        <f t="shared" si="34"/>
        <v>0.6915</v>
      </c>
      <c r="M117" s="911">
        <f t="shared" si="34"/>
        <v>0.6915</v>
      </c>
    </row>
    <row r="118" spans="1:13" ht="13.5" thickBot="1">
      <c r="A118" s="714" t="s">
        <v>2879</v>
      </c>
      <c r="B118" s="912">
        <f>ROUND(0.7275-0.01*B113,4)</f>
        <v>0.67520000000000002</v>
      </c>
      <c r="C118" s="912">
        <f>B118</f>
        <v>0.67520000000000002</v>
      </c>
      <c r="D118" s="912">
        <f>ROUND(0.7043-0.012*B113,4)</f>
        <v>0.64149999999999996</v>
      </c>
      <c r="E118" s="912">
        <f>D118</f>
        <v>0.64149999999999996</v>
      </c>
      <c r="F118" s="912">
        <f>E118</f>
        <v>0.64149999999999996</v>
      </c>
      <c r="G118" s="912">
        <f>ROUND(0.6299-0.0122*B113,4)</f>
        <v>0.56610000000000005</v>
      </c>
      <c r="H118" s="912">
        <f>G118</f>
        <v>0.56610000000000005</v>
      </c>
      <c r="I118" s="912">
        <f>ROUND(0.5667-0.0136*B113,4)</f>
        <v>0.49559999999999998</v>
      </c>
      <c r="J118" s="912">
        <f t="shared" si="34"/>
        <v>0.49559999999999998</v>
      </c>
      <c r="K118" s="912">
        <f t="shared" si="34"/>
        <v>0.49559999999999998</v>
      </c>
      <c r="L118" s="912">
        <f t="shared" si="34"/>
        <v>0.49559999999999998</v>
      </c>
      <c r="M118" s="913">
        <f t="shared" si="34"/>
        <v>0.49559999999999998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3" priority="5" stopIfTrue="1" operator="notEqual">
      <formula>"——"</formula>
    </cfRule>
  </conditionalFormatting>
  <conditionalFormatting sqref="F59">
    <cfRule type="cellIs" dxfId="142" priority="4" stopIfTrue="1" operator="notEqual">
      <formula>"——"</formula>
    </cfRule>
  </conditionalFormatting>
  <conditionalFormatting sqref="F70">
    <cfRule type="cellIs" dxfId="141" priority="3" stopIfTrue="1" operator="notEqual">
      <formula>"——"</formula>
    </cfRule>
  </conditionalFormatting>
  <conditionalFormatting sqref="F81">
    <cfRule type="cellIs" dxfId="140" priority="2" stopIfTrue="1" operator="notEqual">
      <formula>"——"</formula>
    </cfRule>
  </conditionalFormatting>
  <conditionalFormatting sqref="H48:H56 H59:H67 H70:H78 H81:H88">
    <cfRule type="cellIs" dxfId="1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D35" sqref="D3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280110.75</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249149</v>
      </c>
      <c r="C2" s="2721" t="s">
        <v>2810</v>
      </c>
      <c r="D2" s="2722" t="s">
        <v>2811</v>
      </c>
      <c r="E2" s="2723" t="s">
        <v>27</v>
      </c>
      <c r="F2" s="2722" t="s">
        <v>2812</v>
      </c>
      <c r="G2" s="2724" t="str">
        <f>IF(E2="商业",项目基本情况!B37,IF(E2="办公",项目基本情况!C37,IF(E2="住宅",项目基本情况!D37,项目基本情况!E37)))</f>
        <v>五级</v>
      </c>
      <c r="H2" s="2722" t="s">
        <v>2813</v>
      </c>
      <c r="I2" s="2724" t="str">
        <f>IF(E2="商业",项目基本情况!B38,IF(E2="办公",项目基本情况!C38,IF(E2="住宅",项目基本情况!D38,项目基本情况!E38)))</f>
        <v>Ⅴ-16</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29888</v>
      </c>
      <c r="U2" s="1603"/>
      <c r="V2" s="1602">
        <f ca="1">ROUND(T2*U2/10000,0)</f>
        <v>0</v>
      </c>
      <c r="W2" s="1606"/>
      <c r="X2" s="1606"/>
      <c r="Y2" s="1606"/>
      <c r="Z2" s="1606"/>
      <c r="AA2" s="1606"/>
      <c r="AB2" s="1606"/>
      <c r="AC2" s="1607"/>
      <c r="AD2" s="1608"/>
      <c r="AE2" s="1608"/>
      <c r="AF2" s="1608"/>
      <c r="AG2" s="1608"/>
      <c r="AH2" s="1608"/>
      <c r="AI2" s="1608"/>
      <c r="AJ2" s="1609"/>
    </row>
    <row r="3" spans="1:36" ht="38.25">
      <c r="A3" s="247" t="s">
        <v>2815</v>
      </c>
      <c r="B3" s="248">
        <f ca="1">ROUND(B2*10000/D1,0)</f>
        <v>8895</v>
      </c>
      <c r="C3" s="2721" t="s">
        <v>2816</v>
      </c>
      <c r="D3" s="2722" t="s">
        <v>2817</v>
      </c>
      <c r="E3" s="2727" t="s">
        <v>3122</v>
      </c>
      <c r="F3" s="2728" t="s">
        <v>2818</v>
      </c>
      <c r="G3" s="916">
        <f>IF(F3="宗地容积率",'数据-汇总表'!I4,IF(F3="估价对象容积率",'数据-汇总表'!I6,'数据-汇总表'!I7))</f>
        <v>5.23</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21453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2"/>
      <c r="B4" s="3223"/>
      <c r="C4" s="3223"/>
      <c r="D4" s="3224"/>
      <c r="E4" s="3224"/>
      <c r="F4" s="3224"/>
      <c r="G4" s="3224"/>
      <c r="H4" s="3224"/>
      <c r="I4" s="3224"/>
      <c r="J4" s="3225"/>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17308</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f>ROUND(IF(E2="商业",C6*C7+C16,(IF(E2="住宅",C6*C12+C16,C6+C16))),0)</f>
        <v>11340</v>
      </c>
      <c r="D5" s="1787">
        <f>ROUND(IF(F17="增加",C6+C16,C6-C16),0)</f>
        <v>11380</v>
      </c>
      <c r="E5" s="1787"/>
      <c r="F5" s="2731"/>
      <c r="G5" s="2732"/>
      <c r="H5" s="2732"/>
      <c r="I5" s="2732"/>
      <c r="J5" s="2733"/>
      <c r="K5" s="2734"/>
      <c r="L5" s="2726" t="s">
        <v>2824</v>
      </c>
      <c r="M5" s="1081">
        <f>SUMPRODUCT((区片价!B76:B109=I2)*(区片价!C3:F3=E2)*(区片价!C76:F109))</f>
        <v>11360</v>
      </c>
      <c r="N5" s="1083">
        <f>SUMPRODUCT((因素修正幅度!B76:B109=I2)*(因素修正幅度!C3:F3=E2)*(因素修正幅度!C76:F109))</f>
        <v>9.9000000000000005E-2</v>
      </c>
      <c r="O5" s="1370"/>
      <c r="P5" s="1370"/>
      <c r="Q5" s="1370"/>
      <c r="R5" s="1602">
        <v>4</v>
      </c>
      <c r="S5" s="1602">
        <f>ROUND(IF(G3&gt;1,IF(R5&lt;7,SUMPRODUCT((B93:B98=R5)*(C92:N92=G2)*(C93:N98)),SUMIF(C92:N92,G2,C100:N100)),IF(R5&lt;7,SUMPRODUCT((B102:B107=R5)*(C92:N92=G2)*(C102:N107)),SUMIF(C92:N92,G2,C109:N109))),4)</f>
        <v>0.86560000000000004</v>
      </c>
      <c r="T5" s="1602">
        <f t="shared" ca="1" si="0"/>
        <v>13887</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11360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11826</v>
      </c>
      <c r="U6" s="1603"/>
      <c r="V6" s="1602">
        <f t="shared" ca="1" si="1"/>
        <v>0</v>
      </c>
      <c r="W6" s="1606"/>
      <c r="X6" s="1606"/>
      <c r="Y6" s="1606"/>
      <c r="Z6" s="1606"/>
      <c r="AA6" s="1606"/>
      <c r="AB6" s="1606"/>
      <c r="AC6" s="2735"/>
      <c r="AD6" s="2736"/>
      <c r="AE6" s="2736"/>
      <c r="AF6" s="2736"/>
      <c r="AG6" s="2736"/>
      <c r="AH6" s="2736"/>
      <c r="AI6" s="2736"/>
      <c r="AJ6" s="2737"/>
    </row>
    <row r="7" spans="1:36" ht="24">
      <c r="A7" s="3226" t="str">
        <f>IF(E2="商业",IF(C8="不临58条商业街","",2),"")</f>
        <v/>
      </c>
      <c r="B7" s="2745" t="s">
        <v>2829</v>
      </c>
      <c r="C7" s="919">
        <f>IF(C8="不临58条商业街",1,ROUND(1+(1.6*E8+1.2*E9+0.8*E10+0.4*E11)*C9,4))</f>
        <v>1</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10399</v>
      </c>
      <c r="U7" s="1603"/>
      <c r="V7" s="1602">
        <f t="shared" ca="1" si="1"/>
        <v>0</v>
      </c>
      <c r="W7" s="2968" t="s">
        <v>2832</v>
      </c>
      <c r="X7" s="1604" t="str">
        <f>G2</f>
        <v>五级</v>
      </c>
      <c r="Y7" s="1604" t="s">
        <v>2833</v>
      </c>
      <c r="Z7" s="1605">
        <f>G3</f>
        <v>5.23</v>
      </c>
      <c r="AA7" s="1606"/>
      <c r="AB7" s="1606"/>
      <c r="AC7" s="1607"/>
      <c r="AD7" s="1608"/>
      <c r="AE7" s="1608"/>
      <c r="AF7" s="1608"/>
      <c r="AG7" s="1608"/>
      <c r="AH7" s="1608"/>
      <c r="AI7" s="1608"/>
      <c r="AJ7" s="1609"/>
    </row>
    <row r="8" spans="1:36" ht="25.5">
      <c r="A8" s="3227"/>
      <c r="B8" s="198" t="s">
        <v>2834</v>
      </c>
      <c r="C8" s="2750" t="s">
        <v>3083</v>
      </c>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2974">
        <f>AC10</f>
        <v>0.64725480000000002</v>
      </c>
      <c r="T8" s="1602">
        <f t="shared" ca="1" si="0"/>
        <v>10384</v>
      </c>
      <c r="U8" s="1603"/>
      <c r="V8" s="1602">
        <f t="shared" ca="1" si="1"/>
        <v>0</v>
      </c>
      <c r="W8" s="3219" t="s">
        <v>2837</v>
      </c>
      <c r="X8" s="322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27"/>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1" t="s">
        <v>2853</v>
      </c>
      <c r="X9" s="1611" t="s">
        <v>2854</v>
      </c>
      <c r="Y9" s="1772">
        <v>7</v>
      </c>
      <c r="Z9" s="1612">
        <f>$Y$9</f>
        <v>7</v>
      </c>
      <c r="AA9" s="1612">
        <f t="shared" ref="AA9:AJ9" si="2">$Y$9</f>
        <v>7</v>
      </c>
      <c r="AB9" s="1612">
        <f t="shared" si="2"/>
        <v>7</v>
      </c>
      <c r="AC9" s="1612">
        <f t="shared" si="2"/>
        <v>7</v>
      </c>
      <c r="AD9" s="1612">
        <f t="shared" si="2"/>
        <v>7</v>
      </c>
      <c r="AE9" s="1612">
        <f t="shared" si="2"/>
        <v>7</v>
      </c>
      <c r="AF9" s="1612">
        <f t="shared" si="2"/>
        <v>7</v>
      </c>
      <c r="AG9" s="1612">
        <f t="shared" si="2"/>
        <v>7</v>
      </c>
      <c r="AH9" s="1612">
        <f t="shared" si="2"/>
        <v>7</v>
      </c>
      <c r="AI9" s="1612">
        <f t="shared" si="2"/>
        <v>7</v>
      </c>
      <c r="AJ9" s="1612">
        <f t="shared" si="2"/>
        <v>7</v>
      </c>
    </row>
    <row r="10" spans="1:36" ht="15">
      <c r="A10" s="3227"/>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21"/>
      <c r="X10" s="1611">
        <v>7</v>
      </c>
      <c r="Y10" s="1613">
        <f>(-0.163*(Y9^2)-0.59*Y9+7617)*(10^(-4))</f>
        <v>0.76048830000000001</v>
      </c>
      <c r="Z10" s="1613">
        <f>(-0.163*(Z9^2)-0.59*Z9+7617)*(10^(-4))</f>
        <v>0.76048830000000001</v>
      </c>
      <c r="AA10" s="1613">
        <f>(-0.161*(AA9^2)-7.509*AA9+6533)*(10^(-4))</f>
        <v>0.64725480000000002</v>
      </c>
      <c r="AB10" s="1613">
        <f>(-0.161*(AB9^2)-7.509*AB9+6533)*(10^(-4))</f>
        <v>0.64725480000000002</v>
      </c>
      <c r="AC10" s="1613">
        <f>(-0.161*(AC9^2)-7.509*AC9+6533)*(10^(-4))</f>
        <v>0.64725480000000002</v>
      </c>
      <c r="AD10" s="1613">
        <f>(-0.161*(AD9^2)-7.509*AD9+6533)*(10^(-4))</f>
        <v>0.64725480000000002</v>
      </c>
      <c r="AE10" s="1613">
        <f>(-0.161*(AE9^2)-7.509*AE9+6533)*(10^(-4))</f>
        <v>0.64725480000000002</v>
      </c>
      <c r="AF10" s="1613">
        <f>(-0.214*(AF9^2)-21.991*AF9+4665)*(10^(-4))</f>
        <v>0.45005770000000006</v>
      </c>
      <c r="AG10" s="1613">
        <f>(-0.214*(AG9^2)-21.991*AG9+4665)*(10^(-4))</f>
        <v>0.45005770000000006</v>
      </c>
      <c r="AH10" s="1613">
        <f>(-0.214*(AH9^2)-21.991*AH9+4665)*(10^(-4))</f>
        <v>0.45005770000000006</v>
      </c>
      <c r="AI10" s="1613">
        <f>(-0.214*(AI9^2)-21.991*AI9+4665)*(10^(-4))</f>
        <v>0.45005770000000006</v>
      </c>
      <c r="AJ10" s="1613">
        <f>(-0.214*(AJ9^2)-21.991*AJ9+4665)*(10^(-4))</f>
        <v>0.45005770000000006</v>
      </c>
    </row>
    <row r="11" spans="1:36" ht="15.75" thickBot="1">
      <c r="A11" s="3227"/>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1" t="s">
        <v>2861</v>
      </c>
      <c r="X11" s="1614" t="s">
        <v>2833</v>
      </c>
      <c r="Y11" s="1615">
        <f>$G$3</f>
        <v>5.23</v>
      </c>
      <c r="Z11" s="1615">
        <f t="shared" ref="Z11:AJ11" si="3">$G$3</f>
        <v>5.23</v>
      </c>
      <c r="AA11" s="1615">
        <f t="shared" si="3"/>
        <v>5.23</v>
      </c>
      <c r="AB11" s="1615">
        <f t="shared" si="3"/>
        <v>5.23</v>
      </c>
      <c r="AC11" s="1615">
        <f t="shared" si="3"/>
        <v>5.23</v>
      </c>
      <c r="AD11" s="1615">
        <f t="shared" si="3"/>
        <v>5.23</v>
      </c>
      <c r="AE11" s="1615">
        <f t="shared" si="3"/>
        <v>5.23</v>
      </c>
      <c r="AF11" s="1615">
        <f t="shared" si="3"/>
        <v>5.23</v>
      </c>
      <c r="AG11" s="1615">
        <f t="shared" si="3"/>
        <v>5.23</v>
      </c>
      <c r="AH11" s="1615">
        <f t="shared" si="3"/>
        <v>5.23</v>
      </c>
      <c r="AI11" s="1615">
        <f t="shared" si="3"/>
        <v>5.23</v>
      </c>
      <c r="AJ11" s="1615">
        <f t="shared" si="3"/>
        <v>5.23</v>
      </c>
    </row>
    <row r="12" spans="1:36" ht="25.5" thickBot="1">
      <c r="A12" s="3226"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1"/>
      <c r="X12" s="1616" t="s">
        <v>2867</v>
      </c>
      <c r="Y12" s="1612">
        <f t="shared" ref="Y12:AJ12" si="4">Y9</f>
        <v>7</v>
      </c>
      <c r="Z12" s="1612">
        <f t="shared" si="4"/>
        <v>7</v>
      </c>
      <c r="AA12" s="1612">
        <f t="shared" si="4"/>
        <v>7</v>
      </c>
      <c r="AB12" s="1612">
        <f t="shared" si="4"/>
        <v>7</v>
      </c>
      <c r="AC12" s="1612">
        <f t="shared" si="4"/>
        <v>7</v>
      </c>
      <c r="AD12" s="1612">
        <f t="shared" si="4"/>
        <v>7</v>
      </c>
      <c r="AE12" s="1612">
        <f t="shared" si="4"/>
        <v>7</v>
      </c>
      <c r="AF12" s="1612">
        <f t="shared" si="4"/>
        <v>7</v>
      </c>
      <c r="AG12" s="1612">
        <f t="shared" si="4"/>
        <v>7</v>
      </c>
      <c r="AH12" s="1612">
        <f t="shared" si="4"/>
        <v>7</v>
      </c>
      <c r="AI12" s="1612">
        <f t="shared" si="4"/>
        <v>7</v>
      </c>
      <c r="AJ12" s="1612">
        <f t="shared" si="4"/>
        <v>7</v>
      </c>
    </row>
    <row r="13" spans="1:36" ht="24">
      <c r="A13" s="3228"/>
      <c r="B13" s="2764" t="s">
        <v>2868</v>
      </c>
      <c r="C13" s="2765" t="s">
        <v>2869</v>
      </c>
      <c r="D13" s="2956" t="s">
        <v>2870</v>
      </c>
      <c r="E13" s="2956" t="s">
        <v>2871</v>
      </c>
      <c r="F13" s="30" t="s">
        <v>2872</v>
      </c>
      <c r="G13" s="2766" t="s">
        <v>2873</v>
      </c>
      <c r="H13" s="2766" t="s">
        <v>2873</v>
      </c>
      <c r="I13" s="2766" t="s">
        <v>2873</v>
      </c>
      <c r="J13" s="2767" t="s">
        <v>2873</v>
      </c>
      <c r="K13" s="1370"/>
      <c r="L13" s="1370"/>
      <c r="M13" s="1370"/>
      <c r="N13" s="1370"/>
      <c r="O13" s="1370"/>
      <c r="P13" s="1370"/>
      <c r="Q13" s="1370"/>
      <c r="R13" s="1602">
        <v>12</v>
      </c>
      <c r="S13" s="1603"/>
      <c r="T13" s="1602">
        <f t="shared" ca="1" si="0"/>
        <v>0</v>
      </c>
      <c r="U13" s="1603"/>
      <c r="V13" s="1602">
        <f t="shared" ca="1" si="1"/>
        <v>0</v>
      </c>
      <c r="W13" s="3221"/>
      <c r="X13" s="1616"/>
      <c r="Y13" s="1613">
        <f>(-0.163*(Y12^2)-0.59*Y12+7617)*(10^(-4))/Y11</f>
        <v>0.14540885277246654</v>
      </c>
      <c r="Z13" s="1613">
        <f t="shared" ref="Z13:AJ13" si="5">(-0.163*(Z12^2)-0.59*Z12+7617)*(10^(-4))/Z11</f>
        <v>0.14540885277246654</v>
      </c>
      <c r="AA13" s="1613">
        <f t="shared" si="5"/>
        <v>0.14540885277246654</v>
      </c>
      <c r="AB13" s="1613">
        <f t="shared" si="5"/>
        <v>0.14540885277246654</v>
      </c>
      <c r="AC13" s="1613">
        <f t="shared" si="5"/>
        <v>0.14540885277246654</v>
      </c>
      <c r="AD13" s="1613">
        <f t="shared" si="5"/>
        <v>0.14540885277246654</v>
      </c>
      <c r="AE13" s="1613">
        <f t="shared" si="5"/>
        <v>0.14540885277246654</v>
      </c>
      <c r="AF13" s="1613">
        <f t="shared" si="5"/>
        <v>0.14540885277246654</v>
      </c>
      <c r="AG13" s="1613">
        <f t="shared" si="5"/>
        <v>0.14540885277246654</v>
      </c>
      <c r="AH13" s="1613">
        <f t="shared" si="5"/>
        <v>0.14540885277246654</v>
      </c>
      <c r="AI13" s="1613">
        <f t="shared" si="5"/>
        <v>0.14540885277246654</v>
      </c>
      <c r="AJ13" s="1613">
        <f t="shared" si="5"/>
        <v>0.14540885277246654</v>
      </c>
    </row>
    <row r="14" spans="1:36" ht="15">
      <c r="A14" s="3228"/>
      <c r="B14" s="2768"/>
      <c r="C14" s="2769"/>
      <c r="D14" s="2770"/>
      <c r="E14" s="2770"/>
      <c r="F14" s="2771"/>
      <c r="G14" s="2772" t="s">
        <v>2874</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9"/>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26" t="s">
        <v>2880</v>
      </c>
      <c r="B16" s="2745" t="s">
        <v>2881</v>
      </c>
      <c r="C16" s="2957">
        <f>ROUND(IF(F17="与级别开发程度一致",0,(G17-E17)/C17),0)</f>
        <v>-20</v>
      </c>
      <c r="D16" s="3240" t="s">
        <v>2885</v>
      </c>
      <c r="E16" s="3241"/>
      <c r="F16" s="3240" t="s">
        <v>2882</v>
      </c>
      <c r="G16" s="3241"/>
      <c r="H16" s="2779" t="s">
        <v>3064</v>
      </c>
      <c r="I16" s="2779" t="s">
        <v>3065</v>
      </c>
      <c r="J16" s="2939" t="s">
        <v>3066</v>
      </c>
      <c r="K16" s="2779" t="s">
        <v>3067</v>
      </c>
      <c r="L16" s="2779" t="s">
        <v>3068</v>
      </c>
      <c r="M16" s="2779" t="s">
        <v>3123</v>
      </c>
      <c r="N16" s="2779" t="s">
        <v>70</v>
      </c>
      <c r="O16" s="2780" t="s">
        <v>3084</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30"/>
      <c r="B17" s="2946" t="s">
        <v>2884</v>
      </c>
      <c r="C17" s="2947">
        <f>SUMPRODUCT((修正!A2:A5=E2)*(修正!B1:M1=G2)*(修正!B2:M5))</f>
        <v>2.5</v>
      </c>
      <c r="D17" s="229" t="str">
        <f>IF(OR(G2="八级",G2="九级",G2="十级",G2="十一级",G2="十二级"),"五通一平","七通一平")</f>
        <v>七通一平</v>
      </c>
      <c r="E17" s="2936">
        <f>SUMPRODUCT((修正!B1:M1=G2)*(修正!B15:M15))</f>
        <v>300</v>
      </c>
      <c r="F17" s="2937" t="s">
        <v>3085</v>
      </c>
      <c r="G17" s="2938">
        <f>SUM(H17:O17)</f>
        <v>250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40</v>
      </c>
      <c r="N17" s="2947">
        <f>SUMPRODUCT((七通一平=N16)*(修正!B1:M1=G2)*(修正!B6:M14))</f>
        <v>0</v>
      </c>
      <c r="O17" s="2949">
        <f>SUMPRODUCT((七通一平=O16)*(修正!B1:M1=G2)*(修正!B6:M14))</f>
        <v>15</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2887</v>
      </c>
      <c r="C18" s="2942">
        <f>SUMIF(修正!C18:C39,E3,修正!E18:E39)</f>
        <v>1.1000000000000001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2888</v>
      </c>
      <c r="C19" s="924">
        <f>ROUND(IF(H19="按公示增长率计算",SUMPRODUCT((地价!A3:A26=YEAR(G19)&amp;"-"&amp;ROUNDUP(MONTH(G19)/3,0))*(地价!X2:AB2=E2)*(地价!X3:AB26)),IF(H19="地价指数",M20/M19,(1+I19)^O19)),4)</f>
        <v>1.3423</v>
      </c>
      <c r="D19" s="2789" t="s">
        <v>2889</v>
      </c>
      <c r="E19" s="925">
        <v>41640</v>
      </c>
      <c r="F19" s="2789" t="s">
        <v>2890</v>
      </c>
      <c r="G19" s="926">
        <f>'数据-取费表'!B2</f>
        <v>43622</v>
      </c>
      <c r="H19" s="2790" t="s">
        <v>3086</v>
      </c>
      <c r="I19" s="927" t="str">
        <f>IF(H19="季度增幅（自定义）",SUMIF(N21:N24,E2,O21:O24),"")</f>
        <v/>
      </c>
      <c r="J19" s="2787"/>
      <c r="K19" s="1377"/>
      <c r="L19" s="2791" t="s">
        <v>2891</v>
      </c>
      <c r="M19" s="1734">
        <f>ROUND(SUMIF(地价!B2:F2,E2,地价!B26:F26),0)</f>
        <v>258</v>
      </c>
      <c r="N19" s="2792"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f ca="1">ROUND(POWER(1+G20,J20-I20)*(POWER(1+G20,I20)-1)/(POWER(1+G20,J20)-1),4)</f>
        <v>0.91090000000000004</v>
      </c>
      <c r="D20" s="2798" t="s">
        <v>2894</v>
      </c>
      <c r="E20" s="1768">
        <f ca="1">存贷款利率!D4/100</f>
        <v>4.3499999999999997E-2</v>
      </c>
      <c r="F20" s="2798" t="s">
        <v>2886</v>
      </c>
      <c r="G20" s="934">
        <f ca="1">SUMIF(M26:P26,E2,M28:P28)</f>
        <v>5.1999999999999998E-2</v>
      </c>
      <c r="H20" s="2798" t="s">
        <v>2895</v>
      </c>
      <c r="I20" s="2967">
        <f>SUMIF('数据-取费表'!C6:C15,E2,'数据-取费表'!F6:F15)/COUNTIF('数据-取费表'!C6:C15,E2)</f>
        <v>35.99</v>
      </c>
      <c r="J20" s="936">
        <f>IF(E2="住宅",70,IF(E2="商业",40,50))</f>
        <v>50</v>
      </c>
      <c r="K20" s="1377"/>
      <c r="L20" s="2799" t="s">
        <v>2896</v>
      </c>
      <c r="M20" s="1735">
        <f>ROUND(SUMPRODUCT((地价!A4:A26=YEAR(G19)&amp;"-"&amp;ROUNDUP(MONTH(G19)/3,0))*(地价!B2:F2=E2)*(地价!B4:F26)),0)</f>
        <v>346</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3090</v>
      </c>
      <c r="C21" s="2963">
        <f>IF(B21="容积率修正",IF(G3&lt;=10,D22,J22),C23)</f>
        <v>0.81269999999999998</v>
      </c>
      <c r="D21" s="2805"/>
      <c r="E21" s="2805"/>
      <c r="F21" s="2805"/>
      <c r="G21" s="2805"/>
      <c r="H21" s="2805"/>
      <c r="I21" s="2805"/>
      <c r="J21" s="2806"/>
      <c r="K21" s="1377"/>
      <c r="N21" s="2807" t="s">
        <v>2901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2962" t="s">
        <v>2904</v>
      </c>
      <c r="D22" s="2962">
        <f>IF(E22=G22,F22,IF(G3&lt;=10,ROUND(F22+(H22-F22)*(G3-E22)/(G22-E22),4),"——"))</f>
        <v>0.81269999999999998</v>
      </c>
      <c r="E22" s="916">
        <f>ROUNDDOWN(G3,1)</f>
        <v>5.2</v>
      </c>
      <c r="F22" s="29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0.81359999999999999</v>
      </c>
      <c r="G22" s="916">
        <f>ROUNDUP(G3,1)</f>
        <v>5.3</v>
      </c>
      <c r="H22" s="29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v>
      </c>
      <c r="I22" s="2962" t="s">
        <v>155</v>
      </c>
      <c r="J22" s="938" t="str">
        <f>IF(G3&gt;10,D113,"——")</f>
        <v>——</v>
      </c>
      <c r="K22" s="1377"/>
      <c r="N22" s="2807" t="s">
        <v>2905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1.0519000000000001</v>
      </c>
      <c r="D24" s="2786"/>
      <c r="E24" s="2815"/>
      <c r="F24" s="2815"/>
      <c r="G24" s="2815"/>
      <c r="H24" s="2815"/>
      <c r="I24" s="2815"/>
      <c r="J24" s="2816"/>
      <c r="K24" s="1377"/>
      <c r="N24" s="2817" t="s">
        <v>2910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2913</v>
      </c>
      <c r="C26" s="206">
        <f ca="1">E29+SUM(E33:E39)</f>
        <v>249149</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f ca="1">E30+SUM(I33:I39)</f>
        <v>7627</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f ca="1">ROUND(C5*C18*C19*C20*C21*C24,0)</f>
        <v>13039</v>
      </c>
      <c r="D29" s="2837">
        <f>'数据-汇总表'!F21</f>
        <v>167692.07</v>
      </c>
      <c r="E29" s="2966">
        <f ca="1">ROUND(C29*D29/10000,0)</f>
        <v>218654</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f ca="1">ROUND(IF(E2="工业",C29*M39,C29*M38),0)</f>
        <v>3260</v>
      </c>
      <c r="D30" s="2843"/>
      <c r="E30" s="2966">
        <f ca="1">ROUND(C30*D30/10000,0)</f>
        <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37" t="s">
        <v>2927</v>
      </c>
      <c r="B33" s="2853" t="s">
        <v>2928</v>
      </c>
      <c r="C33" s="206">
        <f ca="1">ROUND(D5*C19*C20*C24*F33,0)</f>
        <v>10246</v>
      </c>
      <c r="D33" s="2837"/>
      <c r="E33" s="200">
        <f ca="1">ROUND(C33*D33/10000,0)</f>
        <v>0</v>
      </c>
      <c r="F33" s="200">
        <f>SUMIF(修正!A45:A56,G2,修正!B45:B56)</f>
        <v>0.7</v>
      </c>
      <c r="G33" s="200">
        <f t="shared" ref="G33" ca="1" si="6">ROUND(IF(E2="工业",C33*$M$39,C33*$M$38),0)</f>
        <v>2562</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8"/>
      <c r="B34" s="2765" t="s">
        <v>2929</v>
      </c>
      <c r="C34" s="206">
        <f ca="1">ROUND(D5*C19*C20*C24*F34,0)</f>
        <v>5855</v>
      </c>
      <c r="D34" s="2837"/>
      <c r="E34" s="200">
        <f t="shared" ref="E34:E39" ca="1" si="7">ROUND(C34*D34/10000,0)</f>
        <v>0</v>
      </c>
      <c r="F34" s="200">
        <f>SUMIF(修正!A45:A56,G2,修正!C45:C56)</f>
        <v>0.4</v>
      </c>
      <c r="G34" s="200">
        <f ca="1">ROUND(IF(E2="工业",C34*$M$39,C34*$M$38),0)</f>
        <v>1464</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8"/>
      <c r="B35" s="2765" t="s">
        <v>2930</v>
      </c>
      <c r="C35" s="206">
        <f ca="1">ROUND(D5*C19*C20*C24*F35,0)</f>
        <v>4098</v>
      </c>
      <c r="D35" s="2837"/>
      <c r="E35" s="200">
        <f t="shared" ca="1" si="7"/>
        <v>0</v>
      </c>
      <c r="F35" s="200">
        <f>SUMIF(修正!A45:A56,G2,修正!D45:D56)</f>
        <v>0.28000000000000003</v>
      </c>
      <c r="G35" s="200">
        <f ca="1">ROUND(IF(E2="工业",C35*$M$39,C35*$M$38),0)</f>
        <v>1025</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39"/>
      <c r="B36" s="2765" t="s">
        <v>2931</v>
      </c>
      <c r="C36" s="206">
        <f ca="1">ROUND(D5*C19*C20*C24*F36,0)</f>
        <v>3659</v>
      </c>
      <c r="D36" s="2837"/>
      <c r="E36" s="200">
        <f t="shared" ca="1" si="7"/>
        <v>0</v>
      </c>
      <c r="F36" s="200">
        <f>SUMIF(修正!A45:A56,G2,修正!E45:E56)</f>
        <v>0.25</v>
      </c>
      <c r="G36" s="200">
        <f ca="1">ROUND(IF(E2="工业",C36*$M$39,C36*$M$38),0)</f>
        <v>915</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f ca="1">ROUND(D5*C19*C20*C24*F37,0)</f>
        <v>3659</v>
      </c>
      <c r="D37" s="2837"/>
      <c r="E37" s="200">
        <f t="shared" ca="1" si="7"/>
        <v>0</v>
      </c>
      <c r="F37" s="206">
        <f>SUMIF(修正!A45:A56,G2,修正!F45:F56)</f>
        <v>0.25</v>
      </c>
      <c r="G37" s="200">
        <f ca="1">ROUND(IF(E2="工业",C37*$M$39,C37*$M$38),0)</f>
        <v>915</v>
      </c>
      <c r="H37" s="200">
        <f t="shared" si="8"/>
        <v>0</v>
      </c>
      <c r="I37" s="200">
        <f t="shared" ca="1" si="9"/>
        <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f ca="1">ROUND(D5*C19*C41*C24*F38,0)</f>
        <v>3194</v>
      </c>
      <c r="D38" s="2837">
        <f>'数据-汇总表'!G23</f>
        <v>27732.94</v>
      </c>
      <c r="E38" s="200">
        <f t="shared" ca="1" si="7"/>
        <v>8858</v>
      </c>
      <c r="F38" s="206">
        <f>SUMIF(修正!A45:A56,G2,修正!G45:G56)</f>
        <v>0.25</v>
      </c>
      <c r="G38" s="200">
        <f ca="1">ROUND(IF(E2="工业",C38*$M$39,C38*$M$38),0)</f>
        <v>799</v>
      </c>
      <c r="H38" s="200">
        <f t="shared" si="8"/>
        <v>27732.94</v>
      </c>
      <c r="I38" s="200">
        <f t="shared" ca="1" si="9"/>
        <v>2216</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f ca="1">ROUND(D5*C19*C41*C24*F39,0)</f>
        <v>2555</v>
      </c>
      <c r="D39" s="2843">
        <f>'数据-汇总表'!G22</f>
        <v>84685.74</v>
      </c>
      <c r="E39" s="229">
        <f t="shared" ca="1" si="7"/>
        <v>21637</v>
      </c>
      <c r="F39" s="932">
        <f>SUMIF(修正!A45:A56,G2,修正!H45:H56)</f>
        <v>0.2</v>
      </c>
      <c r="G39" s="229">
        <f ca="1">ROUND(IF(E2="工业",C39*$M$39,C39*$M$38),0)</f>
        <v>639</v>
      </c>
      <c r="H39" s="229">
        <f t="shared" si="8"/>
        <v>84685.74</v>
      </c>
      <c r="I39" s="229">
        <f t="shared" ca="1" si="9"/>
        <v>5411</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18.75" customHeight="1">
      <c r="A41" s="1371"/>
      <c r="B41" s="2930" t="s">
        <v>3046</v>
      </c>
      <c r="C41" s="388">
        <f ca="1">ROUND(POWER(1+E41,H41-G41)*(POWER(1+E41,G41)-1)/(POWER(1+E41,H41)-1),4)</f>
        <v>0.79510000000000003</v>
      </c>
      <c r="D41" s="200" t="s">
        <v>2886</v>
      </c>
      <c r="E41" s="2929">
        <f ca="1">G20</f>
        <v>5.1999999999999998E-2</v>
      </c>
      <c r="F41" s="200" t="s">
        <v>2895</v>
      </c>
      <c r="G41" s="218">
        <f>项目基本情况!E15</f>
        <v>25.98</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t="e">
        <f>1+E48</f>
        <v>#VALUE!</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2955" t="s">
        <v>2940</v>
      </c>
      <c r="C47" s="2955" t="s">
        <v>2941</v>
      </c>
      <c r="D47" s="2955" t="s">
        <v>2942</v>
      </c>
      <c r="E47" s="819" t="s">
        <v>2943</v>
      </c>
      <c r="F47" s="2871" t="s">
        <v>2944</v>
      </c>
      <c r="G47" s="2955" t="s">
        <v>754</v>
      </c>
      <c r="H47" s="2872" t="s">
        <v>2945</v>
      </c>
      <c r="I47" s="2955"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t="s">
        <v>3087</v>
      </c>
      <c r="D48" s="1286" t="e">
        <f t="shared" ref="D48:D56" si="10">SUMIF($J$47:$N$47,C48,J48:N48)</f>
        <v>#VALUE!</v>
      </c>
      <c r="E48" s="821" t="e">
        <f>ROUND(SUM(D48:D56),4)</f>
        <v>#VALUE!</v>
      </c>
      <c r="F48" s="2501" t="str">
        <f>IF(E2="商业",SUMIF(L1:L12,G2,N1:N12),"——")</f>
        <v>——</v>
      </c>
      <c r="G48" s="1284" t="str">
        <f>H48</f>
        <v>——</v>
      </c>
      <c r="H48" s="1288" t="str">
        <f t="shared" ref="H48:H56" si="11">IFERROR(ROUNDDOWN($F$48*I48/2,4),"——")</f>
        <v>——</v>
      </c>
      <c r="I48" s="820">
        <v>0.33</v>
      </c>
      <c r="J48" s="1285" t="e">
        <f t="shared" ref="J48:J56" si="12">K48+$G48</f>
        <v>#VALUE!</v>
      </c>
      <c r="K48" s="1285" t="e">
        <f t="shared" ref="K48:K56" si="13">$L48+$G48</f>
        <v>#VALUE!</v>
      </c>
      <c r="L48" s="1285">
        <v>0</v>
      </c>
      <c r="M48" s="1285" t="e">
        <f t="shared" ref="M48:N56" si="14">L48-$G48</f>
        <v>#VALUE!</v>
      </c>
      <c r="N48" s="1285" t="e">
        <f t="shared" si="14"/>
        <v>#VALUE!</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t="s">
        <v>3087</v>
      </c>
      <c r="D49" s="1286" t="e">
        <f t="shared" si="10"/>
        <v>#VALUE!</v>
      </c>
      <c r="E49" s="822"/>
      <c r="F49" s="2501"/>
      <c r="G49" s="1284" t="str">
        <f t="shared" ref="G49:G56" si="15">H49</f>
        <v>——</v>
      </c>
      <c r="H49" s="1288" t="str">
        <f t="shared" si="11"/>
        <v>——</v>
      </c>
      <c r="I49" s="820">
        <v>0.25</v>
      </c>
      <c r="J49" s="1285" t="e">
        <f t="shared" si="12"/>
        <v>#VALUE!</v>
      </c>
      <c r="K49" s="1285" t="e">
        <f t="shared" si="13"/>
        <v>#VALUE!</v>
      </c>
      <c r="L49" s="1285">
        <v>0</v>
      </c>
      <c r="M49" s="1285" t="e">
        <f t="shared" si="14"/>
        <v>#VALUE!</v>
      </c>
      <c r="N49" s="1285" t="e">
        <f t="shared" si="14"/>
        <v>#VALUE!</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t="s">
        <v>3087</v>
      </c>
      <c r="D50" s="1286" t="e">
        <f t="shared" si="10"/>
        <v>#VALUE!</v>
      </c>
      <c r="E50" s="822"/>
      <c r="F50" s="2501"/>
      <c r="G50" s="1284" t="str">
        <f t="shared" si="15"/>
        <v>——</v>
      </c>
      <c r="H50" s="1288" t="str">
        <f t="shared" si="11"/>
        <v>——</v>
      </c>
      <c r="I50" s="820">
        <v>0.05</v>
      </c>
      <c r="J50" s="1285" t="e">
        <f t="shared" si="12"/>
        <v>#VALUE!</v>
      </c>
      <c r="K50" s="1285" t="e">
        <f t="shared" si="13"/>
        <v>#VALUE!</v>
      </c>
      <c r="L50" s="1285">
        <v>0</v>
      </c>
      <c r="M50" s="1285" t="e">
        <f t="shared" si="14"/>
        <v>#VALUE!</v>
      </c>
      <c r="N50" s="1285" t="e">
        <f t="shared" si="14"/>
        <v>#VALUE!</v>
      </c>
      <c r="AA50" s="1371"/>
      <c r="AB50" s="1371"/>
      <c r="AC50" s="1371"/>
      <c r="AD50" s="1371"/>
      <c r="AE50" s="1371"/>
      <c r="AF50" s="1371"/>
      <c r="AG50" s="1371"/>
      <c r="AH50" s="1371"/>
      <c r="AI50" s="1371"/>
      <c r="AJ50" s="1371"/>
      <c r="AK50" s="1371"/>
    </row>
    <row r="51" spans="1:37" s="1370" customFormat="1" ht="36.75">
      <c r="A51" s="2870" t="s">
        <v>2950</v>
      </c>
      <c r="B51" s="2875" t="s">
        <v>2951</v>
      </c>
      <c r="C51" s="2770" t="s">
        <v>3087</v>
      </c>
      <c r="D51" s="1286" t="e">
        <f t="shared" si="10"/>
        <v>#VALUE!</v>
      </c>
      <c r="E51" s="822"/>
      <c r="F51" s="2501"/>
      <c r="G51" s="1284" t="str">
        <f t="shared" si="15"/>
        <v>——</v>
      </c>
      <c r="H51" s="1288" t="str">
        <f t="shared" si="11"/>
        <v>——</v>
      </c>
      <c r="I51" s="820">
        <v>0.05</v>
      </c>
      <c r="J51" s="1285" t="e">
        <f t="shared" si="12"/>
        <v>#VALUE!</v>
      </c>
      <c r="K51" s="1285" t="e">
        <f t="shared" si="13"/>
        <v>#VALUE!</v>
      </c>
      <c r="L51" s="1285">
        <v>0</v>
      </c>
      <c r="M51" s="1285" t="e">
        <f t="shared" si="14"/>
        <v>#VALUE!</v>
      </c>
      <c r="N51" s="1285" t="e">
        <f t="shared" si="14"/>
        <v>#VALUE!</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t="s">
        <v>3087</v>
      </c>
      <c r="D52" s="1286" t="e">
        <f t="shared" si="10"/>
        <v>#VALUE!</v>
      </c>
      <c r="E52" s="822"/>
      <c r="F52" s="2501"/>
      <c r="G52" s="1284" t="str">
        <f t="shared" si="15"/>
        <v>——</v>
      </c>
      <c r="H52" s="1288" t="str">
        <f t="shared" si="11"/>
        <v>——</v>
      </c>
      <c r="I52" s="820">
        <v>0.08</v>
      </c>
      <c r="J52" s="1285" t="e">
        <f t="shared" si="12"/>
        <v>#VALUE!</v>
      </c>
      <c r="K52" s="1285" t="e">
        <f t="shared" si="13"/>
        <v>#VALUE!</v>
      </c>
      <c r="L52" s="1285">
        <v>0</v>
      </c>
      <c r="M52" s="1285" t="e">
        <f t="shared" si="14"/>
        <v>#VALUE!</v>
      </c>
      <c r="N52" s="1285" t="e">
        <f t="shared" si="14"/>
        <v>#VALUE!</v>
      </c>
      <c r="AA52" s="1371"/>
      <c r="AB52" s="1371"/>
      <c r="AC52" s="1371"/>
      <c r="AD52" s="1371"/>
      <c r="AE52" s="1371"/>
      <c r="AF52" s="1371"/>
      <c r="AG52" s="1371"/>
      <c r="AH52" s="1371"/>
      <c r="AI52" s="1371"/>
      <c r="AJ52" s="1371"/>
      <c r="AK52" s="1371"/>
    </row>
    <row r="53" spans="1:37" s="1370" customFormat="1" ht="24">
      <c r="A53" s="2870" t="s">
        <v>2953</v>
      </c>
      <c r="B53" s="2876" t="s">
        <v>2954</v>
      </c>
      <c r="C53" s="2770" t="s">
        <v>3087</v>
      </c>
      <c r="D53" s="1286" t="e">
        <f t="shared" si="10"/>
        <v>#VALUE!</v>
      </c>
      <c r="E53" s="822"/>
      <c r="F53" s="2501"/>
      <c r="G53" s="1284" t="str">
        <f t="shared" si="15"/>
        <v>——</v>
      </c>
      <c r="H53" s="1288" t="str">
        <f t="shared" si="11"/>
        <v>——</v>
      </c>
      <c r="I53" s="820">
        <v>0.03</v>
      </c>
      <c r="J53" s="1285" t="e">
        <f t="shared" si="12"/>
        <v>#VALUE!</v>
      </c>
      <c r="K53" s="1285" t="e">
        <f t="shared" si="13"/>
        <v>#VALUE!</v>
      </c>
      <c r="L53" s="1285">
        <v>0</v>
      </c>
      <c r="M53" s="1285" t="e">
        <f t="shared" si="14"/>
        <v>#VALUE!</v>
      </c>
      <c r="N53" s="1285" t="e">
        <f t="shared" si="14"/>
        <v>#VALUE!</v>
      </c>
      <c r="AA53" s="1371"/>
      <c r="AB53" s="1371"/>
      <c r="AC53" s="1371"/>
      <c r="AD53" s="1371"/>
      <c r="AE53" s="1371"/>
      <c r="AF53" s="1371"/>
      <c r="AG53" s="1371"/>
      <c r="AH53" s="1371"/>
      <c r="AI53" s="1371"/>
      <c r="AJ53" s="1371"/>
      <c r="AK53" s="1371"/>
    </row>
    <row r="54" spans="1:37" s="1370" customFormat="1" ht="25.5">
      <c r="A54" s="2877" t="s">
        <v>2955</v>
      </c>
      <c r="B54" s="1725" t="str">
        <f>估价对象房地状况!C21</f>
        <v>估价对象所在区域公共配套设施齐备情况</v>
      </c>
      <c r="C54" s="2770" t="s">
        <v>3087</v>
      </c>
      <c r="D54" s="1286" t="e">
        <f t="shared" si="10"/>
        <v>#VALUE!</v>
      </c>
      <c r="E54" s="822"/>
      <c r="F54" s="2501"/>
      <c r="G54" s="1284" t="str">
        <f t="shared" si="15"/>
        <v>——</v>
      </c>
      <c r="H54" s="1288" t="str">
        <f t="shared" si="11"/>
        <v>——</v>
      </c>
      <c r="I54" s="820">
        <v>0.05</v>
      </c>
      <c r="J54" s="1285" t="e">
        <f t="shared" si="12"/>
        <v>#VALUE!</v>
      </c>
      <c r="K54" s="1285" t="e">
        <f t="shared" si="13"/>
        <v>#VALUE!</v>
      </c>
      <c r="L54" s="1285">
        <v>0</v>
      </c>
      <c r="M54" s="1285" t="e">
        <f t="shared" si="14"/>
        <v>#VALUE!</v>
      </c>
      <c r="N54" s="1285" t="e">
        <f t="shared" si="14"/>
        <v>#VALUE!</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t="s">
        <v>3088</v>
      </c>
      <c r="D55" s="1286" t="e">
        <f t="shared" si="10"/>
        <v>#VALUE!</v>
      </c>
      <c r="E55" s="822"/>
      <c r="F55" s="2501"/>
      <c r="G55" s="1284" t="str">
        <f t="shared" si="15"/>
        <v>——</v>
      </c>
      <c r="H55" s="1288" t="str">
        <f t="shared" si="11"/>
        <v>——</v>
      </c>
      <c r="I55" s="820">
        <v>0.1</v>
      </c>
      <c r="J55" s="1285" t="e">
        <f t="shared" si="12"/>
        <v>#VALUE!</v>
      </c>
      <c r="K55" s="1285" t="e">
        <f t="shared" si="13"/>
        <v>#VALUE!</v>
      </c>
      <c r="L55" s="1285">
        <v>0</v>
      </c>
      <c r="M55" s="1285" t="e">
        <f t="shared" si="14"/>
        <v>#VALUE!</v>
      </c>
      <c r="N55" s="1285" t="e">
        <f t="shared" si="14"/>
        <v>#VALUE!</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t="s">
        <v>3089</v>
      </c>
      <c r="D56" s="1286">
        <f t="shared" si="10"/>
        <v>0</v>
      </c>
      <c r="E56" s="825"/>
      <c r="F56" s="2501"/>
      <c r="G56" s="1284" t="str">
        <f t="shared" si="15"/>
        <v>——</v>
      </c>
      <c r="H56" s="1288" t="str">
        <f t="shared" si="11"/>
        <v>——</v>
      </c>
      <c r="I56" s="824">
        <v>0.06</v>
      </c>
      <c r="J56" s="1285" t="e">
        <f t="shared" si="12"/>
        <v>#VALUE!</v>
      </c>
      <c r="K56" s="1285" t="e">
        <f t="shared" si="13"/>
        <v>#VALUE!</v>
      </c>
      <c r="L56" s="1285">
        <v>0</v>
      </c>
      <c r="M56" s="1285" t="e">
        <f t="shared" si="14"/>
        <v>#VALUE!</v>
      </c>
      <c r="N56" s="1285" t="e">
        <f t="shared" si="14"/>
        <v>#VALUE!</v>
      </c>
      <c r="AA56" s="1371"/>
      <c r="AB56" s="1371"/>
      <c r="AC56" s="1371"/>
      <c r="AD56" s="1371"/>
      <c r="AE56" s="1371"/>
      <c r="AF56" s="1371"/>
      <c r="AG56" s="1371"/>
      <c r="AH56" s="1371"/>
      <c r="AI56" s="1371"/>
      <c r="AJ56" s="1371"/>
      <c r="AK56" s="1371"/>
    </row>
    <row r="57" spans="1:37" s="1370" customFormat="1" ht="15">
      <c r="A57" s="2866" t="s">
        <v>2958</v>
      </c>
      <c r="B57" s="2867">
        <f>1+E59</f>
        <v>1.0519000000000001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2955"/>
      <c r="C58" s="2955" t="s">
        <v>2941</v>
      </c>
      <c r="D58" s="2955" t="s">
        <v>2942</v>
      </c>
      <c r="E58" s="819" t="s">
        <v>2943</v>
      </c>
      <c r="F58" s="2871" t="s">
        <v>2959</v>
      </c>
      <c r="G58" s="2955" t="s">
        <v>754</v>
      </c>
      <c r="H58" s="2872" t="s">
        <v>2945</v>
      </c>
      <c r="I58" s="2955"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t="s">
        <v>3087</v>
      </c>
      <c r="D59" s="1286">
        <f t="shared" ref="D59:D67" si="16">SUMIF($J$58:$N$58,C59,J59:N59)</f>
        <v>1.18E-2</v>
      </c>
      <c r="E59" s="821">
        <f>ROUND(SUM(D59:D67),4)</f>
        <v>5.1900000000000002E-2</v>
      </c>
      <c r="F59" s="2501">
        <f>IF(E2="办公",SUMIF(L1:L12,G2,N1:N12),"——")</f>
        <v>9.9000000000000005E-2</v>
      </c>
      <c r="G59" s="1284">
        <f>H59</f>
        <v>1.18E-2</v>
      </c>
      <c r="H59" s="1288">
        <f t="shared" ref="H59:H67" si="17">IFERROR(ROUNDDOWN($F$59*I59/2,4),"——")</f>
        <v>1.18E-2</v>
      </c>
      <c r="I59" s="820">
        <v>0.24</v>
      </c>
      <c r="J59" s="1285">
        <f t="shared" ref="J59:J67" si="18">K59+$G59</f>
        <v>2.3599999999999999E-2</v>
      </c>
      <c r="K59" s="1285">
        <f t="shared" ref="K59:K67" si="19">$L59+$G59</f>
        <v>1.18E-2</v>
      </c>
      <c r="L59" s="1285">
        <v>0</v>
      </c>
      <c r="M59" s="1285">
        <f t="shared" ref="M59:N67" si="20">L59-$G59</f>
        <v>-1.18E-2</v>
      </c>
      <c r="N59" s="1285">
        <f t="shared" si="20"/>
        <v>-2.3599999999999999E-2</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t="s">
        <v>3087</v>
      </c>
      <c r="D60" s="1286">
        <f t="shared" si="16"/>
        <v>1.4800000000000001E-2</v>
      </c>
      <c r="E60" s="822"/>
      <c r="F60" s="2501"/>
      <c r="G60" s="1284">
        <f t="shared" ref="G60:G67" si="21">H60</f>
        <v>1.4800000000000001E-2</v>
      </c>
      <c r="H60" s="1288">
        <f t="shared" si="17"/>
        <v>1.4800000000000001E-2</v>
      </c>
      <c r="I60" s="820">
        <v>0.3</v>
      </c>
      <c r="J60" s="1285">
        <f t="shared" si="18"/>
        <v>2.9600000000000001E-2</v>
      </c>
      <c r="K60" s="1285">
        <f t="shared" si="19"/>
        <v>1.4800000000000001E-2</v>
      </c>
      <c r="L60" s="1285">
        <v>0</v>
      </c>
      <c r="M60" s="1285">
        <f t="shared" si="20"/>
        <v>-1.4800000000000001E-2</v>
      </c>
      <c r="N60" s="1285">
        <f t="shared" si="20"/>
        <v>-2.9600000000000001E-2</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t="s">
        <v>3087</v>
      </c>
      <c r="D61" s="1286">
        <f t="shared" si="16"/>
        <v>3.8999999999999998E-3</v>
      </c>
      <c r="E61" s="822"/>
      <c r="F61" s="2501"/>
      <c r="G61" s="1284">
        <f t="shared" si="21"/>
        <v>3.8999999999999998E-3</v>
      </c>
      <c r="H61" s="1288">
        <f t="shared" si="17"/>
        <v>3.8999999999999998E-3</v>
      </c>
      <c r="I61" s="820">
        <v>0.08</v>
      </c>
      <c r="J61" s="1285">
        <f t="shared" si="18"/>
        <v>7.7999999999999996E-3</v>
      </c>
      <c r="K61" s="1285">
        <f t="shared" si="19"/>
        <v>3.8999999999999998E-3</v>
      </c>
      <c r="L61" s="1285">
        <v>0</v>
      </c>
      <c r="M61" s="1285">
        <f t="shared" si="20"/>
        <v>-3.8999999999999998E-3</v>
      </c>
      <c r="N61" s="1285">
        <f t="shared" si="20"/>
        <v>-7.7999999999999996E-3</v>
      </c>
      <c r="AA61" s="1371"/>
      <c r="AB61" s="1371"/>
      <c r="AC61" s="1371"/>
      <c r="AD61" s="1371"/>
      <c r="AE61" s="1371"/>
      <c r="AF61" s="1371"/>
      <c r="AG61" s="1371"/>
      <c r="AH61" s="1371"/>
      <c r="AI61" s="1371"/>
      <c r="AJ61" s="1371"/>
      <c r="AK61" s="1371"/>
    </row>
    <row r="62" spans="1:37" s="1370" customFormat="1" ht="36.75">
      <c r="A62" s="2870" t="s">
        <v>2950</v>
      </c>
      <c r="B62" s="2875" t="s">
        <v>2951</v>
      </c>
      <c r="C62" s="2770" t="s">
        <v>3087</v>
      </c>
      <c r="D62" s="1286">
        <f t="shared" si="16"/>
        <v>1.9E-3</v>
      </c>
      <c r="E62" s="822"/>
      <c r="F62" s="2501"/>
      <c r="G62" s="1284">
        <f t="shared" si="21"/>
        <v>1.9E-3</v>
      </c>
      <c r="H62" s="1288">
        <f t="shared" si="17"/>
        <v>1.9E-3</v>
      </c>
      <c r="I62" s="820">
        <v>0.04</v>
      </c>
      <c r="J62" s="1285">
        <f t="shared" si="18"/>
        <v>3.8E-3</v>
      </c>
      <c r="K62" s="1285">
        <f t="shared" si="19"/>
        <v>1.9E-3</v>
      </c>
      <c r="L62" s="1285">
        <v>0</v>
      </c>
      <c r="M62" s="1285">
        <f t="shared" si="20"/>
        <v>-1.9E-3</v>
      </c>
      <c r="N62" s="1285">
        <f t="shared" si="20"/>
        <v>-3.8E-3</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t="s">
        <v>3087</v>
      </c>
      <c r="D63" s="1286">
        <f t="shared" si="16"/>
        <v>2.3999999999999998E-3</v>
      </c>
      <c r="E63" s="822"/>
      <c r="F63" s="2501"/>
      <c r="G63" s="1284">
        <f t="shared" si="21"/>
        <v>2.3999999999999998E-3</v>
      </c>
      <c r="H63" s="1288">
        <f t="shared" si="17"/>
        <v>2.3999999999999998E-3</v>
      </c>
      <c r="I63" s="820">
        <v>0.05</v>
      </c>
      <c r="J63" s="1285">
        <f t="shared" si="18"/>
        <v>4.7999999999999996E-3</v>
      </c>
      <c r="K63" s="1285">
        <f t="shared" si="19"/>
        <v>2.3999999999999998E-3</v>
      </c>
      <c r="L63" s="1285">
        <v>0</v>
      </c>
      <c r="M63" s="1285">
        <f t="shared" si="20"/>
        <v>-2.3999999999999998E-3</v>
      </c>
      <c r="N63" s="1285">
        <f t="shared" si="20"/>
        <v>-4.7999999999999996E-3</v>
      </c>
      <c r="AA63" s="1371"/>
      <c r="AB63" s="1371"/>
      <c r="AC63" s="1371"/>
      <c r="AD63" s="1371"/>
      <c r="AE63" s="1371"/>
      <c r="AF63" s="1371"/>
      <c r="AG63" s="1371"/>
      <c r="AH63" s="1371"/>
      <c r="AI63" s="1371"/>
      <c r="AJ63" s="1371"/>
      <c r="AK63" s="1371"/>
    </row>
    <row r="64" spans="1:37" s="1370" customFormat="1" ht="24">
      <c r="A64" s="2870" t="s">
        <v>2953</v>
      </c>
      <c r="B64" s="2876" t="s">
        <v>2954</v>
      </c>
      <c r="C64" s="2770" t="s">
        <v>3087</v>
      </c>
      <c r="D64" s="1286">
        <f t="shared" si="16"/>
        <v>2.3999999999999998E-3</v>
      </c>
      <c r="E64" s="822"/>
      <c r="F64" s="2501"/>
      <c r="G64" s="1284">
        <f t="shared" si="21"/>
        <v>2.3999999999999998E-3</v>
      </c>
      <c r="H64" s="1288">
        <f t="shared" si="17"/>
        <v>2.3999999999999998E-3</v>
      </c>
      <c r="I64" s="820">
        <v>0.05</v>
      </c>
      <c r="J64" s="1285">
        <f t="shared" si="18"/>
        <v>4.7999999999999996E-3</v>
      </c>
      <c r="K64" s="1285">
        <f t="shared" si="19"/>
        <v>2.3999999999999998E-3</v>
      </c>
      <c r="L64" s="1285">
        <v>0</v>
      </c>
      <c r="M64" s="1285">
        <f t="shared" si="20"/>
        <v>-2.3999999999999998E-3</v>
      </c>
      <c r="N64" s="1285">
        <f t="shared" si="20"/>
        <v>-4.7999999999999996E-3</v>
      </c>
      <c r="AA64" s="1371"/>
      <c r="AB64" s="1371"/>
      <c r="AC64" s="1371"/>
      <c r="AD64" s="1371"/>
      <c r="AE64" s="1371"/>
      <c r="AF64" s="1371"/>
      <c r="AG64" s="1371"/>
      <c r="AH64" s="1371"/>
      <c r="AI64" s="1371"/>
      <c r="AJ64" s="1371"/>
      <c r="AK64" s="1371"/>
    </row>
    <row r="65" spans="1:37" s="1370" customFormat="1" ht="25.5">
      <c r="A65" s="2870" t="s">
        <v>2955</v>
      </c>
      <c r="B65" s="1725" t="str">
        <f>估价对象房地状况!C21</f>
        <v>估价对象所在区域公共配套设施齐备情况</v>
      </c>
      <c r="C65" s="2770" t="s">
        <v>3087</v>
      </c>
      <c r="D65" s="1286">
        <f t="shared" si="16"/>
        <v>2.8999999999999998E-3</v>
      </c>
      <c r="E65" s="822"/>
      <c r="F65" s="2501"/>
      <c r="G65" s="1284">
        <f t="shared" si="21"/>
        <v>2.8999999999999998E-3</v>
      </c>
      <c r="H65" s="1288">
        <f t="shared" si="17"/>
        <v>2.8999999999999998E-3</v>
      </c>
      <c r="I65" s="820">
        <v>0.06</v>
      </c>
      <c r="J65" s="1285">
        <f t="shared" si="18"/>
        <v>5.7999999999999996E-3</v>
      </c>
      <c r="K65" s="1285">
        <f t="shared" si="19"/>
        <v>2.8999999999999998E-3</v>
      </c>
      <c r="L65" s="1285">
        <v>0</v>
      </c>
      <c r="M65" s="1285">
        <f t="shared" si="20"/>
        <v>-2.8999999999999998E-3</v>
      </c>
      <c r="N65" s="1285">
        <f t="shared" si="20"/>
        <v>-5.7999999999999996E-3</v>
      </c>
      <c r="AA65" s="1371"/>
      <c r="AB65" s="1371"/>
      <c r="AC65" s="1371"/>
      <c r="AD65" s="1371"/>
      <c r="AE65" s="1371"/>
      <c r="AF65" s="1371"/>
      <c r="AG65" s="1371"/>
      <c r="AH65" s="1371"/>
      <c r="AI65" s="1371"/>
      <c r="AJ65" s="1371"/>
      <c r="AK65" s="1371"/>
    </row>
    <row r="66" spans="1:37" s="1370" customFormat="1" ht="25.5">
      <c r="A66" s="2870" t="s">
        <v>2956</v>
      </c>
      <c r="B66" s="1725" t="str">
        <f>估价对象房地状况!C22</f>
        <v>估价对象所在区域基础设施水平</v>
      </c>
      <c r="C66" s="2770" t="s">
        <v>3088</v>
      </c>
      <c r="D66" s="1286">
        <f t="shared" si="16"/>
        <v>1.18E-2</v>
      </c>
      <c r="E66" s="822"/>
      <c r="F66" s="2501"/>
      <c r="G66" s="1284">
        <f t="shared" si="21"/>
        <v>5.8999999999999999E-3</v>
      </c>
      <c r="H66" s="1288">
        <f t="shared" si="17"/>
        <v>5.8999999999999999E-3</v>
      </c>
      <c r="I66" s="820">
        <v>0.12</v>
      </c>
      <c r="J66" s="1285">
        <f t="shared" si="18"/>
        <v>1.18E-2</v>
      </c>
      <c r="K66" s="1285">
        <f t="shared" si="19"/>
        <v>5.8999999999999999E-3</v>
      </c>
      <c r="L66" s="1285">
        <v>0</v>
      </c>
      <c r="M66" s="1285">
        <f t="shared" si="20"/>
        <v>-5.8999999999999999E-3</v>
      </c>
      <c r="N66" s="1285">
        <f t="shared" si="20"/>
        <v>-1.18E-2</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t="s">
        <v>3089</v>
      </c>
      <c r="D67" s="1286">
        <f t="shared" si="16"/>
        <v>0</v>
      </c>
      <c r="E67" s="825"/>
      <c r="F67" s="2501"/>
      <c r="G67" s="1284">
        <f t="shared" si="21"/>
        <v>2.8999999999999998E-3</v>
      </c>
      <c r="H67" s="1288">
        <f t="shared" si="17"/>
        <v>2.8999999999999998E-3</v>
      </c>
      <c r="I67" s="824">
        <v>0.06</v>
      </c>
      <c r="J67" s="1285">
        <f t="shared" si="18"/>
        <v>5.7999999999999996E-3</v>
      </c>
      <c r="K67" s="1285">
        <f t="shared" si="19"/>
        <v>2.8999999999999998E-3</v>
      </c>
      <c r="L67" s="1285">
        <v>0</v>
      </c>
      <c r="M67" s="1285">
        <f t="shared" si="20"/>
        <v>-2.8999999999999998E-3</v>
      </c>
      <c r="N67" s="1285">
        <f t="shared" si="20"/>
        <v>-5.7999999999999996E-3</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2955"/>
      <c r="C69" s="2955" t="s">
        <v>2941</v>
      </c>
      <c r="D69" s="2955" t="s">
        <v>2942</v>
      </c>
      <c r="E69" s="819" t="s">
        <v>2943</v>
      </c>
      <c r="F69" s="2871" t="s">
        <v>2959</v>
      </c>
      <c r="G69" s="2955" t="s">
        <v>754</v>
      </c>
      <c r="H69" s="2872" t="s">
        <v>2945</v>
      </c>
      <c r="I69" s="2955"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2">SUMIF($J$69:$N$69,C70,J70:N70)</f>
        <v>0</v>
      </c>
      <c r="E70" s="821">
        <f>ROUND(SUM(D70:D78),4)</f>
        <v>0</v>
      </c>
      <c r="F70" s="2501" t="str">
        <f>IF(E2="住宅",SUMIF(L1:L12,G2,N1:N12),"——")</f>
        <v>——</v>
      </c>
      <c r="G70" s="1284"/>
      <c r="H70" s="1288" t="str">
        <f t="shared" ref="H70:H78" si="23">IFERROR(ROUNDDOWN($F$70*I70/2,4),"——")</f>
        <v>——</v>
      </c>
      <c r="I70" s="820">
        <v>0.14000000000000001</v>
      </c>
      <c r="J70" s="1285">
        <f t="shared" ref="J70:J78" si="24">K70+$G70</f>
        <v>0</v>
      </c>
      <c r="K70" s="1285">
        <f t="shared" ref="K70:K78" si="25">$L70+$G70</f>
        <v>0</v>
      </c>
      <c r="L70" s="1285">
        <v>0</v>
      </c>
      <c r="M70" s="1285">
        <f t="shared" ref="M70:N78" si="26">L70-$G70</f>
        <v>0</v>
      </c>
      <c r="N70" s="1285">
        <f t="shared" si="26"/>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2"/>
        <v>0</v>
      </c>
      <c r="E71" s="826"/>
      <c r="F71" s="2501"/>
      <c r="G71" s="1284"/>
      <c r="H71" s="1288" t="str">
        <f t="shared" si="23"/>
        <v>——</v>
      </c>
      <c r="I71" s="820">
        <v>0.3</v>
      </c>
      <c r="J71" s="1285">
        <f t="shared" si="24"/>
        <v>0</v>
      </c>
      <c r="K71" s="1285">
        <f t="shared" si="25"/>
        <v>0</v>
      </c>
      <c r="L71" s="1285">
        <v>0</v>
      </c>
      <c r="M71" s="1285">
        <f t="shared" si="26"/>
        <v>0</v>
      </c>
      <c r="N71" s="1285">
        <f t="shared" si="26"/>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2"/>
        <v>0</v>
      </c>
      <c r="E72" s="826"/>
      <c r="F72" s="2501"/>
      <c r="G72" s="1284"/>
      <c r="H72" s="1288" t="str">
        <f t="shared" si="23"/>
        <v>——</v>
      </c>
      <c r="I72" s="820">
        <v>0.08</v>
      </c>
      <c r="J72" s="1285">
        <f t="shared" si="24"/>
        <v>0</v>
      </c>
      <c r="K72" s="1285">
        <f t="shared" si="25"/>
        <v>0</v>
      </c>
      <c r="L72" s="1285">
        <v>0</v>
      </c>
      <c r="M72" s="1285">
        <f t="shared" si="26"/>
        <v>0</v>
      </c>
      <c r="N72" s="1285">
        <f t="shared" si="26"/>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2"/>
        <v>0</v>
      </c>
      <c r="E73" s="826"/>
      <c r="F73" s="2501"/>
      <c r="G73" s="1284"/>
      <c r="H73" s="1288" t="str">
        <f t="shared" si="23"/>
        <v>——</v>
      </c>
      <c r="I73" s="820">
        <v>0.04</v>
      </c>
      <c r="J73" s="1285">
        <f t="shared" si="24"/>
        <v>0</v>
      </c>
      <c r="K73" s="1285">
        <f t="shared" si="25"/>
        <v>0</v>
      </c>
      <c r="L73" s="1285">
        <v>0</v>
      </c>
      <c r="M73" s="1285">
        <f t="shared" si="26"/>
        <v>0</v>
      </c>
      <c r="N73" s="1285">
        <f t="shared" si="26"/>
        <v>0</v>
      </c>
      <c r="AA73" s="1371"/>
      <c r="AB73" s="1371"/>
      <c r="AC73" s="1371"/>
      <c r="AD73" s="1371"/>
      <c r="AE73" s="1371"/>
      <c r="AF73" s="1371"/>
      <c r="AG73" s="1371"/>
      <c r="AH73" s="1371"/>
      <c r="AI73" s="1371"/>
      <c r="AJ73" s="1371"/>
      <c r="AK73" s="1371"/>
    </row>
    <row r="74" spans="1:37" s="1370" customFormat="1" ht="25.5">
      <c r="A74" s="2870" t="s">
        <v>2955</v>
      </c>
      <c r="B74" s="1725" t="str">
        <f>估价对象房地状况!C21</f>
        <v>估价对象所在区域公共配套设施齐备情况</v>
      </c>
      <c r="C74" s="2770"/>
      <c r="D74" s="1286">
        <f t="shared" si="22"/>
        <v>0</v>
      </c>
      <c r="E74" s="826"/>
      <c r="F74" s="2501"/>
      <c r="G74" s="1284"/>
      <c r="H74" s="1288" t="str">
        <f t="shared" si="23"/>
        <v>——</v>
      </c>
      <c r="I74" s="820">
        <v>0.08</v>
      </c>
      <c r="J74" s="1285">
        <f t="shared" si="24"/>
        <v>0</v>
      </c>
      <c r="K74" s="1285">
        <f t="shared" si="25"/>
        <v>0</v>
      </c>
      <c r="L74" s="1285">
        <v>0</v>
      </c>
      <c r="M74" s="1285">
        <f t="shared" si="26"/>
        <v>0</v>
      </c>
      <c r="N74" s="1285">
        <f t="shared" si="26"/>
        <v>0</v>
      </c>
      <c r="AA74" s="1371"/>
      <c r="AB74" s="1371"/>
      <c r="AC74" s="1371"/>
      <c r="AD74" s="1371"/>
      <c r="AE74" s="1371"/>
      <c r="AF74" s="1371"/>
      <c r="AG74" s="1371"/>
      <c r="AH74" s="1371"/>
      <c r="AI74" s="1371"/>
      <c r="AJ74" s="1371"/>
      <c r="AK74" s="1371"/>
    </row>
    <row r="75" spans="1:37" s="1370" customFormat="1" ht="25.5">
      <c r="A75" s="2870" t="s">
        <v>2956</v>
      </c>
      <c r="B75" s="1725" t="str">
        <f>估价对象房地状况!C22</f>
        <v>估价对象所在区域基础设施水平</v>
      </c>
      <c r="C75" s="2770"/>
      <c r="D75" s="1286">
        <f t="shared" si="22"/>
        <v>0</v>
      </c>
      <c r="E75" s="826"/>
      <c r="F75" s="2501"/>
      <c r="G75" s="1284"/>
      <c r="H75" s="1288" t="str">
        <f t="shared" si="23"/>
        <v>——</v>
      </c>
      <c r="I75" s="820">
        <v>0.12</v>
      </c>
      <c r="J75" s="1285">
        <f t="shared" si="24"/>
        <v>0</v>
      </c>
      <c r="K75" s="1285">
        <f t="shared" si="25"/>
        <v>0</v>
      </c>
      <c r="L75" s="1285">
        <v>0</v>
      </c>
      <c r="M75" s="1285">
        <f t="shared" si="26"/>
        <v>0</v>
      </c>
      <c r="N75" s="1285">
        <f t="shared" si="26"/>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2"/>
        <v>0</v>
      </c>
      <c r="E76" s="826"/>
      <c r="F76" s="2501"/>
      <c r="G76" s="1284"/>
      <c r="H76" s="1288" t="str">
        <f t="shared" si="23"/>
        <v>——</v>
      </c>
      <c r="I76" s="820">
        <v>0.05</v>
      </c>
      <c r="J76" s="1285">
        <f t="shared" si="24"/>
        <v>0</v>
      </c>
      <c r="K76" s="1285">
        <f t="shared" si="25"/>
        <v>0</v>
      </c>
      <c r="L76" s="1285">
        <v>0</v>
      </c>
      <c r="M76" s="1285">
        <f t="shared" si="26"/>
        <v>0</v>
      </c>
      <c r="N76" s="1285">
        <f t="shared" si="26"/>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2"/>
        <v>0</v>
      </c>
      <c r="E77" s="826"/>
      <c r="F77" s="2501"/>
      <c r="G77" s="1284"/>
      <c r="H77" s="1288" t="str">
        <f t="shared" si="23"/>
        <v>——</v>
      </c>
      <c r="I77" s="820">
        <v>0.15</v>
      </c>
      <c r="J77" s="1285">
        <f t="shared" si="24"/>
        <v>0</v>
      </c>
      <c r="K77" s="1285">
        <f t="shared" si="25"/>
        <v>0</v>
      </c>
      <c r="L77" s="1285">
        <v>0</v>
      </c>
      <c r="M77" s="1285">
        <f t="shared" si="26"/>
        <v>0</v>
      </c>
      <c r="N77" s="1285">
        <f t="shared" si="26"/>
        <v>0</v>
      </c>
      <c r="Z77" s="2720"/>
      <c r="AA77" s="2788"/>
      <c r="AG77" s="1372"/>
      <c r="AK77" s="2788"/>
    </row>
    <row r="78" spans="1:37" ht="24.75" thickBot="1">
      <c r="A78" s="2878" t="s">
        <v>2964</v>
      </c>
      <c r="B78" s="2882"/>
      <c r="C78" s="2770"/>
      <c r="D78" s="1286">
        <f t="shared" si="22"/>
        <v>0</v>
      </c>
      <c r="E78" s="827"/>
      <c r="F78" s="2501"/>
      <c r="G78" s="1284"/>
      <c r="H78" s="1288" t="str">
        <f t="shared" si="23"/>
        <v>——</v>
      </c>
      <c r="I78" s="824">
        <v>0.04</v>
      </c>
      <c r="J78" s="1285">
        <f t="shared" si="24"/>
        <v>0</v>
      </c>
      <c r="K78" s="1285">
        <f t="shared" si="25"/>
        <v>0</v>
      </c>
      <c r="L78" s="1285">
        <v>0</v>
      </c>
      <c r="M78" s="1285">
        <f t="shared" si="26"/>
        <v>0</v>
      </c>
      <c r="N78" s="1285">
        <f t="shared" si="26"/>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2955"/>
      <c r="C80" s="2955" t="s">
        <v>2941</v>
      </c>
      <c r="D80" s="2955" t="s">
        <v>2942</v>
      </c>
      <c r="E80" s="819" t="s">
        <v>2943</v>
      </c>
      <c r="F80" s="2871" t="s">
        <v>2959</v>
      </c>
      <c r="G80" s="2955" t="s">
        <v>754</v>
      </c>
      <c r="H80" s="2872" t="s">
        <v>2945</v>
      </c>
      <c r="I80" s="2955"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7">SUMIF($J$80:$N$80,C81,J81:N81)</f>
        <v>0</v>
      </c>
      <c r="E81" s="821">
        <f>ROUND(SUM(D81:D88),4)</f>
        <v>0</v>
      </c>
      <c r="F81" s="2501" t="str">
        <f>IF(E2="工业",SUMIF(L1:L12,G2,N1:N12),"——")</f>
        <v>——</v>
      </c>
      <c r="G81" s="1284"/>
      <c r="H81" s="1288" t="str">
        <f t="shared" ref="H81:H88" si="28">IFERROR(ROUNDDOWN($F$81*I81/2,4),"——")</f>
        <v>——</v>
      </c>
      <c r="I81" s="820">
        <v>0.26</v>
      </c>
      <c r="J81" s="1285">
        <f t="shared" ref="J81:J88" si="29">K81+$G81</f>
        <v>0</v>
      </c>
      <c r="K81" s="1285">
        <f t="shared" ref="K81:K88" si="30">$L81+$G81</f>
        <v>0</v>
      </c>
      <c r="L81" s="1285">
        <v>0</v>
      </c>
      <c r="M81" s="1285">
        <f t="shared" ref="M81:N88" si="31">L81-$G81</f>
        <v>0</v>
      </c>
      <c r="N81" s="1285">
        <f t="shared" si="31"/>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7"/>
        <v>0</v>
      </c>
      <c r="E82" s="826"/>
      <c r="F82" s="2501"/>
      <c r="G82" s="1284"/>
      <c r="H82" s="1288" t="str">
        <f t="shared" si="28"/>
        <v>——</v>
      </c>
      <c r="I82" s="820">
        <v>0.33</v>
      </c>
      <c r="J82" s="1285">
        <f t="shared" si="29"/>
        <v>0</v>
      </c>
      <c r="K82" s="1285">
        <f t="shared" si="30"/>
        <v>0</v>
      </c>
      <c r="L82" s="1285">
        <v>0</v>
      </c>
      <c r="M82" s="1285">
        <f t="shared" si="31"/>
        <v>0</v>
      </c>
      <c r="N82" s="1285">
        <f t="shared" si="31"/>
        <v>0</v>
      </c>
      <c r="Z82" s="2720"/>
      <c r="AA82" s="2788"/>
      <c r="AG82" s="1372"/>
      <c r="AK82" s="2788"/>
    </row>
    <row r="83" spans="1:37" ht="24">
      <c r="A83" s="2870" t="s">
        <v>2949</v>
      </c>
      <c r="B83" s="2874">
        <f>估价对象房地状况!G17</f>
        <v>0</v>
      </c>
      <c r="C83" s="2770"/>
      <c r="D83" s="1286">
        <f t="shared" si="27"/>
        <v>0</v>
      </c>
      <c r="E83" s="826"/>
      <c r="F83" s="2501"/>
      <c r="G83" s="1284"/>
      <c r="H83" s="1288" t="str">
        <f t="shared" si="28"/>
        <v>——</v>
      </c>
      <c r="I83" s="820">
        <v>0.05</v>
      </c>
      <c r="J83" s="1285">
        <f t="shared" si="29"/>
        <v>0</v>
      </c>
      <c r="K83" s="1285">
        <f t="shared" si="30"/>
        <v>0</v>
      </c>
      <c r="L83" s="1285">
        <v>0</v>
      </c>
      <c r="M83" s="1285">
        <f t="shared" si="31"/>
        <v>0</v>
      </c>
      <c r="N83" s="1285">
        <f t="shared" si="31"/>
        <v>0</v>
      </c>
      <c r="Z83" s="2720"/>
      <c r="AA83" s="2788"/>
      <c r="AG83" s="1372"/>
      <c r="AK83" s="2788"/>
    </row>
    <row r="84" spans="1:37" ht="14.25">
      <c r="A84" s="2870" t="s">
        <v>2963</v>
      </c>
      <c r="B84" s="2874">
        <f>估价对象房地状况!G22</f>
        <v>0</v>
      </c>
      <c r="C84" s="2770"/>
      <c r="D84" s="1286">
        <f t="shared" si="27"/>
        <v>0</v>
      </c>
      <c r="E84" s="826"/>
      <c r="F84" s="2501"/>
      <c r="G84" s="1284"/>
      <c r="H84" s="1288" t="str">
        <f t="shared" si="28"/>
        <v>——</v>
      </c>
      <c r="I84" s="820">
        <v>0.04</v>
      </c>
      <c r="J84" s="1285">
        <f t="shared" si="29"/>
        <v>0</v>
      </c>
      <c r="K84" s="1285">
        <f t="shared" si="30"/>
        <v>0</v>
      </c>
      <c r="L84" s="1285">
        <v>0</v>
      </c>
      <c r="M84" s="1285">
        <f t="shared" si="31"/>
        <v>0</v>
      </c>
      <c r="N84" s="1285">
        <f t="shared" si="31"/>
        <v>0</v>
      </c>
      <c r="Z84" s="2720"/>
      <c r="AA84" s="2788"/>
      <c r="AG84" s="1372"/>
      <c r="AK84" s="2788"/>
    </row>
    <row r="85" spans="1:37" ht="25.5">
      <c r="A85" s="2870" t="s">
        <v>2955</v>
      </c>
      <c r="B85" s="1725" t="str">
        <f>估价对象房地状况!G19</f>
        <v>估价对象所在区域公共配套设施齐备情况</v>
      </c>
      <c r="C85" s="2770"/>
      <c r="D85" s="1286">
        <f t="shared" si="27"/>
        <v>0</v>
      </c>
      <c r="E85" s="826"/>
      <c r="F85" s="2501"/>
      <c r="G85" s="1284"/>
      <c r="H85" s="1288" t="str">
        <f t="shared" si="28"/>
        <v>——</v>
      </c>
      <c r="I85" s="820">
        <v>0.06</v>
      </c>
      <c r="J85" s="1285">
        <f t="shared" si="29"/>
        <v>0</v>
      </c>
      <c r="K85" s="1285">
        <f t="shared" si="30"/>
        <v>0</v>
      </c>
      <c r="L85" s="1285">
        <v>0</v>
      </c>
      <c r="M85" s="1285">
        <f t="shared" si="31"/>
        <v>0</v>
      </c>
      <c r="N85" s="1285">
        <f t="shared" si="31"/>
        <v>0</v>
      </c>
      <c r="Z85" s="2720"/>
      <c r="AA85" s="2788"/>
      <c r="AG85" s="1372"/>
      <c r="AK85" s="2788"/>
    </row>
    <row r="86" spans="1:37" ht="25.5">
      <c r="A86" s="2870" t="s">
        <v>2956</v>
      </c>
      <c r="B86" s="1725" t="str">
        <f>估价对象房地状况!G20</f>
        <v>估价对象所在区域基础设施水平</v>
      </c>
      <c r="C86" s="2770"/>
      <c r="D86" s="1286">
        <f t="shared" si="27"/>
        <v>0</v>
      </c>
      <c r="E86" s="826"/>
      <c r="F86" s="2501"/>
      <c r="G86" s="1284"/>
      <c r="H86" s="1288" t="str">
        <f t="shared" si="28"/>
        <v>——</v>
      </c>
      <c r="I86" s="820">
        <v>0.15</v>
      </c>
      <c r="J86" s="1285">
        <f t="shared" si="29"/>
        <v>0</v>
      </c>
      <c r="K86" s="1285">
        <f t="shared" si="30"/>
        <v>0</v>
      </c>
      <c r="L86" s="1285">
        <v>0</v>
      </c>
      <c r="M86" s="1285">
        <f t="shared" si="31"/>
        <v>0</v>
      </c>
      <c r="N86" s="1285">
        <f t="shared" si="31"/>
        <v>0</v>
      </c>
      <c r="Z86" s="2720"/>
      <c r="AA86" s="2788"/>
      <c r="AG86" s="1372"/>
      <c r="AK86" s="2788"/>
    </row>
    <row r="87" spans="1:37" ht="24">
      <c r="A87" s="2870" t="s">
        <v>2953</v>
      </c>
      <c r="B87" s="2876" t="s">
        <v>2967</v>
      </c>
      <c r="C87" s="2770"/>
      <c r="D87" s="1286">
        <f t="shared" si="27"/>
        <v>0</v>
      </c>
      <c r="E87" s="826"/>
      <c r="F87" s="2501"/>
      <c r="G87" s="1284"/>
      <c r="H87" s="1288" t="str">
        <f t="shared" si="28"/>
        <v>——</v>
      </c>
      <c r="I87" s="820">
        <v>0.05</v>
      </c>
      <c r="J87" s="1285">
        <f t="shared" si="29"/>
        <v>0</v>
      </c>
      <c r="K87" s="1285">
        <f t="shared" si="30"/>
        <v>0</v>
      </c>
      <c r="L87" s="1285">
        <v>0</v>
      </c>
      <c r="M87" s="1285">
        <f t="shared" si="31"/>
        <v>0</v>
      </c>
      <c r="N87" s="1285">
        <f t="shared" si="31"/>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7"/>
        <v>0</v>
      </c>
      <c r="E88" s="827"/>
      <c r="F88" s="2501"/>
      <c r="G88" s="1284"/>
      <c r="H88" s="1288" t="str">
        <f t="shared" si="28"/>
        <v>——</v>
      </c>
      <c r="I88" s="824">
        <v>0.06</v>
      </c>
      <c r="J88" s="1285">
        <f t="shared" si="29"/>
        <v>0</v>
      </c>
      <c r="K88" s="1285">
        <f t="shared" si="30"/>
        <v>0</v>
      </c>
      <c r="L88" s="1285">
        <v>0</v>
      </c>
      <c r="M88" s="1285">
        <f t="shared" si="31"/>
        <v>0</v>
      </c>
      <c r="N88" s="1285">
        <f t="shared" si="31"/>
        <v>0</v>
      </c>
      <c r="Z88" s="2720"/>
      <c r="AA88" s="2788"/>
      <c r="AG88" s="1372"/>
      <c r="AK88" s="2788"/>
    </row>
    <row r="90" spans="1:37">
      <c r="A90" s="3231" t="s">
        <v>2969</v>
      </c>
      <c r="B90" s="3231"/>
      <c r="C90" s="3231"/>
      <c r="D90" s="3231"/>
      <c r="E90" s="3231"/>
      <c r="F90" s="3231"/>
      <c r="G90" s="3231"/>
      <c r="H90" s="3231"/>
      <c r="I90" s="3231"/>
      <c r="J90" s="3231"/>
      <c r="K90" s="2964"/>
      <c r="L90" s="2964"/>
      <c r="M90" s="2964"/>
      <c r="N90" s="2964"/>
    </row>
    <row r="91" spans="1:37">
      <c r="A91" s="3233" t="s">
        <v>2970</v>
      </c>
      <c r="B91" s="3233" t="s">
        <v>2971</v>
      </c>
      <c r="C91" s="2838" t="s">
        <v>2972</v>
      </c>
      <c r="D91" s="2839"/>
      <c r="E91" s="2839"/>
      <c r="F91" s="2839"/>
      <c r="G91" s="2839"/>
      <c r="H91" s="2839"/>
      <c r="I91" s="2839"/>
      <c r="J91" s="2885"/>
      <c r="K91" s="2886"/>
      <c r="L91" s="2886"/>
      <c r="M91" s="2886"/>
      <c r="N91" s="2886"/>
    </row>
    <row r="92" spans="1:37">
      <c r="A92" s="3233"/>
      <c r="B92" s="3233"/>
      <c r="C92" s="2966" t="s">
        <v>2838</v>
      </c>
      <c r="D92" s="2966" t="s">
        <v>2839</v>
      </c>
      <c r="E92" s="2966" t="s">
        <v>2840</v>
      </c>
      <c r="F92" s="2966" t="s">
        <v>2841</v>
      </c>
      <c r="G92" s="2966" t="s">
        <v>2842</v>
      </c>
      <c r="H92" s="2966" t="s">
        <v>2843</v>
      </c>
      <c r="I92" s="2966" t="s">
        <v>2844</v>
      </c>
      <c r="J92" s="2966" t="s">
        <v>2845</v>
      </c>
      <c r="K92" s="2966" t="s">
        <v>2846</v>
      </c>
      <c r="L92" s="2966" t="s">
        <v>2847</v>
      </c>
      <c r="M92" s="2966" t="s">
        <v>2848</v>
      </c>
      <c r="N92" s="2966" t="s">
        <v>2849</v>
      </c>
    </row>
    <row r="93" spans="1:37">
      <c r="A93" s="323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3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3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3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3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3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35"/>
      <c r="B99" s="2887" t="s">
        <v>2854</v>
      </c>
      <c r="C99" s="2889">
        <f>$I$3</f>
        <v>0</v>
      </c>
      <c r="D99" s="2889">
        <f t="shared" ref="D99:M99" si="32">$I$3</f>
        <v>0</v>
      </c>
      <c r="E99" s="2889">
        <f t="shared" si="32"/>
        <v>0</v>
      </c>
      <c r="F99" s="2889">
        <f t="shared" si="32"/>
        <v>0</v>
      </c>
      <c r="G99" s="2889">
        <f t="shared" si="32"/>
        <v>0</v>
      </c>
      <c r="H99" s="2889">
        <f t="shared" si="32"/>
        <v>0</v>
      </c>
      <c r="I99" s="2889">
        <f t="shared" si="32"/>
        <v>0</v>
      </c>
      <c r="J99" s="2889">
        <f t="shared" si="32"/>
        <v>0</v>
      </c>
      <c r="K99" s="2889">
        <f t="shared" si="32"/>
        <v>0</v>
      </c>
      <c r="L99" s="2889">
        <f t="shared" si="32"/>
        <v>0</v>
      </c>
      <c r="M99" s="2889">
        <f t="shared" si="32"/>
        <v>0</v>
      </c>
      <c r="N99" s="2889">
        <f>$I$3</f>
        <v>0</v>
      </c>
    </row>
    <row r="100" spans="1:14">
      <c r="A100" s="323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34" t="s">
        <v>2974</v>
      </c>
      <c r="B101" s="2891" t="s">
        <v>2975</v>
      </c>
      <c r="C101" s="2892">
        <f>$G$3</f>
        <v>5.23</v>
      </c>
      <c r="D101" s="2892">
        <f t="shared" ref="D101:N101" si="33">$G$3</f>
        <v>5.23</v>
      </c>
      <c r="E101" s="2892">
        <f t="shared" si="33"/>
        <v>5.23</v>
      </c>
      <c r="F101" s="2892">
        <f t="shared" si="33"/>
        <v>5.23</v>
      </c>
      <c r="G101" s="2892">
        <f t="shared" si="33"/>
        <v>5.23</v>
      </c>
      <c r="H101" s="2892">
        <f t="shared" si="33"/>
        <v>5.23</v>
      </c>
      <c r="I101" s="2892">
        <f t="shared" si="33"/>
        <v>5.23</v>
      </c>
      <c r="J101" s="2892">
        <f t="shared" si="33"/>
        <v>5.23</v>
      </c>
      <c r="K101" s="2892">
        <f t="shared" si="33"/>
        <v>5.23</v>
      </c>
      <c r="L101" s="2892">
        <f t="shared" si="33"/>
        <v>5.23</v>
      </c>
      <c r="M101" s="2892">
        <f t="shared" si="33"/>
        <v>5.23</v>
      </c>
      <c r="N101" s="2892">
        <f t="shared" si="33"/>
        <v>5.23</v>
      </c>
    </row>
    <row r="102" spans="1:14">
      <c r="A102" s="3235"/>
      <c r="B102" s="2887">
        <v>1</v>
      </c>
      <c r="C102" s="2888">
        <f>1.9362/C101</f>
        <v>0.3702103250478011</v>
      </c>
      <c r="D102" s="2888">
        <f>1.9362/D101</f>
        <v>0.3702103250478011</v>
      </c>
      <c r="E102" s="2888">
        <f>1.8629/E101</f>
        <v>0.35619502868068831</v>
      </c>
      <c r="F102" s="2888">
        <f>1.8629/F101</f>
        <v>0.35619502868068831</v>
      </c>
      <c r="G102" s="2888">
        <f>1.8629/G101</f>
        <v>0.35619502868068831</v>
      </c>
      <c r="H102" s="2888">
        <f>1.8629/H101</f>
        <v>0.35619502868068831</v>
      </c>
      <c r="I102" s="2888">
        <f>1.8629/I101</f>
        <v>0.35619502868068831</v>
      </c>
      <c r="J102" s="2888">
        <f>1.942/J101</f>
        <v>0.37131931166347987</v>
      </c>
      <c r="K102" s="2888">
        <f>1.942/K101</f>
        <v>0.37131931166347987</v>
      </c>
      <c r="L102" s="2888">
        <f>1.942/L101</f>
        <v>0.37131931166347987</v>
      </c>
      <c r="M102" s="2888">
        <f>1.942/M101</f>
        <v>0.37131931166347987</v>
      </c>
      <c r="N102" s="2888">
        <f>1.942/N101</f>
        <v>0.37131931166347987</v>
      </c>
    </row>
    <row r="103" spans="1:14">
      <c r="A103" s="3235"/>
      <c r="B103" s="2887">
        <v>2</v>
      </c>
      <c r="C103" s="2888">
        <f>1.4198/C101</f>
        <v>0.27147227533460799</v>
      </c>
      <c r="D103" s="2888">
        <f>1.4198/D101</f>
        <v>0.27147227533460799</v>
      </c>
      <c r="E103" s="2888">
        <f>1.3372/E101</f>
        <v>0.25567877629063096</v>
      </c>
      <c r="F103" s="2888">
        <f>1.3372/F101</f>
        <v>0.25567877629063096</v>
      </c>
      <c r="G103" s="2888">
        <f>1.3372/G101</f>
        <v>0.25567877629063096</v>
      </c>
      <c r="H103" s="2888">
        <f>1.3372/H101</f>
        <v>0.25567877629063096</v>
      </c>
      <c r="I103" s="2888">
        <f>1.3372/I101</f>
        <v>0.25567877629063096</v>
      </c>
      <c r="J103" s="2888">
        <f>1.2799/J101</f>
        <v>0.24472275334608029</v>
      </c>
      <c r="K103" s="2888">
        <f>1.2799/K101</f>
        <v>0.24472275334608029</v>
      </c>
      <c r="L103" s="2888">
        <f>1.2799/L101</f>
        <v>0.24472275334608029</v>
      </c>
      <c r="M103" s="2888">
        <f>1.2799/M101</f>
        <v>0.24472275334608029</v>
      </c>
      <c r="N103" s="2888">
        <f>1.2799/N101</f>
        <v>0.24472275334608029</v>
      </c>
    </row>
    <row r="104" spans="1:14">
      <c r="A104" s="3235"/>
      <c r="B104" s="2887">
        <v>3</v>
      </c>
      <c r="C104" s="2888">
        <f>1.1594/C101</f>
        <v>0.22168260038240917</v>
      </c>
      <c r="D104" s="2888">
        <f>1.1594/D101</f>
        <v>0.22168260038240917</v>
      </c>
      <c r="E104" s="2888">
        <f>1.0788/E101</f>
        <v>0.20627151051625237</v>
      </c>
      <c r="F104" s="2888">
        <f>1.0788/F101</f>
        <v>0.20627151051625237</v>
      </c>
      <c r="G104" s="2888">
        <f>1.0788/G101</f>
        <v>0.20627151051625237</v>
      </c>
      <c r="H104" s="2888">
        <f>1.0788/H101</f>
        <v>0.20627151051625237</v>
      </c>
      <c r="I104" s="2888">
        <f>1.0788/I101</f>
        <v>0.20627151051625237</v>
      </c>
      <c r="J104" s="2888">
        <f>1.0072/J101</f>
        <v>0.1925812619502868</v>
      </c>
      <c r="K104" s="2888">
        <f>1.0072/K101</f>
        <v>0.1925812619502868</v>
      </c>
      <c r="L104" s="2888">
        <f>1.0072/L101</f>
        <v>0.1925812619502868</v>
      </c>
      <c r="M104" s="2888">
        <f>1.0072/M101</f>
        <v>0.1925812619502868</v>
      </c>
      <c r="N104" s="2888">
        <f>1.0072/N101</f>
        <v>0.1925812619502868</v>
      </c>
    </row>
    <row r="105" spans="1:14">
      <c r="A105" s="3235"/>
      <c r="B105" s="2887">
        <v>4</v>
      </c>
      <c r="C105" s="2888">
        <f>0.9622/C101</f>
        <v>0.18397705544933077</v>
      </c>
      <c r="D105" s="2888">
        <f>0.9622/D101</f>
        <v>0.18397705544933077</v>
      </c>
      <c r="E105" s="2888">
        <f>0.8656/E101</f>
        <v>0.16550669216061184</v>
      </c>
      <c r="F105" s="2888">
        <f>0.8656/F101</f>
        <v>0.16550669216061184</v>
      </c>
      <c r="G105" s="2888">
        <f>0.8656/G101</f>
        <v>0.16550669216061184</v>
      </c>
      <c r="H105" s="2888">
        <f>0.8656/H101</f>
        <v>0.16550669216061184</v>
      </c>
      <c r="I105" s="2888">
        <f>0.8656/I101</f>
        <v>0.16550669216061184</v>
      </c>
      <c r="J105" s="2888">
        <f>0.7525/J101</f>
        <v>0.14388145315487569</v>
      </c>
      <c r="K105" s="2888">
        <f>0.7525/K101</f>
        <v>0.14388145315487569</v>
      </c>
      <c r="L105" s="2888">
        <f>0.7525/L101</f>
        <v>0.14388145315487569</v>
      </c>
      <c r="M105" s="2888">
        <f>0.7525/M101</f>
        <v>0.14388145315487569</v>
      </c>
      <c r="N105" s="2888">
        <f>0.7525/N101</f>
        <v>0.14388145315487569</v>
      </c>
    </row>
    <row r="106" spans="1:14">
      <c r="A106" s="3235"/>
      <c r="B106" s="2887">
        <v>5</v>
      </c>
      <c r="C106" s="2888">
        <f>0.8417/C101</f>
        <v>0.16093690248565964</v>
      </c>
      <c r="D106" s="2888">
        <f>0.8417/D101</f>
        <v>0.16093690248565964</v>
      </c>
      <c r="E106" s="2888">
        <f>0.7371/E101</f>
        <v>0.14093690248565963</v>
      </c>
      <c r="F106" s="2888">
        <f>0.7371/F101</f>
        <v>0.14093690248565963</v>
      </c>
      <c r="G106" s="2888">
        <f>0.7371/G101</f>
        <v>0.14093690248565963</v>
      </c>
      <c r="H106" s="2888">
        <f>0.7371/H101</f>
        <v>0.14093690248565963</v>
      </c>
      <c r="I106" s="2888">
        <f>0.7371/I101</f>
        <v>0.14093690248565963</v>
      </c>
      <c r="J106" s="2888">
        <f>0.5659/J101</f>
        <v>0.10820267686424473</v>
      </c>
      <c r="K106" s="2888">
        <f>0.5659/K101</f>
        <v>0.10820267686424473</v>
      </c>
      <c r="L106" s="2888">
        <f>0.5659/L101</f>
        <v>0.10820267686424473</v>
      </c>
      <c r="M106" s="2888">
        <f>0.5659/M101</f>
        <v>0.10820267686424473</v>
      </c>
      <c r="N106" s="2888">
        <f>0.5659/N101</f>
        <v>0.10820267686424473</v>
      </c>
    </row>
    <row r="107" spans="1:14">
      <c r="A107" s="3235"/>
      <c r="B107" s="2887">
        <v>6</v>
      </c>
      <c r="C107" s="2888">
        <f>0.7608/C101</f>
        <v>0.14546845124282981</v>
      </c>
      <c r="D107" s="2888">
        <f>0.7608/D101</f>
        <v>0.14546845124282981</v>
      </c>
      <c r="E107" s="2888">
        <f>0.6482/E101</f>
        <v>0.12393881453154874</v>
      </c>
      <c r="F107" s="2888">
        <f>0.6482/F101</f>
        <v>0.12393881453154874</v>
      </c>
      <c r="G107" s="2888">
        <f>0.6482/G101</f>
        <v>0.12393881453154874</v>
      </c>
      <c r="H107" s="2888">
        <f>0.6482/H101</f>
        <v>0.12393881453154874</v>
      </c>
      <c r="I107" s="2888">
        <f>0.6482/I101</f>
        <v>0.12393881453154874</v>
      </c>
      <c r="J107" s="2888">
        <f>0.4525/J101</f>
        <v>8.6520076481835559E-2</v>
      </c>
      <c r="K107" s="2888">
        <f>0.4525/K101</f>
        <v>8.6520076481835559E-2</v>
      </c>
      <c r="L107" s="2888">
        <f>0.4525/L101</f>
        <v>8.6520076481835559E-2</v>
      </c>
      <c r="M107" s="2888">
        <f>0.4525/M101</f>
        <v>8.6520076481835559E-2</v>
      </c>
      <c r="N107" s="2888">
        <f>0.4525/N101</f>
        <v>8.6520076481835559E-2</v>
      </c>
    </row>
    <row r="108" spans="1:14">
      <c r="A108" s="3235"/>
      <c r="B108" s="3145" t="s">
        <v>2867</v>
      </c>
      <c r="C108" s="2889">
        <f>C99</f>
        <v>0</v>
      </c>
      <c r="D108" s="2889">
        <f t="shared" ref="D108:N108" si="34">D99</f>
        <v>0</v>
      </c>
      <c r="E108" s="2889">
        <f t="shared" si="34"/>
        <v>0</v>
      </c>
      <c r="F108" s="2889">
        <f t="shared" si="34"/>
        <v>0</v>
      </c>
      <c r="G108" s="2889">
        <f t="shared" si="34"/>
        <v>0</v>
      </c>
      <c r="H108" s="2889">
        <f t="shared" si="34"/>
        <v>0</v>
      </c>
      <c r="I108" s="2889">
        <f t="shared" si="34"/>
        <v>0</v>
      </c>
      <c r="J108" s="2889">
        <f t="shared" si="34"/>
        <v>0</v>
      </c>
      <c r="K108" s="2889">
        <f t="shared" si="34"/>
        <v>0</v>
      </c>
      <c r="L108" s="2889">
        <f t="shared" si="34"/>
        <v>0</v>
      </c>
      <c r="M108" s="2889">
        <f t="shared" si="34"/>
        <v>0</v>
      </c>
      <c r="N108" s="2889">
        <f t="shared" si="34"/>
        <v>0</v>
      </c>
    </row>
    <row r="109" spans="1:14">
      <c r="A109" s="3236"/>
      <c r="B109" s="3146"/>
      <c r="C109" s="2890">
        <f>(-0.163*(C108^2)-0.59*C108+7617)*(10^(-4))/C101</f>
        <v>0.14564053537284893</v>
      </c>
      <c r="D109" s="2890">
        <f>(-0.163*(D108^2)-0.59*D108+7617)*(10^(-4))/D101</f>
        <v>0.14564053537284893</v>
      </c>
      <c r="E109" s="2890">
        <f>(-0.161*(E108^2)-7.509*E108+6533)*(10^(-4))/E101</f>
        <v>0.12491395793499042</v>
      </c>
      <c r="F109" s="2890">
        <f>(-0.161*(F108^2)-7.509*F108+6533)*(10^(-4))/F101</f>
        <v>0.12491395793499042</v>
      </c>
      <c r="G109" s="2890">
        <f>(-0.161*(G108^2)-7.509*G108+6533)*(10^(-4))/G101</f>
        <v>0.12491395793499042</v>
      </c>
      <c r="H109" s="2890">
        <f>(-0.161*(H108^2)-7.509*H108+6533)*(10^(-4))/H101</f>
        <v>0.12491395793499042</v>
      </c>
      <c r="I109" s="2890">
        <f>(-0.161*(I108^2)-7.509*I108+6533)*(10^(-4))/I101</f>
        <v>0.12491395793499042</v>
      </c>
      <c r="J109" s="2890">
        <f>(-0.214*(J108^2)-21.991*J108+4665)*(10^(-4))/J101</f>
        <v>8.9196940726577439E-2</v>
      </c>
      <c r="K109" s="2890">
        <f>(-0.214*(K108^2)-21.991*K108+4665)*(10^(-4))/K101</f>
        <v>8.9196940726577439E-2</v>
      </c>
      <c r="L109" s="2890">
        <f>(-0.214*(L108^2)-21.991*L108+4665)*(10^(-4))/L101</f>
        <v>8.9196940726577439E-2</v>
      </c>
      <c r="M109" s="2890">
        <f>(-0.214*(M108^2)-21.991*M108+4665)*(10^(-4))/M101</f>
        <v>8.9196940726577439E-2</v>
      </c>
      <c r="N109" s="2890">
        <f>(-0.214*(N108^2)-21.991*N108+4665)*(10^(-4))/N101</f>
        <v>8.9196940726577439E-2</v>
      </c>
    </row>
    <row r="110" spans="1:14">
      <c r="A110" s="3232" t="s">
        <v>2977</v>
      </c>
      <c r="B110" s="3232"/>
      <c r="C110" s="3232"/>
      <c r="D110" s="3232"/>
      <c r="E110" s="3232"/>
      <c r="F110" s="3232"/>
      <c r="G110" s="3232"/>
      <c r="H110" s="3232"/>
      <c r="I110" s="3232"/>
      <c r="J110" s="3232"/>
      <c r="K110" s="2965"/>
      <c r="L110" s="2965"/>
      <c r="M110" s="2965"/>
      <c r="N110" s="2965"/>
    </row>
    <row r="112" spans="1:14" ht="13.5" thickBot="1"/>
    <row r="113" spans="1:13" ht="25.5" thickBot="1">
      <c r="A113" s="903" t="s">
        <v>2978</v>
      </c>
      <c r="B113" s="1287">
        <f>G3</f>
        <v>5.23</v>
      </c>
      <c r="C113" s="904" t="s">
        <v>2979</v>
      </c>
      <c r="D113" s="905">
        <f>SUMPRODUCT((A115:A118=F113)*(B114:M114=H113)*B115:M118)</f>
        <v>0.78869999999999996</v>
      </c>
      <c r="E113" s="2724" t="s">
        <v>2811</v>
      </c>
      <c r="F113" s="2895" t="str">
        <f>E2</f>
        <v>办公</v>
      </c>
      <c r="G113" s="2724" t="s">
        <v>2812</v>
      </c>
      <c r="H113" s="2895" t="str">
        <f>G2</f>
        <v>五级</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0.88429999999999997</v>
      </c>
      <c r="C115" s="910">
        <f>B115</f>
        <v>0.88429999999999997</v>
      </c>
      <c r="D115" s="910">
        <f>ROUND(0.8331-0.0109*B113,4)</f>
        <v>0.77610000000000001</v>
      </c>
      <c r="E115" s="910">
        <f>D115</f>
        <v>0.77610000000000001</v>
      </c>
      <c r="F115" s="910">
        <f>E115</f>
        <v>0.77610000000000001</v>
      </c>
      <c r="G115" s="910">
        <f>F115</f>
        <v>0.77610000000000001</v>
      </c>
      <c r="H115" s="910">
        <f>G115</f>
        <v>0.77610000000000001</v>
      </c>
      <c r="I115" s="910">
        <f>ROUND(0.689-0.0155*B113,4)</f>
        <v>0.6079</v>
      </c>
      <c r="J115" s="910">
        <f t="shared" ref="J115:M118" si="35">I115</f>
        <v>0.6079</v>
      </c>
      <c r="K115" s="910">
        <f t="shared" si="35"/>
        <v>0.6079</v>
      </c>
      <c r="L115" s="910">
        <f t="shared" si="35"/>
        <v>0.6079</v>
      </c>
      <c r="M115" s="911">
        <f t="shared" si="35"/>
        <v>0.6079</v>
      </c>
    </row>
    <row r="116" spans="1:13">
      <c r="A116" s="909" t="s">
        <v>2877</v>
      </c>
      <c r="B116" s="910">
        <f>ROUND(0.949-0.012*B113,4)</f>
        <v>0.88619999999999999</v>
      </c>
      <c r="C116" s="910">
        <f>B116</f>
        <v>0.88619999999999999</v>
      </c>
      <c r="D116" s="910">
        <f>ROUND(0.8567-0.013*B113,4)</f>
        <v>0.78869999999999996</v>
      </c>
      <c r="E116" s="910">
        <f t="shared" ref="E116:H117" si="36">D116</f>
        <v>0.78869999999999996</v>
      </c>
      <c r="F116" s="910">
        <f t="shared" si="36"/>
        <v>0.78869999999999996</v>
      </c>
      <c r="G116" s="910">
        <f t="shared" si="36"/>
        <v>0.78869999999999996</v>
      </c>
      <c r="H116" s="910">
        <f t="shared" si="36"/>
        <v>0.78869999999999996</v>
      </c>
      <c r="I116" s="910">
        <f>ROUND(0.7694-0.014*B113,4)</f>
        <v>0.69620000000000004</v>
      </c>
      <c r="J116" s="910">
        <f t="shared" si="35"/>
        <v>0.69620000000000004</v>
      </c>
      <c r="K116" s="910">
        <f t="shared" si="35"/>
        <v>0.69620000000000004</v>
      </c>
      <c r="L116" s="910">
        <f t="shared" si="35"/>
        <v>0.69620000000000004</v>
      </c>
      <c r="M116" s="911">
        <f t="shared" si="35"/>
        <v>0.69620000000000004</v>
      </c>
    </row>
    <row r="117" spans="1:13">
      <c r="A117" s="909" t="s">
        <v>2878</v>
      </c>
      <c r="B117" s="910">
        <f>ROUND(0.8808-0.006*B113,4)</f>
        <v>0.84940000000000004</v>
      </c>
      <c r="C117" s="910">
        <f>B117</f>
        <v>0.84940000000000004</v>
      </c>
      <c r="D117" s="910">
        <f>ROUND(0.8748-0.008*B113,4)</f>
        <v>0.83299999999999996</v>
      </c>
      <c r="E117" s="910">
        <f t="shared" si="36"/>
        <v>0.83299999999999996</v>
      </c>
      <c r="F117" s="910">
        <f t="shared" si="36"/>
        <v>0.83299999999999996</v>
      </c>
      <c r="G117" s="910">
        <f t="shared" si="36"/>
        <v>0.83299999999999996</v>
      </c>
      <c r="H117" s="910">
        <f t="shared" si="36"/>
        <v>0.83299999999999996</v>
      </c>
      <c r="I117" s="910">
        <f>ROUND(0.7412-0.0095*B113,4)</f>
        <v>0.6915</v>
      </c>
      <c r="J117" s="910">
        <f t="shared" si="35"/>
        <v>0.6915</v>
      </c>
      <c r="K117" s="910">
        <f t="shared" si="35"/>
        <v>0.6915</v>
      </c>
      <c r="L117" s="910">
        <f t="shared" si="35"/>
        <v>0.6915</v>
      </c>
      <c r="M117" s="911">
        <f t="shared" si="35"/>
        <v>0.6915</v>
      </c>
    </row>
    <row r="118" spans="1:13" ht="13.5" thickBot="1">
      <c r="A118" s="714" t="s">
        <v>2879</v>
      </c>
      <c r="B118" s="912">
        <f>ROUND(0.7275-0.01*B113,4)</f>
        <v>0.67520000000000002</v>
      </c>
      <c r="C118" s="912">
        <f>B118</f>
        <v>0.67520000000000002</v>
      </c>
      <c r="D118" s="912">
        <f>ROUND(0.7043-0.012*B113,4)</f>
        <v>0.64149999999999996</v>
      </c>
      <c r="E118" s="912">
        <f>D118</f>
        <v>0.64149999999999996</v>
      </c>
      <c r="F118" s="912">
        <f>E118</f>
        <v>0.64149999999999996</v>
      </c>
      <c r="G118" s="912">
        <f>ROUND(0.6299-0.0122*B113,4)</f>
        <v>0.56610000000000005</v>
      </c>
      <c r="H118" s="912">
        <f>G118</f>
        <v>0.56610000000000005</v>
      </c>
      <c r="I118" s="912">
        <f>ROUND(0.5667-0.0136*B113,4)</f>
        <v>0.49559999999999998</v>
      </c>
      <c r="J118" s="912">
        <f t="shared" si="35"/>
        <v>0.49559999999999998</v>
      </c>
      <c r="K118" s="912">
        <f t="shared" si="35"/>
        <v>0.49559999999999998</v>
      </c>
      <c r="L118" s="912">
        <f t="shared" si="35"/>
        <v>0.49559999999999998</v>
      </c>
      <c r="M118" s="913">
        <f t="shared" si="35"/>
        <v>0.49559999999999998</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1" sqref="H11"/>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2999</v>
      </c>
    </row>
    <row r="2" spans="1:5" ht="15.75">
      <c r="A2" s="2902" t="s">
        <v>2992</v>
      </c>
      <c r="B2" s="2903">
        <f ca="1">SUMIF(B6:B13,"&lt;&gt;#ref!",B6:B13)</f>
        <v>249149</v>
      </c>
      <c r="C2" s="2902" t="s">
        <v>2993</v>
      </c>
      <c r="D2" s="2902" t="s">
        <v>2994</v>
      </c>
      <c r="E2" s="2903">
        <f ca="1">SUMIF(E6:E13,"&lt;&gt;#ref!",E6:E13)</f>
        <v>280110.75</v>
      </c>
    </row>
    <row r="3" spans="1:5" ht="15.75">
      <c r="A3" s="2902" t="s">
        <v>2995</v>
      </c>
      <c r="B3" s="2903">
        <f ca="1">ROUND(B2*10000/E2,0)</f>
        <v>8895</v>
      </c>
      <c r="C3" s="2902" t="s">
        <v>3000</v>
      </c>
      <c r="D3" s="2904"/>
      <c r="E3" s="2904"/>
    </row>
    <row r="4" spans="1:5" ht="15.75">
      <c r="A4" s="2905"/>
      <c r="B4" s="2904"/>
      <c r="C4" s="2904"/>
      <c r="D4" s="2904"/>
      <c r="E4" s="2904"/>
    </row>
    <row r="5" spans="1:5" ht="28.5">
      <c r="A5" s="2906" t="s">
        <v>2996</v>
      </c>
      <c r="B5" s="2902" t="s">
        <v>2997</v>
      </c>
      <c r="C5" s="2903"/>
      <c r="D5" s="2904"/>
      <c r="E5" s="2902" t="s">
        <v>2998</v>
      </c>
    </row>
    <row r="6" spans="1:5" ht="15.75">
      <c r="A6" s="2907" t="s">
        <v>3124</v>
      </c>
      <c r="B6" s="2903">
        <f ca="1">SUMIF(INDIRECT("'"&amp;A6&amp;"'"&amp;"!A:A"),"总价",INDIRECT("'"&amp;A6&amp;"'"&amp;"!B:B"))</f>
        <v>0</v>
      </c>
      <c r="C6" s="2902" t="s">
        <v>2993</v>
      </c>
      <c r="D6" s="2904"/>
      <c r="E6" s="2575">
        <f ca="1">SUMIF(INDIRECT("'"&amp;A6&amp;"'"&amp;"!C:C"),"建筑面积",INDIRECT("'"&amp;A6&amp;"'"&amp;"!D:D"))</f>
        <v>0</v>
      </c>
    </row>
    <row r="7" spans="1:5" ht="15.75">
      <c r="A7" s="2907" t="s">
        <v>3126</v>
      </c>
      <c r="B7" s="2903">
        <f ca="1">SUMIF(INDIRECT("'"&amp;A7&amp;"'"&amp;"!A:A"),"总价",INDIRECT("'"&amp;A7&amp;"'"&amp;"!B:B"))</f>
        <v>249149</v>
      </c>
      <c r="C7" s="2902" t="s">
        <v>2993</v>
      </c>
      <c r="D7" s="2904"/>
      <c r="E7" s="2575">
        <f t="shared" ref="E7:E13" ca="1" si="0">SUMIF(INDIRECT("'"&amp;A7&amp;"'"&amp;"!C:C"),"建筑面积",INDIRECT("'"&amp;A7&amp;"'"&amp;"!D:D"))</f>
        <v>280110.75</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3" t="s">
        <v>2426</v>
      </c>
      <c r="D1" s="242"/>
      <c r="E1" s="242"/>
      <c r="F1" s="242"/>
      <c r="G1" s="1379">
        <f>MATCH(B1,'数据-取费表'!A6:A16,0)+5</f>
        <v>11</v>
      </c>
      <c r="H1" s="1282" t="str">
        <f>IF(ISERROR(FIND("住宅",B1)),"非住宅","住宅")</f>
        <v>非住宅</v>
      </c>
    </row>
    <row r="2" spans="1:8" s="244" customFormat="1" ht="18" customHeight="1">
      <c r="A2" s="245" t="s">
        <v>2325</v>
      </c>
      <c r="B2" s="246">
        <f ca="1">ROUND(IF(D2="——",C52/10000,C52/10000-E2),0)</f>
        <v>186566</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5113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72981200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72981200</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2343</v>
      </c>
      <c r="C10" s="269">
        <f ca="1">ROUND(D10*E10,0)</f>
        <v>72981200</v>
      </c>
      <c r="D10" s="1032">
        <f ca="1">IF(B1="",'数据-汇总表'!E6,IF(INDIRECT("'数据-取费表'!c"&amp;$G$1)="住宅",INDIRECT("'数据-取费表'!s"&amp;$G$1),INDIRECT("'数据-取费表'!k"&amp;$G$1)+INDIRECT("'数据-取费表'!s"&amp;$G$1)))</f>
        <v>364906</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72981200</v>
      </c>
      <c r="D19" s="1036">
        <f ca="1">D9+D10</f>
        <v>364906</v>
      </c>
      <c r="E19" s="255">
        <f>'数据-取费表'!B31</f>
        <v>200</v>
      </c>
      <c r="F19" s="275"/>
      <c r="G19" s="2550"/>
    </row>
    <row r="20" spans="1:7" s="258" customFormat="1" ht="13.5" customHeight="1">
      <c r="A20" s="299" t="s">
        <v>2437</v>
      </c>
      <c r="B20" s="254" t="s">
        <v>2438</v>
      </c>
      <c r="C20" s="276">
        <f ca="1">ROUND((C5+C19)*F20,0)</f>
        <v>2919248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18129732</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8977692</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8977692</v>
      </c>
      <c r="D24" s="282"/>
      <c r="E24" s="282"/>
      <c r="F24" s="283"/>
      <c r="G24" s="284" t="s">
        <v>2449</v>
      </c>
    </row>
    <row r="25" spans="1:7" s="258" customFormat="1" ht="24">
      <c r="A25" s="951" t="s">
        <v>2339</v>
      </c>
      <c r="B25" s="259" t="s">
        <v>2450</v>
      </c>
      <c r="C25" s="1381">
        <f ca="1">ROUND(IF('数据-取费表'!B22&lt;=1,C20*F22*'数据-取费表'!B22/2,C20*(POWER((1+F22),'数据-取费表'!B22/2)-1)),0)</f>
        <v>174348</v>
      </c>
      <c r="D25" s="282"/>
      <c r="E25" s="285"/>
      <c r="F25" s="283"/>
      <c r="G25" s="286" t="s">
        <v>2451</v>
      </c>
    </row>
    <row r="26" spans="1:7" s="258" customFormat="1">
      <c r="A26" s="951"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25309880</v>
      </c>
      <c r="D27" s="279">
        <f ca="1">C29</f>
        <v>3.3999999999999998E-3</v>
      </c>
      <c r="E27" s="280" t="s">
        <v>2377</v>
      </c>
      <c r="F27" s="290">
        <f ca="1">IF(B1="",'数据-取费表'!Q16,INDIRECT("'数据-取费表'!q"&amp;$G$1))</f>
        <v>0.17</v>
      </c>
      <c r="G27" s="291" t="s">
        <v>2378</v>
      </c>
    </row>
    <row r="28" spans="1:7" s="258" customFormat="1" ht="13.5" customHeight="1">
      <c r="A28" s="951" t="s">
        <v>791</v>
      </c>
      <c r="B28" s="292" t="s">
        <v>2379</v>
      </c>
      <c r="C28" s="293">
        <f ca="1">ROUND((C5+C19+C20)*F27,0)</f>
        <v>25309880</v>
      </c>
      <c r="D28" s="279"/>
      <c r="E28" s="280"/>
      <c r="F28" s="290"/>
      <c r="G28" s="291"/>
    </row>
    <row r="29" spans="1:7" s="258" customFormat="1" ht="13.5" customHeight="1">
      <c r="A29" s="951" t="s">
        <v>792</v>
      </c>
      <c r="B29" s="292" t="s">
        <v>2380</v>
      </c>
      <c r="C29" s="282">
        <f ca="1">ROUND(C21*F27,4)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208568767</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1433168315</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1277171000</v>
      </c>
      <c r="D34" s="261"/>
      <c r="E34" s="264"/>
      <c r="F34" s="301"/>
      <c r="G34" s="263"/>
    </row>
    <row r="35" spans="1:7" ht="13.5" customHeight="1">
      <c r="A35" s="951" t="s">
        <v>796</v>
      </c>
      <c r="B35" s="259" t="s">
        <v>2390</v>
      </c>
      <c r="C35" s="264">
        <f ca="1">ROUND(C34*F35,0)</f>
        <v>63858550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72981200</v>
      </c>
      <c r="D37" s="261">
        <f ca="1">D19</f>
        <v>364906</v>
      </c>
      <c r="E37" s="293">
        <f>'数据-取费表'!B35</f>
        <v>200</v>
      </c>
      <c r="F37" s="303"/>
      <c r="G37" s="305"/>
    </row>
    <row r="38" spans="1:7" ht="13.5" customHeight="1">
      <c r="A38" s="951" t="s">
        <v>799</v>
      </c>
      <c r="B38" s="259" t="s">
        <v>2396</v>
      </c>
      <c r="C38" s="264">
        <f ca="1">ROUND(C34*F38,0)</f>
        <v>19157565</v>
      </c>
      <c r="D38" s="264"/>
      <c r="E38" s="264"/>
      <c r="F38" s="303">
        <f>'数据-取费表'!B36</f>
        <v>1.4999999999999999E-2</v>
      </c>
      <c r="G38" s="263" t="s">
        <v>2391</v>
      </c>
    </row>
    <row r="39" spans="1:7" s="258" customFormat="1" ht="13.5" customHeight="1">
      <c r="A39" s="299" t="s">
        <v>2397</v>
      </c>
      <c r="B39" s="254" t="s">
        <v>2398</v>
      </c>
      <c r="C39" s="276">
        <f ca="1">ROUND(C33*F20,0)</f>
        <v>28663366</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87305613</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85593738</v>
      </c>
      <c r="D42" s="282"/>
      <c r="E42" s="282"/>
      <c r="F42" s="283"/>
      <c r="G42" s="3172" t="s">
        <v>2454</v>
      </c>
    </row>
    <row r="43" spans="1:7" ht="13.5" customHeight="1">
      <c r="A43" s="951" t="s">
        <v>792</v>
      </c>
      <c r="B43" s="259" t="s">
        <v>2408</v>
      </c>
      <c r="C43" s="282">
        <f ca="1">ROUND(IF('数据-取费表'!B22&lt;=1,C39*F22*'数据-取费表'!B20/2,C39*(POWER((1+F22),'数据-取费表'!B20/2)-1)),0)</f>
        <v>1711875</v>
      </c>
      <c r="D43" s="282"/>
      <c r="E43" s="282"/>
      <c r="F43" s="283"/>
      <c r="G43" s="3173"/>
    </row>
    <row r="44" spans="1:7" ht="13.5" customHeight="1">
      <c r="A44" s="951" t="s">
        <v>793</v>
      </c>
      <c r="B44" s="259" t="s">
        <v>2409</v>
      </c>
      <c r="C44" s="282">
        <f ca="1">ROUND(IF('数据-取费表'!B22&lt;=1,C40*F22*'数据-取费表'!B20/2,C40*(POWER((1+F22),'数据-取费表'!B20/2)-1)),4)</f>
        <v>1.1999999999999999E-3</v>
      </c>
      <c r="D44" s="282"/>
      <c r="E44" s="282"/>
      <c r="F44" s="283"/>
      <c r="G44" s="3174"/>
    </row>
    <row r="45" spans="1:7" s="258" customFormat="1" ht="13.5" customHeight="1">
      <c r="A45" s="299" t="s">
        <v>2410</v>
      </c>
      <c r="B45" s="288" t="s">
        <v>2376</v>
      </c>
      <c r="C45" s="289">
        <f ca="1">C46</f>
        <v>248511386</v>
      </c>
      <c r="D45" s="279">
        <f ca="1">C47</f>
        <v>3.3999999999999998E-3</v>
      </c>
      <c r="E45" s="280" t="s">
        <v>2402</v>
      </c>
      <c r="F45" s="290"/>
      <c r="G45" s="291" t="s">
        <v>2411</v>
      </c>
    </row>
    <row r="46" spans="1:7" s="258" customFormat="1" ht="13.5" customHeight="1">
      <c r="A46" s="951" t="s">
        <v>791</v>
      </c>
      <c r="B46" s="292" t="s">
        <v>2412</v>
      </c>
      <c r="C46" s="293">
        <f ca="1">ROUND((C33+C39)*F27,0)</f>
        <v>248511386</v>
      </c>
      <c r="D46" s="307"/>
      <c r="E46" s="280"/>
      <c r="F46" s="290"/>
      <c r="G46" s="291"/>
    </row>
    <row r="47" spans="1:7" s="258" customFormat="1" ht="13.5" customHeight="1">
      <c r="A47" s="951" t="s">
        <v>792</v>
      </c>
      <c r="B47" s="292" t="s">
        <v>2413</v>
      </c>
      <c r="C47" s="282">
        <f ca="1">ROUND(C40*F27,4)</f>
        <v>3.3999999999999998E-3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1949515974</v>
      </c>
      <c r="D49" s="276"/>
      <c r="E49" s="276"/>
      <c r="F49" s="308"/>
      <c r="G49" s="278" t="s">
        <v>2417</v>
      </c>
    </row>
    <row r="50" spans="1:7" s="302" customFormat="1">
      <c r="A50" s="299" t="s">
        <v>2418</v>
      </c>
      <c r="B50" s="254" t="s">
        <v>2419</v>
      </c>
      <c r="C50" s="276"/>
      <c r="D50" s="276"/>
      <c r="E50" s="276"/>
      <c r="F50" s="308">
        <f>IF('数据-取费表'!B24=0,'数据-取费表'!N16,1)</f>
        <v>0.85</v>
      </c>
      <c r="G50" s="291"/>
    </row>
    <row r="51" spans="1:7" ht="16.5" customHeight="1">
      <c r="A51" s="299" t="s">
        <v>2421</v>
      </c>
      <c r="B51" s="254" t="s">
        <v>2456</v>
      </c>
      <c r="C51" s="276">
        <f ca="1">ROUND(C49*F50,0)</f>
        <v>1657088578</v>
      </c>
      <c r="D51" s="276"/>
      <c r="E51" s="276"/>
      <c r="F51" s="308"/>
      <c r="G51" s="278" t="s">
        <v>2423</v>
      </c>
    </row>
    <row r="52" spans="1:7" s="252" customFormat="1" ht="16.5" thickBot="1">
      <c r="A52" s="309" t="s">
        <v>2424</v>
      </c>
      <c r="B52" s="310"/>
      <c r="C52" s="311">
        <f ca="1">C31+C51</f>
        <v>1865657345</v>
      </c>
      <c r="D52" s="310"/>
      <c r="E52" s="310"/>
      <c r="F52" s="310"/>
      <c r="G52" s="312"/>
    </row>
    <row r="55" spans="1:7" ht="15">
      <c r="B55" s="314" t="s">
        <v>2425</v>
      </c>
      <c r="C55" s="315"/>
    </row>
    <row r="56" spans="1:7">
      <c r="B56" s="317" t="s">
        <v>1509</v>
      </c>
      <c r="C56" s="319">
        <f ca="1">1-C57</f>
        <v>0.11199999999999999</v>
      </c>
    </row>
    <row r="57" spans="1:7">
      <c r="B57" s="317" t="s">
        <v>1510</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11</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84685.74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364906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364906</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2493</v>
      </c>
      <c r="C20" s="24">
        <f ca="1">ROUND(D20*E20/10000,0)</f>
        <v>7298</v>
      </c>
      <c r="D20" s="1033">
        <f ca="1">IF(C1="",'数据-汇总表'!E6,IF(INDIRECT("'数据-取费表'!c"&amp;$K$1)="住宅",INDIRECT("'数据-取费表'!s"&amp;$K$1),INDIRECT("'数据-取费表'!k"&amp;$K$1)+INDIRECT("'数据-取费表'!s"&amp;$K$1)))</f>
        <v>364906</v>
      </c>
      <c r="E20" s="24">
        <f>'数据-取费表'!B28</f>
        <v>200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0</v>
      </c>
      <c r="D28" s="324">
        <f ca="1">C29</f>
        <v>0</v>
      </c>
      <c r="E28" s="326" t="s">
        <v>15</v>
      </c>
      <c r="F28" s="332">
        <f ca="1">IF(C1="",'数据-取费表'!Q16,INDIRECT("'数据-取费表'!q"&amp;$K$1))</f>
        <v>0.17</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8" sqref="I2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2524</v>
      </c>
      <c r="B1" s="2562"/>
      <c r="C1" s="2562"/>
      <c r="D1" s="2562"/>
      <c r="E1" s="2563"/>
    </row>
    <row r="2" spans="1:6" ht="15.75">
      <c r="A2" s="2564" t="s">
        <v>2325</v>
      </c>
      <c r="B2" s="2565">
        <f ca="1">SUMIF(B6:B13,"&lt;&gt;#ref!",B6:B13)</f>
        <v>622097</v>
      </c>
      <c r="C2" s="2566" t="s">
        <v>2517</v>
      </c>
      <c r="D2" s="2567" t="s">
        <v>2518</v>
      </c>
      <c r="E2" s="2568">
        <f>SUM(E6:E13)</f>
        <v>364906</v>
      </c>
    </row>
    <row r="3" spans="1:6" ht="15.75">
      <c r="A3" s="2564" t="s">
        <v>1391</v>
      </c>
      <c r="B3" s="2565">
        <f ca="1">ROUND(B2*10000/E2,0)</f>
        <v>17048</v>
      </c>
      <c r="C3" s="2566" t="s">
        <v>2525</v>
      </c>
      <c r="D3" s="2569"/>
      <c r="E3" s="2570"/>
    </row>
    <row r="4" spans="1:6" ht="15.75">
      <c r="A4" s="2571"/>
      <c r="B4" s="2569"/>
      <c r="C4" s="2569"/>
      <c r="D4" s="2569"/>
      <c r="E4" s="2570"/>
    </row>
    <row r="5" spans="1:6" ht="15">
      <c r="A5" s="2572" t="s">
        <v>2519</v>
      </c>
      <c r="B5" s="3242" t="s">
        <v>2520</v>
      </c>
      <c r="C5" s="3242"/>
      <c r="D5" s="2573"/>
      <c r="E5" s="2574" t="s">
        <v>2521</v>
      </c>
      <c r="F5" s="2575" t="s">
        <v>2522</v>
      </c>
    </row>
    <row r="6" spans="1:6">
      <c r="A6" s="2576" t="str">
        <f>'数据-取费表'!AN6</f>
        <v>收益法（商业）</v>
      </c>
      <c r="B6" s="2575">
        <f ca="1">IF(F6="是",'数据-取费表'!AO6,0)</f>
        <v>57633</v>
      </c>
      <c r="C6" s="2566" t="s">
        <v>2517</v>
      </c>
      <c r="D6" s="2569"/>
      <c r="E6" s="2577">
        <f>IF(OR(A6=0,F6="否"),0,'数据-取费表'!K6+'数据-取费表'!S6)</f>
        <v>29391.56</v>
      </c>
      <c r="F6" s="2578" t="s">
        <v>2523</v>
      </c>
    </row>
    <row r="7" spans="1:6">
      <c r="A7" s="2576" t="str">
        <f>'数据-取费表'!AN7</f>
        <v>收益法(酒店)</v>
      </c>
      <c r="B7" s="2575">
        <f ca="1">IF(F7="是",'数据-取费表'!AO7,0)</f>
        <v>108660</v>
      </c>
      <c r="C7" s="2566" t="s">
        <v>2517</v>
      </c>
      <c r="D7" s="2569"/>
      <c r="E7" s="2577">
        <f>IF(OR(A7=0,F7="否"),0,'数据-取费表'!K7+'数据-取费表'!S7)</f>
        <v>55403.69</v>
      </c>
      <c r="F7" s="2578" t="s">
        <v>2523</v>
      </c>
    </row>
    <row r="8" spans="1:6">
      <c r="A8" s="2576" t="str">
        <f>'数据-取费表'!AN8</f>
        <v>收益法(会展)</v>
      </c>
      <c r="B8" s="2575">
        <f ca="1">IF(F8="是",'数据-取费表'!AO8,0)</f>
        <v>402987</v>
      </c>
      <c r="C8" s="2566" t="s">
        <v>2517</v>
      </c>
      <c r="D8" s="2569"/>
      <c r="E8" s="2577">
        <f>IF(OR(A8=0,F8="否"),0,'数据-取费表'!K8+'数据-取费表'!S8)</f>
        <v>167692.07</v>
      </c>
      <c r="F8" s="2578" t="s">
        <v>2523</v>
      </c>
    </row>
    <row r="9" spans="1:6">
      <c r="A9" s="2576" t="str">
        <f>'数据-取费表'!AN9</f>
        <v>收益法(车库)</v>
      </c>
      <c r="B9" s="2575">
        <f ca="1">IF(F9="是",'数据-取费表'!AO9,0)</f>
        <v>23567</v>
      </c>
      <c r="C9" s="2566" t="s">
        <v>2517</v>
      </c>
      <c r="D9" s="2569"/>
      <c r="E9" s="2577">
        <f>IF(OR(A9=0,F9="否"),0,'数据-取费表'!K9+'数据-取费表'!S9)</f>
        <v>84685.74</v>
      </c>
      <c r="F9" s="2578" t="s">
        <v>2523</v>
      </c>
    </row>
    <row r="10" spans="1:6">
      <c r="A10" s="2576" t="str">
        <f>'数据-取费表'!AN10</f>
        <v>收益法(仓储)</v>
      </c>
      <c r="B10" s="2575">
        <f ca="1">IF(F10="是",'数据-取费表'!AO10,0)</f>
        <v>29250</v>
      </c>
      <c r="C10" s="2566" t="s">
        <v>2517</v>
      </c>
      <c r="D10" s="2569"/>
      <c r="E10" s="2577">
        <f>IF(OR(A10=0,F10="否"),0,'数据-取费表'!K10+'数据-取费表'!S10)</f>
        <v>27732.94</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3" sqref="D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70</v>
      </c>
      <c r="E1" s="1821" t="s">
        <v>1383</v>
      </c>
      <c r="F1" s="1283">
        <f ca="1">J53</f>
        <v>25.98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57633</v>
      </c>
      <c r="C2" s="1845" t="s">
        <v>1512</v>
      </c>
      <c r="D2" s="1845"/>
      <c r="E2" s="1846"/>
      <c r="F2" s="1847"/>
      <c r="G2" s="1848"/>
      <c r="H2" s="1840"/>
      <c r="I2" s="1840"/>
      <c r="J2" s="1840"/>
      <c r="K2" s="1841"/>
      <c r="L2" s="1840"/>
      <c r="M2" s="1840"/>
    </row>
    <row r="3" spans="1:37" ht="18" customHeight="1" thickBot="1">
      <c r="A3" s="1849" t="s">
        <v>1513</v>
      </c>
      <c r="B3" s="1850">
        <f ca="1">IF(ISERROR(B2*10000/F43),0,ROUND(B2*10000/F43,0))</f>
        <v>19609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4350</v>
      </c>
      <c r="D5" s="1822" t="s">
        <v>1398</v>
      </c>
      <c r="E5" s="1293"/>
      <c r="F5" s="1294"/>
      <c r="G5" s="1851"/>
      <c r="H5" s="344">
        <v>1</v>
      </c>
      <c r="I5" s="345" t="s">
        <v>1397</v>
      </c>
      <c r="J5" s="1292">
        <f ca="1">J6+J10+J12</f>
        <v>0</v>
      </c>
      <c r="K5" s="1822" t="s">
        <v>1398</v>
      </c>
      <c r="L5" s="1293"/>
      <c r="M5" s="1294"/>
    </row>
    <row r="6" spans="1:37" ht="18" customHeight="1">
      <c r="A6" s="1291" t="s">
        <v>1032</v>
      </c>
      <c r="B6" s="3245" t="s">
        <v>1399</v>
      </c>
      <c r="C6" s="1296">
        <f ca="1">ROUND(F6*F8*F7*(1-F9)/10000,0)</f>
        <v>4345</v>
      </c>
      <c r="D6" s="164" t="s">
        <v>3028</v>
      </c>
      <c r="E6" s="347" t="s">
        <v>1401</v>
      </c>
      <c r="F6" s="348">
        <f ca="1">INDIRECT("'数据-取费表'!u"&amp;$G$1)</f>
        <v>4.5</v>
      </c>
      <c r="G6" s="1851"/>
      <c r="H6" s="1291" t="s">
        <v>1032</v>
      </c>
      <c r="I6" s="3245" t="s">
        <v>1399</v>
      </c>
      <c r="J6" s="346">
        <f ca="1">ROUND(M6*M8*M7*(1-M9)/10000,0)</f>
        <v>0</v>
      </c>
      <c r="K6" s="164" t="s">
        <v>3027</v>
      </c>
      <c r="L6" s="347" t="s">
        <v>1401</v>
      </c>
      <c r="M6" s="348">
        <f ca="1">INDIRECT("'数据-取费表'!z"&amp;$G$1)</f>
        <v>0</v>
      </c>
    </row>
    <row r="7" spans="1:37" ht="18" customHeight="1">
      <c r="A7" s="1295"/>
      <c r="B7" s="3246"/>
      <c r="C7" s="1297"/>
      <c r="D7" s="352"/>
      <c r="E7" s="1298" t="s">
        <v>1402</v>
      </c>
      <c r="F7" s="348">
        <f ca="1">IF(INDIRECT("'数据-取费表'!ah"&amp;$G$1)="",INDIRECT("'数据-取费表'!k"&amp;$G$1),INDIRECT("'数据-取费表'!ah"&amp;$G$1))</f>
        <v>29391.56</v>
      </c>
      <c r="G7" s="1851"/>
      <c r="H7" s="349"/>
      <c r="I7" s="3246"/>
      <c r="J7" s="351"/>
      <c r="K7" s="352"/>
      <c r="L7" s="347" t="s">
        <v>1402</v>
      </c>
      <c r="M7" s="348">
        <f ca="1">F7</f>
        <v>29391.56</v>
      </c>
    </row>
    <row r="8" spans="1:37" ht="18" customHeight="1">
      <c r="A8" s="349"/>
      <c r="B8" s="3246"/>
      <c r="C8" s="351"/>
      <c r="D8" s="352"/>
      <c r="E8" s="347" t="s">
        <v>1403</v>
      </c>
      <c r="F8" s="348">
        <f ca="1">INDIRECT("'数据-取费表'!ai"&amp;$G$1)</f>
        <v>365</v>
      </c>
      <c r="G8" s="1851"/>
      <c r="H8" s="349"/>
      <c r="I8" s="3246"/>
      <c r="J8" s="351"/>
      <c r="K8" s="352"/>
      <c r="L8" s="347" t="s">
        <v>1403</v>
      </c>
      <c r="M8" s="348">
        <f ca="1">INDIRECT("'数据-取费表'!ai"&amp;$G$1)</f>
        <v>365</v>
      </c>
    </row>
    <row r="9" spans="1:37" ht="18" customHeight="1">
      <c r="A9" s="349"/>
      <c r="B9" s="3247"/>
      <c r="C9" s="351"/>
      <c r="D9" s="352"/>
      <c r="E9" s="347" t="s">
        <v>1404</v>
      </c>
      <c r="F9" s="357">
        <f ca="1">INDIRECT("'数据-取费表'!w"&amp;$G$1)</f>
        <v>0.1</v>
      </c>
      <c r="G9" s="1851"/>
      <c r="H9" s="349"/>
      <c r="I9" s="32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5</v>
      </c>
      <c r="D10" s="1824" t="s">
        <v>3037</v>
      </c>
      <c r="E10" s="358" t="s">
        <v>1406</v>
      </c>
      <c r="F10" s="1366" t="s">
        <v>3094</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13681</v>
      </c>
      <c r="D13" s="1331" t="s">
        <v>1411</v>
      </c>
      <c r="E13" s="1331" t="s">
        <v>1412</v>
      </c>
      <c r="F13" s="1332">
        <f ca="1">INDIRECT("'数据-取费表'!y"&amp;$G$1)</f>
        <v>0.85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10287</v>
      </c>
      <c r="D14" s="1800" t="s">
        <v>1414</v>
      </c>
      <c r="E14" s="1794"/>
      <c r="F14" s="364"/>
      <c r="G14" s="1851"/>
      <c r="H14" s="1201" t="s">
        <v>1032</v>
      </c>
      <c r="I14" s="347" t="s">
        <v>1415</v>
      </c>
      <c r="J14" s="24">
        <f ca="1">C29</f>
        <v>16095</v>
      </c>
      <c r="K14" s="15"/>
      <c r="L14" s="979"/>
      <c r="M14" s="980"/>
    </row>
    <row r="15" spans="1:37" s="1858" customFormat="1" ht="18" customHeight="1" thickBot="1">
      <c r="A15" s="1201" t="s">
        <v>1033</v>
      </c>
      <c r="B15" s="347" t="s">
        <v>1416</v>
      </c>
      <c r="C15" s="24">
        <f ca="1">ROUND(C14*F15,0)</f>
        <v>514</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378</v>
      </c>
      <c r="K16" s="1337" t="s">
        <v>1421</v>
      </c>
      <c r="L16" s="1338"/>
      <c r="M16" s="1294"/>
    </row>
    <row r="17" spans="1:37" s="1858" customFormat="1" ht="18" customHeight="1">
      <c r="A17" s="1201" t="s">
        <v>1386</v>
      </c>
      <c r="B17" s="347" t="s">
        <v>1422</v>
      </c>
      <c r="C17" s="24">
        <f ca="1">ROUND(F17*(F43+INDIRECT("'数据-取费表'!S"&amp;$G$1))/10000,0)</f>
        <v>588</v>
      </c>
      <c r="D17" s="347" t="s">
        <v>1423</v>
      </c>
      <c r="E17" s="347" t="s">
        <v>1424</v>
      </c>
      <c r="F17" s="26">
        <f>'数据-取费表'!B35</f>
        <v>200</v>
      </c>
      <c r="G17" s="1854"/>
      <c r="H17" s="1201" t="s">
        <v>1032</v>
      </c>
      <c r="I17" s="347" t="s">
        <v>1425</v>
      </c>
      <c r="J17" s="24">
        <f ca="1">ROUND(IF(项目基本情况!B11="自然人",J5*M17,J18+J19+J20),1)</f>
        <v>136.4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154</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11543</v>
      </c>
      <c r="D19" s="140" t="s">
        <v>1432</v>
      </c>
      <c r="E19" s="1818"/>
      <c r="F19" s="26"/>
      <c r="G19" s="1851"/>
      <c r="H19" s="1201" t="s">
        <v>1033</v>
      </c>
      <c r="I19" s="347" t="s">
        <v>1433</v>
      </c>
      <c r="J19" s="24">
        <f ca="1">IF(K19="按租金收入计税",ROUND(J5*M19,2),ROUND(C29*M19*0.7,2))</f>
        <v>135.19999999999999</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231</v>
      </c>
      <c r="D20" s="369" t="s">
        <v>1436</v>
      </c>
      <c r="E20" s="347" t="s">
        <v>1418</v>
      </c>
      <c r="F20" s="367">
        <f>'数据-取费表'!B37</f>
        <v>0.02</v>
      </c>
      <c r="G20" s="1854"/>
      <c r="H20" s="1201" t="s">
        <v>1385</v>
      </c>
      <c r="I20" s="164" t="s">
        <v>1437</v>
      </c>
      <c r="J20" s="25">
        <f ca="1">ROUND(M20*M21/10000,2)</f>
        <v>1.17</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3887.73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241.4</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703</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-378</v>
      </c>
      <c r="K25" s="1345" t="s">
        <v>1460</v>
      </c>
      <c r="L25" s="1346"/>
      <c r="M25" s="1347"/>
    </row>
    <row r="26" spans="1:37">
      <c r="A26" s="1201" t="s">
        <v>1031</v>
      </c>
      <c r="B26" s="347" t="s">
        <v>1461</v>
      </c>
      <c r="C26" s="24">
        <f ca="1">ROUND((C19+C20)*F26,0)</f>
        <v>2355</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16095</v>
      </c>
      <c r="D29" s="1342"/>
      <c r="E29" s="1340"/>
      <c r="F29" s="1343"/>
      <c r="G29" s="1854"/>
      <c r="H29" s="380" t="s">
        <v>1030</v>
      </c>
      <c r="I29" s="381" t="s">
        <v>1475</v>
      </c>
      <c r="J29" s="382">
        <f ca="1">ROUND(J26/(1+F40)^F41,0)</f>
        <v>0</v>
      </c>
      <c r="K29" s="383" t="s">
        <v>1476</v>
      </c>
      <c r="L29" s="384"/>
      <c r="M29" s="385">
        <f ca="1">INDIRECT("'数据-取费表'!k"&amp;$G$1)</f>
        <v>29391.56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1061</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755.2</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232</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522</v>
      </c>
      <c r="D33" s="1828" t="s">
        <v>3095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1.17</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3887.73</v>
      </c>
      <c r="G35" s="1851"/>
      <c r="H35" s="745"/>
      <c r="I35" s="1860"/>
      <c r="J35" s="1861"/>
      <c r="K35" s="1862"/>
      <c r="L35" s="1859"/>
      <c r="M35" s="1859"/>
    </row>
    <row r="36" spans="1:18" ht="18" customHeight="1">
      <c r="A36" s="1352" t="s">
        <v>1036</v>
      </c>
      <c r="B36" s="347" t="s">
        <v>1445</v>
      </c>
      <c r="C36" s="24">
        <f ca="1">ROUND(C29*F36,1)</f>
        <v>241.4</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20.5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43.5</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3289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57633</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25.98</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19609</v>
      </c>
      <c r="D43" s="383" t="s">
        <v>1484</v>
      </c>
      <c r="E43" s="384" t="s">
        <v>1485</v>
      </c>
      <c r="F43" s="385">
        <f ca="1">INDIRECT("'数据-取费表'!k"&amp;$G$1)</f>
        <v>29391.56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-78626</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3096</v>
      </c>
      <c r="K47" s="1882" t="s">
        <v>1523</v>
      </c>
      <c r="L47" s="1883">
        <f ca="1">INDIRECT("'数据-取费表'!d"&amp;$G$1)</f>
        <v>40</v>
      </c>
      <c r="M47" s="1838" t="str">
        <f>IF(ISNUMBER(FIND("住宅",C1)),"住宅","非住宅")</f>
        <v>非住宅</v>
      </c>
      <c r="O47" s="1884" t="s">
        <v>1037</v>
      </c>
      <c r="P47" s="1885" t="s">
        <v>1524</v>
      </c>
      <c r="Q47" s="1886">
        <f ca="1">C40+J29</f>
        <v>57633</v>
      </c>
      <c r="R47" s="1886" t="s">
        <v>1525</v>
      </c>
    </row>
    <row r="48" spans="1:18" s="1842" customFormat="1" ht="28.5" thickBot="1">
      <c r="A48" s="1360" t="s">
        <v>1132</v>
      </c>
      <c r="B48" s="345" t="s">
        <v>1397</v>
      </c>
      <c r="C48" s="1817">
        <f ca="1">C49+C53+C55</f>
        <v>0</v>
      </c>
      <c r="D48" s="1362"/>
      <c r="E48" s="1363"/>
      <c r="F48" s="1181"/>
      <c r="G48" s="792"/>
      <c r="H48" s="793"/>
      <c r="I48" s="1887" t="s">
        <v>1526</v>
      </c>
      <c r="J48" s="1888" t="s">
        <v>3097</v>
      </c>
      <c r="K48" s="1889" t="s">
        <v>1527</v>
      </c>
      <c r="L48" s="1890">
        <f ca="1">INDIRECT("'数据-取费表'!f"&amp;$G$1)</f>
        <v>25.98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3029</v>
      </c>
      <c r="E49" s="1830" t="s">
        <v>1487</v>
      </c>
      <c r="F49" s="1281"/>
      <c r="G49" s="1891"/>
      <c r="H49" s="793"/>
      <c r="I49" s="1887" t="s">
        <v>1530</v>
      </c>
      <c r="J49" s="1892">
        <v>2010</v>
      </c>
      <c r="K49" s="1889" t="s">
        <v>1531</v>
      </c>
      <c r="L49" s="1893"/>
      <c r="O49" s="1894" t="s">
        <v>1039</v>
      </c>
      <c r="P49" s="1885" t="s">
        <v>1532</v>
      </c>
      <c r="Q49" s="1886">
        <f ca="1">C29</f>
        <v>16095</v>
      </c>
      <c r="R49" s="1886" t="s">
        <v>1525</v>
      </c>
    </row>
    <row r="50" spans="1:18" s="1842" customFormat="1" ht="13.5" thickBot="1">
      <c r="A50" s="1195"/>
      <c r="B50" s="1198"/>
      <c r="C50" s="1368"/>
      <c r="D50" s="1172"/>
      <c r="E50" s="1277" t="s">
        <v>1402</v>
      </c>
      <c r="F50" s="1278">
        <f ca="1">F7</f>
        <v>29391.56</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51</v>
      </c>
      <c r="K51" s="1900" t="s">
        <v>1537</v>
      </c>
      <c r="L51" s="1901">
        <f ca="1">ROUND(-PV(INDIRECT("'数据-取费表'!h"&amp;$G$1),L48,(C39-C13*C76),0),0)</f>
        <v>30552</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25.98</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25.98</v>
      </c>
      <c r="K53" s="3243" t="s">
        <v>1544</v>
      </c>
      <c r="L53" s="3244"/>
      <c r="O53" s="1884" t="s">
        <v>1043</v>
      </c>
      <c r="P53" s="1885" t="s">
        <v>1545</v>
      </c>
      <c r="Q53" s="1886">
        <f ca="1">Q47+Q48</f>
        <v>57633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13681</v>
      </c>
      <c r="D56" s="1914"/>
      <c r="E56" s="1915"/>
      <c r="F56" s="1907"/>
      <c r="I56" s="1916" t="s">
        <v>1550</v>
      </c>
      <c r="J56" s="1917" t="s">
        <v>3070</v>
      </c>
      <c r="K56" s="1887" t="s">
        <v>1551</v>
      </c>
      <c r="L56" s="1890" t="str">
        <f ca="1">IF(L48&lt;J51,"——",L48-J53)</f>
        <v>——</v>
      </c>
      <c r="O56" s="1884" t="s">
        <v>1037</v>
      </c>
      <c r="P56" s="1885" t="s">
        <v>1524</v>
      </c>
      <c r="Q56" s="1886">
        <f ca="1">C40+J29</f>
        <v>57633</v>
      </c>
      <c r="R56" s="1886" t="s">
        <v>1525</v>
      </c>
    </row>
    <row r="57" spans="1:18" s="1842" customFormat="1" ht="24.75" thickBot="1">
      <c r="A57" s="1918"/>
      <c r="B57" s="1169" t="s">
        <v>1474</v>
      </c>
      <c r="C57" s="282">
        <f ca="1">C29</f>
        <v>16095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1615</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1353.2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1351.98</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1.17</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57633</v>
      </c>
      <c r="R62" s="1886" t="s">
        <v>1044</v>
      </c>
    </row>
    <row r="63" spans="1:18" s="1842" customFormat="1" ht="13.5" thickBot="1">
      <c r="A63" s="372"/>
      <c r="B63" s="1175"/>
      <c r="C63" s="29"/>
      <c r="D63" s="1185"/>
      <c r="E63" s="1169" t="s">
        <v>1495</v>
      </c>
      <c r="F63" s="348">
        <f t="shared" ca="1" si="0"/>
        <v>3887.73</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241.4</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20.5</v>
      </c>
      <c r="D65" s="1183" t="s">
        <v>1450</v>
      </c>
      <c r="E65" s="1169" t="s">
        <v>1451</v>
      </c>
      <c r="F65" s="376">
        <f t="shared" ca="1" si="0"/>
        <v>1.5E-3</v>
      </c>
      <c r="I65" s="1929" t="s">
        <v>1575</v>
      </c>
      <c r="J65" s="1930">
        <v>40</v>
      </c>
      <c r="K65" s="1930">
        <v>30</v>
      </c>
      <c r="L65" s="1930">
        <v>50</v>
      </c>
      <c r="M65" s="1932">
        <v>0.02</v>
      </c>
      <c r="O65" s="1884" t="s">
        <v>1037</v>
      </c>
      <c r="P65" s="1885" t="s">
        <v>1576</v>
      </c>
      <c r="Q65" s="1886">
        <f ca="1">C40+J29</f>
        <v>57633</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-1615</v>
      </c>
      <c r="D67" s="1182" t="s">
        <v>1460</v>
      </c>
      <c r="E67" s="1187"/>
      <c r="F67" s="1188"/>
      <c r="O67" s="1894" t="s">
        <v>1039</v>
      </c>
      <c r="P67" s="1885" t="s">
        <v>1558</v>
      </c>
      <c r="Q67" s="1933">
        <f ca="1">L51</f>
        <v>30552</v>
      </c>
      <c r="R67" s="1886" t="s">
        <v>1578</v>
      </c>
    </row>
    <row r="68" spans="1:18" s="1842" customFormat="1" ht="16.5" thickBot="1">
      <c r="A68" s="1166" t="s">
        <v>1029</v>
      </c>
      <c r="B68" s="1167" t="s">
        <v>1481</v>
      </c>
      <c r="C68" s="346">
        <f ca="1">ROUND(C67*(1-((1+F70)/(1+F68))^F69)/(F68-F70),0)</f>
        <v>-20993</v>
      </c>
      <c r="D68" s="1184" t="s">
        <v>1465</v>
      </c>
      <c r="E68" s="1169" t="s">
        <v>1466</v>
      </c>
      <c r="F68" s="357">
        <f ca="1">F40</f>
        <v>0.06</v>
      </c>
      <c r="O68" s="1894" t="s">
        <v>1040</v>
      </c>
      <c r="P68" s="1934" t="s">
        <v>1579</v>
      </c>
      <c r="Q68" s="1886">
        <f ca="1">ROUND(Q69-Q70*Q71,0)</f>
        <v>2126</v>
      </c>
      <c r="R68" s="1886" t="s">
        <v>1048</v>
      </c>
    </row>
    <row r="69" spans="1:18" s="1842" customFormat="1" ht="13.5" thickBot="1">
      <c r="A69" s="1170"/>
      <c r="B69" s="1171"/>
      <c r="C69" s="351"/>
      <c r="D69" s="1189" t="s">
        <v>1469</v>
      </c>
      <c r="E69" s="1169" t="s">
        <v>1470</v>
      </c>
      <c r="F69" s="379">
        <f ca="1">F41</f>
        <v>25.98</v>
      </c>
      <c r="O69" s="1894" t="s">
        <v>1045</v>
      </c>
      <c r="P69" s="1934" t="s">
        <v>1580</v>
      </c>
      <c r="Q69" s="1886">
        <f ca="1">C39</f>
        <v>3289</v>
      </c>
      <c r="R69" s="1886" t="s">
        <v>1525</v>
      </c>
    </row>
    <row r="70" spans="1:18" s="1842" customFormat="1" ht="13.5" thickBot="1">
      <c r="A70" s="1173"/>
      <c r="B70" s="1174"/>
      <c r="C70" s="355"/>
      <c r="D70" s="1185"/>
      <c r="E70" s="1169" t="s">
        <v>1473</v>
      </c>
      <c r="F70" s="1275"/>
      <c r="O70" s="1894" t="s">
        <v>1046</v>
      </c>
      <c r="P70" s="1934" t="s">
        <v>1581</v>
      </c>
      <c r="Q70" s="1886">
        <f ca="1">C13</f>
        <v>13681</v>
      </c>
      <c r="R70" s="1886" t="s">
        <v>1525</v>
      </c>
    </row>
    <row r="71" spans="1:18" s="1842" customFormat="1" ht="13.5" thickBot="1">
      <c r="A71" s="1190" t="s">
        <v>1030</v>
      </c>
      <c r="B71" s="1191" t="s">
        <v>1483</v>
      </c>
      <c r="C71" s="382">
        <f ca="1">ROUND(C68*10000/F71,0)</f>
        <v>-7143</v>
      </c>
      <c r="D71" s="1192" t="s">
        <v>1484</v>
      </c>
      <c r="E71" s="1193" t="s">
        <v>1485</v>
      </c>
      <c r="F71" s="385">
        <f ca="1">F43</f>
        <v>29391.56</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1163</v>
      </c>
      <c r="D75" s="1842"/>
      <c r="E75" s="1842"/>
      <c r="F75" s="1842"/>
      <c r="K75" s="1868"/>
      <c r="L75" s="1842"/>
      <c r="O75" s="1884" t="s">
        <v>1043</v>
      </c>
      <c r="P75" s="1885" t="s">
        <v>1545</v>
      </c>
      <c r="Q75" s="1886">
        <f ca="1">Q65+Q66</f>
        <v>57633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0.64600000000000002</v>
      </c>
    </row>
    <row r="80" spans="1:18">
      <c r="B80" s="386" t="s">
        <v>1507</v>
      </c>
      <c r="C80" s="318">
        <f ca="1">ROUND(C75/C39,3)</f>
        <v>0.35399999999999998</v>
      </c>
    </row>
    <row r="81" spans="2:3">
      <c r="B81" s="314" t="s">
        <v>1508</v>
      </c>
      <c r="C81" s="282"/>
    </row>
    <row r="82" spans="2:3">
      <c r="B82" s="317" t="s">
        <v>1509</v>
      </c>
      <c r="C82" s="319">
        <f ca="1">1-C83</f>
        <v>0.76300000000000001</v>
      </c>
    </row>
    <row r="83" spans="2:3">
      <c r="B83" s="317" t="s">
        <v>1510</v>
      </c>
      <c r="C83" s="318">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3118</v>
      </c>
      <c r="D1" s="1820" t="s">
        <v>70</v>
      </c>
      <c r="E1" s="1821" t="s">
        <v>1383</v>
      </c>
      <c r="F1" s="1283">
        <f ca="1">J53</f>
        <v>35.99</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402987</v>
      </c>
      <c r="C2" s="1845" t="s">
        <v>1512</v>
      </c>
      <c r="D2" s="1845"/>
      <c r="E2" s="1846"/>
      <c r="F2" s="1847"/>
      <c r="G2" s="1848"/>
      <c r="H2" s="1840"/>
      <c r="I2" s="1840"/>
      <c r="J2" s="1840"/>
      <c r="K2" s="1841"/>
      <c r="L2" s="1840"/>
      <c r="M2" s="1840"/>
    </row>
    <row r="3" spans="1:37" ht="18" customHeight="1" thickBot="1">
      <c r="A3" s="1849" t="s">
        <v>1513</v>
      </c>
      <c r="B3" s="1850">
        <f ca="1">IF(ISERROR(B2*10000/F43),0,ROUND(B2*10000/F43,0))</f>
        <v>24031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24820</v>
      </c>
      <c r="D5" s="1822" t="s">
        <v>1398</v>
      </c>
      <c r="E5" s="1293"/>
      <c r="F5" s="1294"/>
      <c r="G5" s="1851"/>
      <c r="H5" s="344">
        <v>1</v>
      </c>
      <c r="I5" s="345" t="s">
        <v>1397</v>
      </c>
      <c r="J5" s="1292">
        <f ca="1">J6+J10+J12</f>
        <v>0</v>
      </c>
      <c r="K5" s="1822" t="s">
        <v>1398</v>
      </c>
      <c r="L5" s="1293"/>
      <c r="M5" s="1294"/>
    </row>
    <row r="6" spans="1:37" ht="18" customHeight="1">
      <c r="A6" s="1291" t="s">
        <v>1032</v>
      </c>
      <c r="B6" s="3245" t="s">
        <v>1399</v>
      </c>
      <c r="C6" s="1296">
        <f ca="1">ROUND(F6*F8*F7*(1-F9)/10000,0)</f>
        <v>24789</v>
      </c>
      <c r="D6" s="164" t="s">
        <v>3028</v>
      </c>
      <c r="E6" s="347" t="s">
        <v>1401</v>
      </c>
      <c r="F6" s="348">
        <f ca="1">INDIRECT("'数据-取费表'!u"&amp;$G$1)</f>
        <v>4.5</v>
      </c>
      <c r="G6" s="1851"/>
      <c r="H6" s="1291" t="s">
        <v>1032</v>
      </c>
      <c r="I6" s="3245" t="s">
        <v>1399</v>
      </c>
      <c r="J6" s="346">
        <f ca="1">ROUND(M6*M8*M7*(1-M9)/10000,0)</f>
        <v>0</v>
      </c>
      <c r="K6" s="164" t="s">
        <v>3027</v>
      </c>
      <c r="L6" s="347" t="s">
        <v>1401</v>
      </c>
      <c r="M6" s="348">
        <f ca="1">INDIRECT("'数据-取费表'!z"&amp;$G$1)</f>
        <v>0</v>
      </c>
    </row>
    <row r="7" spans="1:37" ht="18" customHeight="1">
      <c r="A7" s="1295"/>
      <c r="B7" s="3246"/>
      <c r="C7" s="1297"/>
      <c r="D7" s="352"/>
      <c r="E7" s="2953" t="s">
        <v>1402</v>
      </c>
      <c r="F7" s="348">
        <f ca="1">IF(INDIRECT("'数据-取费表'!ah"&amp;$G$1)="",INDIRECT("'数据-取费表'!k"&amp;$G$1),INDIRECT("'数据-取费表'!ah"&amp;$G$1))</f>
        <v>167692.07</v>
      </c>
      <c r="G7" s="1851"/>
      <c r="H7" s="349"/>
      <c r="I7" s="3246"/>
      <c r="J7" s="351"/>
      <c r="K7" s="352"/>
      <c r="L7" s="347" t="s">
        <v>1402</v>
      </c>
      <c r="M7" s="348">
        <f ca="1">F7</f>
        <v>167692.07</v>
      </c>
    </row>
    <row r="8" spans="1:37" ht="18" customHeight="1">
      <c r="A8" s="349"/>
      <c r="B8" s="3246"/>
      <c r="C8" s="351"/>
      <c r="D8" s="352"/>
      <c r="E8" s="347" t="s">
        <v>1403</v>
      </c>
      <c r="F8" s="348">
        <f ca="1">INDIRECT("'数据-取费表'!ai"&amp;$G$1)</f>
        <v>365</v>
      </c>
      <c r="G8" s="1851"/>
      <c r="H8" s="349"/>
      <c r="I8" s="3246"/>
      <c r="J8" s="351"/>
      <c r="K8" s="352"/>
      <c r="L8" s="347" t="s">
        <v>1403</v>
      </c>
      <c r="M8" s="348">
        <f ca="1">INDIRECT("'数据-取费表'!ai"&amp;$G$1)</f>
        <v>365</v>
      </c>
    </row>
    <row r="9" spans="1:37" ht="18" customHeight="1">
      <c r="A9" s="349"/>
      <c r="B9" s="3247"/>
      <c r="C9" s="351"/>
      <c r="D9" s="352"/>
      <c r="E9" s="347" t="s">
        <v>1404</v>
      </c>
      <c r="F9" s="357">
        <f ca="1">INDIRECT("'数据-取费表'!w"&amp;$G$1)</f>
        <v>0.1</v>
      </c>
      <c r="G9" s="1851"/>
      <c r="H9" s="349"/>
      <c r="I9" s="32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31</v>
      </c>
      <c r="D10" s="1824" t="s">
        <v>3036</v>
      </c>
      <c r="E10" s="358" t="s">
        <v>1406</v>
      </c>
      <c r="F10" s="1366" t="s">
        <v>3094</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78060</v>
      </c>
      <c r="D13" s="1331" t="s">
        <v>1411</v>
      </c>
      <c r="E13" s="1331" t="s">
        <v>1412</v>
      </c>
      <c r="F13" s="1332">
        <f ca="1">INDIRECT("'数据-取费表'!y"&amp;$G$1)</f>
        <v>0.85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58692</v>
      </c>
      <c r="D14" s="2959" t="s">
        <v>1414</v>
      </c>
      <c r="E14" s="2958"/>
      <c r="F14" s="364"/>
      <c r="G14" s="1851"/>
      <c r="H14" s="1201" t="s">
        <v>1032</v>
      </c>
      <c r="I14" s="347" t="s">
        <v>1415</v>
      </c>
      <c r="J14" s="24">
        <f ca="1">C29</f>
        <v>91835</v>
      </c>
      <c r="K14" s="2952"/>
      <c r="L14" s="979"/>
      <c r="M14" s="980"/>
    </row>
    <row r="15" spans="1:37" s="1858" customFormat="1" ht="18" customHeight="1" thickBot="1">
      <c r="A15" s="1201" t="s">
        <v>1033</v>
      </c>
      <c r="B15" s="347" t="s">
        <v>1416</v>
      </c>
      <c r="C15" s="24">
        <f ca="1">ROUND(C14*F15,0)</f>
        <v>2935</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2156</v>
      </c>
      <c r="K16" s="1337" t="s">
        <v>1421</v>
      </c>
      <c r="L16" s="2961"/>
      <c r="M16" s="1294"/>
    </row>
    <row r="17" spans="1:37" s="1858" customFormat="1" ht="18" customHeight="1">
      <c r="A17" s="1201" t="s">
        <v>1386</v>
      </c>
      <c r="B17" s="347" t="s">
        <v>1422</v>
      </c>
      <c r="C17" s="24">
        <f ca="1">ROUND(F17*(F43+INDIRECT("'数据-取费表'!S"&amp;$G$1))/10000,0)</f>
        <v>3354</v>
      </c>
      <c r="D17" s="347" t="s">
        <v>1423</v>
      </c>
      <c r="E17" s="347" t="s">
        <v>1424</v>
      </c>
      <c r="F17" s="26">
        <f>'数据-取费表'!B35</f>
        <v>200</v>
      </c>
      <c r="G17" s="1854"/>
      <c r="H17" s="1201" t="s">
        <v>1032</v>
      </c>
      <c r="I17" s="347" t="s">
        <v>1425</v>
      </c>
      <c r="J17" s="24">
        <f ca="1">ROUND(IF(项目基本情况!B11="自然人",J5*M17,J18+J19+J20),1)</f>
        <v>778.1</v>
      </c>
      <c r="K17" s="2959" t="s">
        <v>1426</v>
      </c>
      <c r="L17" s="2960"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880</v>
      </c>
      <c r="D18" s="347" t="s">
        <v>1417</v>
      </c>
      <c r="E18" s="347" t="s">
        <v>1418</v>
      </c>
      <c r="F18" s="367">
        <f>'数据-取费表'!B36</f>
        <v>1.4999999999999999E-2</v>
      </c>
      <c r="G18" s="1854"/>
      <c r="H18" s="1201" t="s">
        <v>1031</v>
      </c>
      <c r="I18" s="347" t="s">
        <v>1429</v>
      </c>
      <c r="J18" s="24">
        <f ca="1">ROUND(J5*M18/(1+'数据-取费表'!C42),2)</f>
        <v>0</v>
      </c>
      <c r="K18" s="2960"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65861</v>
      </c>
      <c r="D19" s="140" t="s">
        <v>1432</v>
      </c>
      <c r="E19" s="2951"/>
      <c r="F19" s="26"/>
      <c r="G19" s="1851"/>
      <c r="H19" s="1201" t="s">
        <v>1033</v>
      </c>
      <c r="I19" s="347" t="s">
        <v>1433</v>
      </c>
      <c r="J19" s="24">
        <f ca="1">IF(K19="按租金收入计税",ROUND(J5*M19,2),ROUND(C29*M19*0.7,2))</f>
        <v>771.41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1317</v>
      </c>
      <c r="D20" s="369" t="s">
        <v>1436</v>
      </c>
      <c r="E20" s="347" t="s">
        <v>1418</v>
      </c>
      <c r="F20" s="367">
        <f>'数据-取费表'!B37</f>
        <v>0.02</v>
      </c>
      <c r="G20" s="1854"/>
      <c r="H20" s="1201" t="s">
        <v>1385</v>
      </c>
      <c r="I20" s="164" t="s">
        <v>1437</v>
      </c>
      <c r="J20" s="25">
        <f ca="1">ROUND(M20*M21/10000,2)</f>
        <v>6.65</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22181.25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1"/>
      <c r="F22" s="26"/>
      <c r="G22" s="1851"/>
      <c r="H22" s="1201" t="s">
        <v>1036</v>
      </c>
      <c r="I22" s="347" t="s">
        <v>1445</v>
      </c>
      <c r="J22" s="24">
        <f ca="1">ROUND(J14*M22,1)</f>
        <v>1377.5</v>
      </c>
      <c r="K22" s="2960"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4012</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60"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1"/>
      <c r="F25" s="26"/>
      <c r="G25" s="1851"/>
      <c r="H25" s="1329" t="s">
        <v>1028</v>
      </c>
      <c r="I25" s="1344" t="s">
        <v>1459</v>
      </c>
      <c r="J25" s="355">
        <f ca="1">J5-J16</f>
        <v>-2156</v>
      </c>
      <c r="K25" s="1345" t="s">
        <v>1460</v>
      </c>
      <c r="L25" s="1346"/>
      <c r="M25" s="1347"/>
    </row>
    <row r="26" spans="1:37">
      <c r="A26" s="1201" t="s">
        <v>1031</v>
      </c>
      <c r="B26" s="347" t="s">
        <v>1461</v>
      </c>
      <c r="C26" s="24">
        <f ca="1">ROUND((C19+C20)*F26,0)</f>
        <v>13436</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91835</v>
      </c>
      <c r="D29" s="1342"/>
      <c r="E29" s="1340"/>
      <c r="F29" s="1343"/>
      <c r="G29" s="1854"/>
      <c r="H29" s="380" t="s">
        <v>1030</v>
      </c>
      <c r="I29" s="381" t="s">
        <v>1475</v>
      </c>
      <c r="J29" s="382">
        <f ca="1">ROUND(J26/(1+F40)^F41,0)</f>
        <v>0</v>
      </c>
      <c r="K29" s="383" t="s">
        <v>1476</v>
      </c>
      <c r="L29" s="384"/>
      <c r="M29" s="385">
        <f ca="1">INDIRECT("'数据-取费表'!k"&amp;$G$1)</f>
        <v>167692.07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6052</v>
      </c>
      <c r="D30" s="1337" t="s">
        <v>1421</v>
      </c>
      <c r="E30" s="2961"/>
      <c r="F30" s="1294"/>
      <c r="G30" s="1851"/>
      <c r="H30" s="745"/>
      <c r="I30" s="746"/>
      <c r="J30" s="747"/>
      <c r="K30" s="748"/>
      <c r="L30" s="749"/>
      <c r="M30" s="750"/>
    </row>
    <row r="31" spans="1:37" ht="18" customHeight="1">
      <c r="A31" s="1201" t="s">
        <v>1032</v>
      </c>
      <c r="B31" s="347" t="s">
        <v>1425</v>
      </c>
      <c r="C31" s="24">
        <f ca="1">ROUND(IF(项目基本情况!B11="自然人",C5*F31,C32+C33+C34),1)</f>
        <v>4308.8</v>
      </c>
      <c r="D31" s="2959" t="s">
        <v>1426</v>
      </c>
      <c r="E31" s="2960"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1323.73</v>
      </c>
      <c r="D32" s="2960"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2978.4</v>
      </c>
      <c r="D33" s="1828" t="s">
        <v>3095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6.65</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22181.25</v>
      </c>
      <c r="G35" s="1851"/>
      <c r="H35" s="745"/>
      <c r="I35" s="1860"/>
      <c r="J35" s="1861"/>
      <c r="K35" s="1862"/>
      <c r="L35" s="1859"/>
      <c r="M35" s="1859"/>
    </row>
    <row r="36" spans="1:18" ht="18" customHeight="1">
      <c r="A36" s="1352" t="s">
        <v>1036</v>
      </c>
      <c r="B36" s="347" t="s">
        <v>1445</v>
      </c>
      <c r="C36" s="24">
        <f ca="1">ROUND(C29*F36,1)</f>
        <v>1377.5</v>
      </c>
      <c r="D36" s="2960"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117.1</v>
      </c>
      <c r="D37" s="2960"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248.2</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18768</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402987</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35.99</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24031</v>
      </c>
      <c r="D43" s="383" t="s">
        <v>1484</v>
      </c>
      <c r="E43" s="384" t="s">
        <v>1485</v>
      </c>
      <c r="F43" s="385">
        <f ca="1">INDIRECT("'数据-取费表'!k"&amp;$G$1)</f>
        <v>167692.07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-537708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3096</v>
      </c>
      <c r="K47" s="1882" t="s">
        <v>1523</v>
      </c>
      <c r="L47" s="1883">
        <f ca="1">INDIRECT("'数据-取费表'!d"&amp;$G$1)</f>
        <v>50</v>
      </c>
      <c r="M47" s="1838" t="str">
        <f>IF(ISNUMBER(FIND("住宅",C1)),"住宅","非住宅")</f>
        <v>非住宅</v>
      </c>
      <c r="O47" s="1884" t="s">
        <v>1037</v>
      </c>
      <c r="P47" s="1885" t="s">
        <v>1524</v>
      </c>
      <c r="Q47" s="1886">
        <f ca="1">C40+J29</f>
        <v>402987</v>
      </c>
      <c r="R47" s="1886" t="s">
        <v>1525</v>
      </c>
    </row>
    <row r="48" spans="1:18" s="1842" customFormat="1" ht="28.5" thickBot="1">
      <c r="A48" s="1360" t="s">
        <v>1132</v>
      </c>
      <c r="B48" s="345" t="s">
        <v>1397</v>
      </c>
      <c r="C48" s="2950">
        <f ca="1">C49+C53+C55</f>
        <v>0</v>
      </c>
      <c r="D48" s="1362"/>
      <c r="E48" s="1363"/>
      <c r="F48" s="1181"/>
      <c r="G48" s="792"/>
      <c r="H48" s="793"/>
      <c r="I48" s="1887" t="s">
        <v>1526</v>
      </c>
      <c r="J48" s="1888" t="s">
        <v>3097</v>
      </c>
      <c r="K48" s="1889" t="s">
        <v>1527</v>
      </c>
      <c r="L48" s="1890">
        <f ca="1">INDIRECT("'数据-取费表'!f"&amp;$G$1)</f>
        <v>35.99</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3027</v>
      </c>
      <c r="E49" s="1830" t="s">
        <v>1487</v>
      </c>
      <c r="F49" s="1281"/>
      <c r="G49" s="1891"/>
      <c r="H49" s="793"/>
      <c r="I49" s="1887" t="s">
        <v>1530</v>
      </c>
      <c r="J49" s="1892">
        <v>2010</v>
      </c>
      <c r="K49" s="1889" t="s">
        <v>1531</v>
      </c>
      <c r="L49" s="1893"/>
      <c r="O49" s="1894" t="s">
        <v>1039</v>
      </c>
      <c r="P49" s="1885" t="s">
        <v>1532</v>
      </c>
      <c r="Q49" s="1886">
        <f ca="1">C29</f>
        <v>91835</v>
      </c>
      <c r="R49" s="1886" t="s">
        <v>1525</v>
      </c>
    </row>
    <row r="50" spans="1:18" s="1842" customFormat="1" ht="13.5" thickBot="1">
      <c r="A50" s="1195"/>
      <c r="B50" s="1198"/>
      <c r="C50" s="1368"/>
      <c r="D50" s="1172"/>
      <c r="E50" s="1277" t="s">
        <v>1402</v>
      </c>
      <c r="F50" s="1278">
        <f ca="1">F7</f>
        <v>167692.07</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51</v>
      </c>
      <c r="K51" s="1900" t="s">
        <v>1537</v>
      </c>
      <c r="L51" s="1901">
        <f ca="1">ROUND(-PV(INDIRECT("'数据-取费表'!h"&amp;$G$1),L48,(C39-C13*C76),0),0)</f>
        <v>200741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35.99</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35.99</v>
      </c>
      <c r="K53" s="3243" t="s">
        <v>1544</v>
      </c>
      <c r="L53" s="3244"/>
      <c r="O53" s="1884" t="s">
        <v>1043</v>
      </c>
      <c r="P53" s="1885" t="s">
        <v>1545</v>
      </c>
      <c r="Q53" s="1886">
        <f ca="1">Q47+Q48</f>
        <v>402987</v>
      </c>
      <c r="R53" s="1886" t="s">
        <v>1044</v>
      </c>
    </row>
    <row r="54" spans="1:18" s="1842" customFormat="1" ht="13.5" thickBot="1">
      <c r="A54" s="1406"/>
      <c r="B54" s="1825" t="s">
        <v>1384</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4"/>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78060</v>
      </c>
      <c r="D56" s="1914"/>
      <c r="E56" s="1915"/>
      <c r="F56" s="1907"/>
      <c r="I56" s="1916" t="s">
        <v>1550</v>
      </c>
      <c r="J56" s="1917" t="s">
        <v>3070</v>
      </c>
      <c r="K56" s="1887" t="s">
        <v>1551</v>
      </c>
      <c r="L56" s="1890" t="str">
        <f ca="1">IF(L48&lt;J51,"——",L48-J53)</f>
        <v>——</v>
      </c>
      <c r="O56" s="1884" t="s">
        <v>1037</v>
      </c>
      <c r="P56" s="1885" t="s">
        <v>1524</v>
      </c>
      <c r="Q56" s="1886">
        <f ca="1">C40+J29</f>
        <v>402987</v>
      </c>
      <c r="R56" s="1886" t="s">
        <v>1525</v>
      </c>
    </row>
    <row r="57" spans="1:18" s="1842" customFormat="1" ht="24.75" thickBot="1">
      <c r="A57" s="1918"/>
      <c r="B57" s="1169" t="s">
        <v>1474</v>
      </c>
      <c r="C57" s="282">
        <f ca="1">C29</f>
        <v>91835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9215</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7720.8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7714.14</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6.65</v>
      </c>
      <c r="D62" s="1184" t="s">
        <v>1438</v>
      </c>
      <c r="E62" s="1169" t="s">
        <v>1439</v>
      </c>
      <c r="F62" s="371">
        <f t="shared" si="0"/>
        <v>3</v>
      </c>
      <c r="I62" s="1929" t="s">
        <v>1566</v>
      </c>
      <c r="J62" s="1930" t="s">
        <v>1567</v>
      </c>
      <c r="K62" s="1930" t="s">
        <v>1568</v>
      </c>
      <c r="L62" s="1930" t="s">
        <v>1569</v>
      </c>
      <c r="M62" s="1931" t="s">
        <v>1570</v>
      </c>
      <c r="O62" s="1884" t="s">
        <v>1043</v>
      </c>
      <c r="P62" s="1885" t="s">
        <v>1545</v>
      </c>
      <c r="Q62" s="1886">
        <f ca="1">Q56+Q57</f>
        <v>402987</v>
      </c>
      <c r="R62" s="1886" t="s">
        <v>1044</v>
      </c>
    </row>
    <row r="63" spans="1:18" s="1842" customFormat="1" ht="13.5" thickBot="1">
      <c r="A63" s="372"/>
      <c r="B63" s="1175"/>
      <c r="C63" s="29"/>
      <c r="D63" s="1185"/>
      <c r="E63" s="1169" t="s">
        <v>1443</v>
      </c>
      <c r="F63" s="348">
        <f t="shared" ca="1" si="0"/>
        <v>22181.25</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1377.5</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117.1</v>
      </c>
      <c r="D65" s="1183" t="s">
        <v>1450</v>
      </c>
      <c r="E65" s="1169" t="s">
        <v>1418</v>
      </c>
      <c r="F65" s="376">
        <f t="shared" ca="1" si="0"/>
        <v>1.5E-3</v>
      </c>
      <c r="I65" s="1929" t="s">
        <v>1575</v>
      </c>
      <c r="J65" s="1930">
        <v>40</v>
      </c>
      <c r="K65" s="1930">
        <v>30</v>
      </c>
      <c r="L65" s="1930">
        <v>50</v>
      </c>
      <c r="M65" s="1932">
        <v>0.02</v>
      </c>
      <c r="O65" s="1884" t="s">
        <v>1037</v>
      </c>
      <c r="P65" s="1885" t="s">
        <v>1524</v>
      </c>
      <c r="Q65" s="1886">
        <f ca="1">C40+J29</f>
        <v>402987</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-9215</v>
      </c>
      <c r="D67" s="1182" t="s">
        <v>1460</v>
      </c>
      <c r="E67" s="1187"/>
      <c r="F67" s="1188"/>
      <c r="O67" s="1894" t="s">
        <v>1039</v>
      </c>
      <c r="P67" s="1885" t="s">
        <v>1558</v>
      </c>
      <c r="Q67" s="1933">
        <f ca="1">L51</f>
        <v>200741</v>
      </c>
      <c r="R67" s="1886" t="s">
        <v>1578</v>
      </c>
    </row>
    <row r="68" spans="1:18" s="1842" customFormat="1" ht="16.5" thickBot="1">
      <c r="A68" s="1166" t="s">
        <v>1029</v>
      </c>
      <c r="B68" s="1167" t="s">
        <v>1481</v>
      </c>
      <c r="C68" s="346">
        <f ca="1">ROUND(C67*(1-((1+F70)/(1+F68))^F69)/(F68-F70),0)</f>
        <v>-134721</v>
      </c>
      <c r="D68" s="1184" t="s">
        <v>1465</v>
      </c>
      <c r="E68" s="1169" t="s">
        <v>1466</v>
      </c>
      <c r="F68" s="357">
        <f ca="1">F40</f>
        <v>0.06</v>
      </c>
      <c r="O68" s="1894" t="s">
        <v>1040</v>
      </c>
      <c r="P68" s="1934" t="s">
        <v>1579</v>
      </c>
      <c r="Q68" s="1886">
        <f ca="1">ROUND(Q69-Q70*Q71,0)</f>
        <v>12133</v>
      </c>
      <c r="R68" s="1886" t="s">
        <v>1048</v>
      </c>
    </row>
    <row r="69" spans="1:18" s="1842" customFormat="1" ht="13.5" thickBot="1">
      <c r="A69" s="1170"/>
      <c r="B69" s="1171"/>
      <c r="C69" s="351"/>
      <c r="D69" s="1189" t="s">
        <v>1469</v>
      </c>
      <c r="E69" s="1169" t="s">
        <v>1470</v>
      </c>
      <c r="F69" s="379">
        <f ca="1">F41</f>
        <v>35.99</v>
      </c>
      <c r="O69" s="1894" t="s">
        <v>1045</v>
      </c>
      <c r="P69" s="1934" t="s">
        <v>1580</v>
      </c>
      <c r="Q69" s="1886">
        <f ca="1">C39</f>
        <v>18768</v>
      </c>
      <c r="R69" s="1886" t="s">
        <v>1525</v>
      </c>
    </row>
    <row r="70" spans="1:18" s="1842" customFormat="1" ht="13.5" thickBot="1">
      <c r="A70" s="1173"/>
      <c r="B70" s="1174"/>
      <c r="C70" s="355"/>
      <c r="D70" s="1185"/>
      <c r="E70" s="1169" t="s">
        <v>1473</v>
      </c>
      <c r="F70" s="1275"/>
      <c r="O70" s="1894" t="s">
        <v>1046</v>
      </c>
      <c r="P70" s="1934" t="s">
        <v>1581</v>
      </c>
      <c r="Q70" s="1886">
        <f ca="1">C13</f>
        <v>78060</v>
      </c>
      <c r="R70" s="1886" t="s">
        <v>1525</v>
      </c>
    </row>
    <row r="71" spans="1:18" s="1842" customFormat="1" ht="13.5" thickBot="1">
      <c r="A71" s="1190" t="s">
        <v>1030</v>
      </c>
      <c r="B71" s="1191" t="s">
        <v>1483</v>
      </c>
      <c r="C71" s="382">
        <f ca="1">ROUND(C68*10000/F71,0)</f>
        <v>-8034</v>
      </c>
      <c r="D71" s="1192" t="s">
        <v>1484</v>
      </c>
      <c r="E71" s="1193" t="s">
        <v>1485</v>
      </c>
      <c r="F71" s="385">
        <f ca="1">F43</f>
        <v>167692.07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6635</v>
      </c>
      <c r="D75" s="1842"/>
      <c r="E75" s="1842"/>
      <c r="F75" s="1842"/>
      <c r="K75" s="1868"/>
      <c r="L75" s="1842"/>
      <c r="O75" s="1884" t="s">
        <v>1043</v>
      </c>
      <c r="P75" s="1885" t="s">
        <v>1545</v>
      </c>
      <c r="Q75" s="1886">
        <f ca="1">Q65+Q66</f>
        <v>402987</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0.64600000000000002</v>
      </c>
    </row>
    <row r="80" spans="1:18">
      <c r="B80" s="386" t="s">
        <v>1507</v>
      </c>
      <c r="C80" s="318">
        <f ca="1">ROUND(C75/C39,3)</f>
        <v>0.35399999999999998</v>
      </c>
    </row>
    <row r="81" spans="2:3">
      <c r="B81" s="314" t="s">
        <v>1508</v>
      </c>
      <c r="C81" s="282"/>
    </row>
    <row r="82" spans="2:3">
      <c r="B82" s="317" t="s">
        <v>1509</v>
      </c>
      <c r="C82" s="319">
        <f ca="1">1-C83</f>
        <v>0.80600000000000005</v>
      </c>
    </row>
    <row r="83" spans="2:3">
      <c r="B83" s="317" t="s">
        <v>1510</v>
      </c>
      <c r="C83" s="318">
        <f ca="1">ROUND(C13/C40,3)</f>
        <v>0.19400000000000001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22" sqref="G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3072</v>
      </c>
      <c r="D1" s="1820" t="s">
        <v>70</v>
      </c>
      <c r="E1" s="1821" t="s">
        <v>1383</v>
      </c>
      <c r="F1" s="1283">
        <f ca="1">J53</f>
        <v>25.98</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108660</v>
      </c>
      <c r="C2" s="1845" t="s">
        <v>1512</v>
      </c>
      <c r="D2" s="1845"/>
      <c r="E2" s="1846"/>
      <c r="F2" s="1847"/>
      <c r="G2" s="1848"/>
      <c r="H2" s="1840"/>
      <c r="I2" s="1840"/>
      <c r="J2" s="1840"/>
      <c r="K2" s="1841"/>
      <c r="L2" s="1840"/>
      <c r="M2" s="1840"/>
    </row>
    <row r="3" spans="1:37" ht="18" customHeight="1" thickBot="1">
      <c r="A3" s="1849" t="s">
        <v>1513</v>
      </c>
      <c r="B3" s="1850">
        <f ca="1">IF(ISERROR(B2*10000/F43),0,ROUND(B2*10000/F43,0))</f>
        <v>19612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8200</v>
      </c>
      <c r="D5" s="1822" t="s">
        <v>1398</v>
      </c>
      <c r="E5" s="1293"/>
      <c r="F5" s="1294"/>
      <c r="G5" s="1851"/>
      <c r="H5" s="344">
        <v>1</v>
      </c>
      <c r="I5" s="345" t="s">
        <v>1397</v>
      </c>
      <c r="J5" s="1292">
        <f ca="1">J6+J10+J12</f>
        <v>0</v>
      </c>
      <c r="K5" s="1822" t="s">
        <v>1398</v>
      </c>
      <c r="L5" s="1293"/>
      <c r="M5" s="1294"/>
    </row>
    <row r="6" spans="1:37" ht="18" customHeight="1">
      <c r="A6" s="1291" t="s">
        <v>1032</v>
      </c>
      <c r="B6" s="3245" t="s">
        <v>1399</v>
      </c>
      <c r="C6" s="1296">
        <f ca="1">ROUND(F6*F8*F7*(1-F9)/10000,0)</f>
        <v>8190</v>
      </c>
      <c r="D6" s="164" t="s">
        <v>3028</v>
      </c>
      <c r="E6" s="347" t="s">
        <v>1401</v>
      </c>
      <c r="F6" s="348">
        <f ca="1">INDIRECT("'数据-取费表'!u"&amp;$G$1)</f>
        <v>4.5</v>
      </c>
      <c r="G6" s="1851"/>
      <c r="H6" s="1291" t="s">
        <v>1032</v>
      </c>
      <c r="I6" s="3245" t="s">
        <v>1399</v>
      </c>
      <c r="J6" s="346">
        <f ca="1">ROUND(M6*M8*M7*(1-M9)/10000,0)</f>
        <v>0</v>
      </c>
      <c r="K6" s="164" t="s">
        <v>3027</v>
      </c>
      <c r="L6" s="347" t="s">
        <v>1401</v>
      </c>
      <c r="M6" s="348">
        <f ca="1">INDIRECT("'数据-取费表'!z"&amp;$G$1)</f>
        <v>0</v>
      </c>
    </row>
    <row r="7" spans="1:37" ht="18" customHeight="1">
      <c r="A7" s="1295"/>
      <c r="B7" s="3246"/>
      <c r="C7" s="1297"/>
      <c r="D7" s="352"/>
      <c r="E7" s="2953" t="s">
        <v>1402</v>
      </c>
      <c r="F7" s="348">
        <f ca="1">IF(INDIRECT("'数据-取费表'!ah"&amp;$G$1)="",INDIRECT("'数据-取费表'!k"&amp;$G$1),INDIRECT("'数据-取费表'!ah"&amp;$G$1))</f>
        <v>55403.69</v>
      </c>
      <c r="G7" s="1851"/>
      <c r="H7" s="349"/>
      <c r="I7" s="3246"/>
      <c r="J7" s="351"/>
      <c r="K7" s="352"/>
      <c r="L7" s="347" t="s">
        <v>1402</v>
      </c>
      <c r="M7" s="348">
        <f ca="1">F7</f>
        <v>55403.69</v>
      </c>
    </row>
    <row r="8" spans="1:37" ht="18" customHeight="1">
      <c r="A8" s="349"/>
      <c r="B8" s="3246"/>
      <c r="C8" s="351"/>
      <c r="D8" s="352"/>
      <c r="E8" s="347" t="s">
        <v>1403</v>
      </c>
      <c r="F8" s="348">
        <f ca="1">INDIRECT("'数据-取费表'!ai"&amp;$G$1)</f>
        <v>365</v>
      </c>
      <c r="G8" s="1851"/>
      <c r="H8" s="349"/>
      <c r="I8" s="3246"/>
      <c r="J8" s="351"/>
      <c r="K8" s="352"/>
      <c r="L8" s="347" t="s">
        <v>1403</v>
      </c>
      <c r="M8" s="348">
        <f ca="1">INDIRECT("'数据-取费表'!ai"&amp;$G$1)</f>
        <v>365</v>
      </c>
    </row>
    <row r="9" spans="1:37" ht="18" customHeight="1">
      <c r="A9" s="349"/>
      <c r="B9" s="3247"/>
      <c r="C9" s="351"/>
      <c r="D9" s="352"/>
      <c r="E9" s="347" t="s">
        <v>1404</v>
      </c>
      <c r="F9" s="357">
        <f ca="1">INDIRECT("'数据-取费表'!w"&amp;$G$1)</f>
        <v>0.1</v>
      </c>
      <c r="G9" s="1851"/>
      <c r="H9" s="349"/>
      <c r="I9" s="32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10</v>
      </c>
      <c r="D10" s="1824" t="s">
        <v>3036</v>
      </c>
      <c r="E10" s="358" t="s">
        <v>1406</v>
      </c>
      <c r="F10" s="1366" t="s">
        <v>3094</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25791</v>
      </c>
      <c r="D13" s="1331" t="s">
        <v>1411</v>
      </c>
      <c r="E13" s="1331" t="s">
        <v>1412</v>
      </c>
      <c r="F13" s="1332">
        <f ca="1">INDIRECT("'数据-取费表'!y"&amp;$G$1)</f>
        <v>0.85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19391</v>
      </c>
      <c r="D14" s="2959" t="s">
        <v>1414</v>
      </c>
      <c r="E14" s="2958"/>
      <c r="F14" s="364"/>
      <c r="G14" s="1851"/>
      <c r="H14" s="1201" t="s">
        <v>1032</v>
      </c>
      <c r="I14" s="347" t="s">
        <v>1415</v>
      </c>
      <c r="J14" s="24">
        <f ca="1">C29</f>
        <v>30342</v>
      </c>
      <c r="K14" s="2952"/>
      <c r="L14" s="979"/>
      <c r="M14" s="980"/>
    </row>
    <row r="15" spans="1:37" s="1858" customFormat="1" ht="18" customHeight="1" thickBot="1">
      <c r="A15" s="1201" t="s">
        <v>1033</v>
      </c>
      <c r="B15" s="347" t="s">
        <v>1416</v>
      </c>
      <c r="C15" s="24">
        <f ca="1">ROUND(C14*F15,0)</f>
        <v>970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712</v>
      </c>
      <c r="K16" s="1337" t="s">
        <v>1421</v>
      </c>
      <c r="L16" s="2961"/>
      <c r="M16" s="1294"/>
    </row>
    <row r="17" spans="1:37" s="1858" customFormat="1" ht="18" customHeight="1">
      <c r="A17" s="1201" t="s">
        <v>1386</v>
      </c>
      <c r="B17" s="347" t="s">
        <v>1422</v>
      </c>
      <c r="C17" s="24">
        <f ca="1">ROUND(F17*(F43+INDIRECT("'数据-取费表'!S"&amp;$G$1))/10000,0)</f>
        <v>1108</v>
      </c>
      <c r="D17" s="347" t="s">
        <v>1423</v>
      </c>
      <c r="E17" s="347" t="s">
        <v>1424</v>
      </c>
      <c r="F17" s="26">
        <f>'数据-取费表'!B35</f>
        <v>200</v>
      </c>
      <c r="G17" s="1854"/>
      <c r="H17" s="1201" t="s">
        <v>1032</v>
      </c>
      <c r="I17" s="347" t="s">
        <v>1425</v>
      </c>
      <c r="J17" s="24">
        <f ca="1">ROUND(IF(项目基本情况!B11="自然人",J5*M17,J18+J19+J20),1)</f>
        <v>257.10000000000002</v>
      </c>
      <c r="K17" s="2959" t="s">
        <v>1426</v>
      </c>
      <c r="L17" s="2960"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291</v>
      </c>
      <c r="D18" s="347" t="s">
        <v>1417</v>
      </c>
      <c r="E18" s="347" t="s">
        <v>1418</v>
      </c>
      <c r="F18" s="367">
        <f>'数据-取费表'!B36</f>
        <v>1.4999999999999999E-2</v>
      </c>
      <c r="G18" s="1854"/>
      <c r="H18" s="1201" t="s">
        <v>1031</v>
      </c>
      <c r="I18" s="347" t="s">
        <v>1429</v>
      </c>
      <c r="J18" s="24">
        <f ca="1">ROUND(J5*M18/(1+'数据-取费表'!C42),2)</f>
        <v>0</v>
      </c>
      <c r="K18" s="2960"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21760</v>
      </c>
      <c r="D19" s="140" t="s">
        <v>1432</v>
      </c>
      <c r="E19" s="2951"/>
      <c r="F19" s="26"/>
      <c r="G19" s="1851"/>
      <c r="H19" s="1201" t="s">
        <v>1033</v>
      </c>
      <c r="I19" s="347" t="s">
        <v>1433</v>
      </c>
      <c r="J19" s="24">
        <f ca="1">IF(K19="按租金收入计税",ROUND(J5*M19,2),ROUND(C29*M19*0.7,2))</f>
        <v>254.87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435</v>
      </c>
      <c r="D20" s="369" t="s">
        <v>1436</v>
      </c>
      <c r="E20" s="347" t="s">
        <v>1418</v>
      </c>
      <c r="F20" s="367">
        <f>'数据-取费表'!B37</f>
        <v>0.02</v>
      </c>
      <c r="G20" s="1854"/>
      <c r="H20" s="1201" t="s">
        <v>1385</v>
      </c>
      <c r="I20" s="164" t="s">
        <v>1437</v>
      </c>
      <c r="J20" s="25">
        <f ca="1">ROUND(M20*M21/10000,2)</f>
        <v>2.2000000000000002</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7328.45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1"/>
      <c r="F22" s="26"/>
      <c r="G22" s="1851"/>
      <c r="H22" s="1201" t="s">
        <v>1036</v>
      </c>
      <c r="I22" s="347" t="s">
        <v>1445</v>
      </c>
      <c r="J22" s="24">
        <f ca="1">ROUND(J14*M22,1)</f>
        <v>455.1</v>
      </c>
      <c r="K22" s="2960"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1326</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60"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1"/>
      <c r="F25" s="26"/>
      <c r="G25" s="1851"/>
      <c r="H25" s="1329" t="s">
        <v>1028</v>
      </c>
      <c r="I25" s="1344" t="s">
        <v>1459</v>
      </c>
      <c r="J25" s="355">
        <f ca="1">J5-J16</f>
        <v>-712</v>
      </c>
      <c r="K25" s="1345" t="s">
        <v>1460</v>
      </c>
      <c r="L25" s="1346"/>
      <c r="M25" s="1347"/>
    </row>
    <row r="26" spans="1:37">
      <c r="A26" s="1201" t="s">
        <v>1031</v>
      </c>
      <c r="B26" s="347" t="s">
        <v>1461</v>
      </c>
      <c r="C26" s="24">
        <f ca="1">ROUND((C19+C20)*F26,0)</f>
        <v>4439</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30342</v>
      </c>
      <c r="D29" s="1342"/>
      <c r="E29" s="1340"/>
      <c r="F29" s="1343"/>
      <c r="G29" s="1854"/>
      <c r="H29" s="380" t="s">
        <v>1030</v>
      </c>
      <c r="I29" s="381" t="s">
        <v>1475</v>
      </c>
      <c r="J29" s="382">
        <f ca="1">ROUND(J26/(1+F40)^F41,0)</f>
        <v>0</v>
      </c>
      <c r="K29" s="383" t="s">
        <v>1476</v>
      </c>
      <c r="L29" s="384"/>
      <c r="M29" s="385">
        <f ca="1">INDIRECT("'数据-取费表'!k"&amp;$G$1)</f>
        <v>55403.69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1999</v>
      </c>
      <c r="D30" s="1337" t="s">
        <v>1421</v>
      </c>
      <c r="E30" s="2961"/>
      <c r="F30" s="1294"/>
      <c r="G30" s="1851"/>
      <c r="H30" s="745"/>
      <c r="I30" s="746"/>
      <c r="J30" s="747"/>
      <c r="K30" s="748"/>
      <c r="L30" s="749"/>
      <c r="M30" s="750"/>
    </row>
    <row r="31" spans="1:37" ht="18" customHeight="1">
      <c r="A31" s="1201" t="s">
        <v>1032</v>
      </c>
      <c r="B31" s="347" t="s">
        <v>1425</v>
      </c>
      <c r="C31" s="24">
        <f ca="1">ROUND(IF(项目基本情况!B11="自然人",C5*F31,C32+C33+C34),1)</f>
        <v>1423.5</v>
      </c>
      <c r="D31" s="2959" t="s">
        <v>1426</v>
      </c>
      <c r="E31" s="2960"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437.33</v>
      </c>
      <c r="D32" s="2960"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984</v>
      </c>
      <c r="D33" s="1828" t="s">
        <v>3095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2.2000000000000002</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7328.45</v>
      </c>
      <c r="G35" s="1851"/>
      <c r="H35" s="745"/>
      <c r="I35" s="1860"/>
      <c r="J35" s="1861"/>
      <c r="K35" s="1862"/>
      <c r="L35" s="1859"/>
      <c r="M35" s="1859"/>
    </row>
    <row r="36" spans="1:18" ht="18" customHeight="1">
      <c r="A36" s="1352" t="s">
        <v>1036</v>
      </c>
      <c r="B36" s="347" t="s">
        <v>1445</v>
      </c>
      <c r="C36" s="24">
        <f ca="1">ROUND(C29*F36,1)</f>
        <v>455.1</v>
      </c>
      <c r="D36" s="2960"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38.700000000000003</v>
      </c>
      <c r="D37" s="2960"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82</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6201</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108660</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25.98</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19612</v>
      </c>
      <c r="D43" s="383" t="s">
        <v>1484</v>
      </c>
      <c r="E43" s="384" t="s">
        <v>1485</v>
      </c>
      <c r="F43" s="385">
        <f ca="1">INDIRECT("'数据-取费表'!k"&amp;$G$1)</f>
        <v>55403.69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-148242</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3096</v>
      </c>
      <c r="K47" s="1882" t="s">
        <v>1523</v>
      </c>
      <c r="L47" s="1883">
        <f ca="1">INDIRECT("'数据-取费表'!d"&amp;$G$1)</f>
        <v>40</v>
      </c>
      <c r="M47" s="1838" t="str">
        <f>IF(ISNUMBER(FIND("住宅",C1)),"住宅","非住宅")</f>
        <v>非住宅</v>
      </c>
      <c r="O47" s="1884" t="s">
        <v>1037</v>
      </c>
      <c r="P47" s="1885" t="s">
        <v>1524</v>
      </c>
      <c r="Q47" s="1886">
        <f ca="1">C40+J29</f>
        <v>108660</v>
      </c>
      <c r="R47" s="1886" t="s">
        <v>1525</v>
      </c>
    </row>
    <row r="48" spans="1:18" s="1842" customFormat="1" ht="28.5" thickBot="1">
      <c r="A48" s="1360" t="s">
        <v>1132</v>
      </c>
      <c r="B48" s="345" t="s">
        <v>1397</v>
      </c>
      <c r="C48" s="2950">
        <f ca="1">C49+C53+C55</f>
        <v>0</v>
      </c>
      <c r="D48" s="1362"/>
      <c r="E48" s="1363"/>
      <c r="F48" s="1181"/>
      <c r="G48" s="792"/>
      <c r="H48" s="793"/>
      <c r="I48" s="1887" t="s">
        <v>1526</v>
      </c>
      <c r="J48" s="1888" t="s">
        <v>3097</v>
      </c>
      <c r="K48" s="1889" t="s">
        <v>1527</v>
      </c>
      <c r="L48" s="1890">
        <f ca="1">INDIRECT("'数据-取费表'!f"&amp;$G$1)</f>
        <v>25.98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3027</v>
      </c>
      <c r="E49" s="1830" t="s">
        <v>1487</v>
      </c>
      <c r="F49" s="1281"/>
      <c r="G49" s="1891"/>
      <c r="H49" s="793"/>
      <c r="I49" s="1887" t="s">
        <v>1530</v>
      </c>
      <c r="J49" s="1892">
        <v>2010</v>
      </c>
      <c r="K49" s="1889" t="s">
        <v>1531</v>
      </c>
      <c r="L49" s="1893"/>
      <c r="O49" s="1894" t="s">
        <v>1039</v>
      </c>
      <c r="P49" s="1885" t="s">
        <v>1532</v>
      </c>
      <c r="Q49" s="1886">
        <f ca="1">C29</f>
        <v>30342</v>
      </c>
      <c r="R49" s="1886" t="s">
        <v>1525</v>
      </c>
    </row>
    <row r="50" spans="1:18" s="1842" customFormat="1" ht="13.5" thickBot="1">
      <c r="A50" s="1195"/>
      <c r="B50" s="1198"/>
      <c r="C50" s="1368"/>
      <c r="D50" s="1172"/>
      <c r="E50" s="1277" t="s">
        <v>1402</v>
      </c>
      <c r="F50" s="1278">
        <f ca="1">F7</f>
        <v>55403.69</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51</v>
      </c>
      <c r="K51" s="1900" t="s">
        <v>1537</v>
      </c>
      <c r="L51" s="1901">
        <f ca="1">ROUND(-PV(INDIRECT("'数据-取费表'!h"&amp;$G$1),L48,(C39-C13*C76),0),0)</f>
        <v>57605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25.98</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25.98</v>
      </c>
      <c r="K53" s="3243" t="s">
        <v>1544</v>
      </c>
      <c r="L53" s="3244"/>
      <c r="O53" s="1884" t="s">
        <v>1043</v>
      </c>
      <c r="P53" s="1885" t="s">
        <v>1545</v>
      </c>
      <c r="Q53" s="1886">
        <f ca="1">Q47+Q48</f>
        <v>108660</v>
      </c>
      <c r="R53" s="1886" t="s">
        <v>1044</v>
      </c>
    </row>
    <row r="54" spans="1:18" s="1842" customFormat="1" ht="13.5" thickBot="1">
      <c r="A54" s="1406"/>
      <c r="B54" s="1825" t="s">
        <v>1384</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4"/>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25791</v>
      </c>
      <c r="D56" s="1914"/>
      <c r="E56" s="1915"/>
      <c r="F56" s="1907"/>
      <c r="I56" s="1916" t="s">
        <v>1550</v>
      </c>
      <c r="J56" s="1917" t="s">
        <v>3070</v>
      </c>
      <c r="K56" s="1887" t="s">
        <v>1551</v>
      </c>
      <c r="L56" s="1890" t="str">
        <f ca="1">IF(L48&lt;J51,"——",L48-J53)</f>
        <v>——</v>
      </c>
      <c r="O56" s="1884" t="s">
        <v>1037</v>
      </c>
      <c r="P56" s="1885" t="s">
        <v>1524</v>
      </c>
      <c r="Q56" s="1886">
        <f ca="1">C40+J29</f>
        <v>108660</v>
      </c>
      <c r="R56" s="1886" t="s">
        <v>1525</v>
      </c>
    </row>
    <row r="57" spans="1:18" s="1842" customFormat="1" ht="24.75" thickBot="1">
      <c r="A57" s="1918"/>
      <c r="B57" s="1169" t="s">
        <v>1474</v>
      </c>
      <c r="C57" s="282">
        <f ca="1">C29</f>
        <v>30342</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3045</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2550.9</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2548.73</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2.2000000000000002</v>
      </c>
      <c r="D62" s="1184" t="s">
        <v>1438</v>
      </c>
      <c r="E62" s="1169" t="s">
        <v>1439</v>
      </c>
      <c r="F62" s="371">
        <f t="shared" si="0"/>
        <v>3</v>
      </c>
      <c r="I62" s="1929" t="s">
        <v>1566</v>
      </c>
      <c r="J62" s="1930" t="s">
        <v>1567</v>
      </c>
      <c r="K62" s="1930" t="s">
        <v>1568</v>
      </c>
      <c r="L62" s="1930" t="s">
        <v>1569</v>
      </c>
      <c r="M62" s="1931" t="s">
        <v>1570</v>
      </c>
      <c r="O62" s="1884" t="s">
        <v>1043</v>
      </c>
      <c r="P62" s="1885" t="s">
        <v>1545</v>
      </c>
      <c r="Q62" s="1886">
        <f ca="1">Q56+Q57</f>
        <v>108660</v>
      </c>
      <c r="R62" s="1886" t="s">
        <v>1044</v>
      </c>
    </row>
    <row r="63" spans="1:18" s="1842" customFormat="1" ht="13.5" thickBot="1">
      <c r="A63" s="372"/>
      <c r="B63" s="1175"/>
      <c r="C63" s="29"/>
      <c r="D63" s="1185"/>
      <c r="E63" s="1169" t="s">
        <v>1443</v>
      </c>
      <c r="F63" s="348">
        <f t="shared" ca="1" si="0"/>
        <v>7328.45</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455.1</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38.700000000000003</v>
      </c>
      <c r="D65" s="1183" t="s">
        <v>1450</v>
      </c>
      <c r="E65" s="1169" t="s">
        <v>1418</v>
      </c>
      <c r="F65" s="376">
        <f t="shared" ca="1" si="0"/>
        <v>1.5E-3</v>
      </c>
      <c r="I65" s="1929" t="s">
        <v>1575</v>
      </c>
      <c r="J65" s="1930">
        <v>40</v>
      </c>
      <c r="K65" s="1930">
        <v>30</v>
      </c>
      <c r="L65" s="1930">
        <v>50</v>
      </c>
      <c r="M65" s="1932">
        <v>0.02</v>
      </c>
      <c r="O65" s="1884" t="s">
        <v>1037</v>
      </c>
      <c r="P65" s="1885" t="s">
        <v>1524</v>
      </c>
      <c r="Q65" s="1886">
        <f ca="1">C40+J29</f>
        <v>108660</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-3045</v>
      </c>
      <c r="D67" s="1182" t="s">
        <v>1460</v>
      </c>
      <c r="E67" s="1187"/>
      <c r="F67" s="1188"/>
      <c r="O67" s="1894" t="s">
        <v>1039</v>
      </c>
      <c r="P67" s="1885" t="s">
        <v>1558</v>
      </c>
      <c r="Q67" s="1933">
        <f ca="1">L51</f>
        <v>57605</v>
      </c>
      <c r="R67" s="1886" t="s">
        <v>1578</v>
      </c>
    </row>
    <row r="68" spans="1:18" s="1842" customFormat="1" ht="16.5" thickBot="1">
      <c r="A68" s="1166" t="s">
        <v>1029</v>
      </c>
      <c r="B68" s="1167" t="s">
        <v>1481</v>
      </c>
      <c r="C68" s="346">
        <f ca="1">ROUND(C67*(1-((1+F70)/(1+F68))^F69)/(F68-F70),0)</f>
        <v>-39582</v>
      </c>
      <c r="D68" s="1184" t="s">
        <v>1465</v>
      </c>
      <c r="E68" s="1169" t="s">
        <v>1466</v>
      </c>
      <c r="F68" s="357">
        <f ca="1">F40</f>
        <v>0.06</v>
      </c>
      <c r="O68" s="1894" t="s">
        <v>1040</v>
      </c>
      <c r="P68" s="1934" t="s">
        <v>1579</v>
      </c>
      <c r="Q68" s="1886">
        <f ca="1">ROUND(Q69-Q70*Q71,0)</f>
        <v>4009</v>
      </c>
      <c r="R68" s="1886" t="s">
        <v>1048</v>
      </c>
    </row>
    <row r="69" spans="1:18" s="1842" customFormat="1" ht="13.5" thickBot="1">
      <c r="A69" s="1170"/>
      <c r="B69" s="1171"/>
      <c r="C69" s="351"/>
      <c r="D69" s="1189" t="s">
        <v>1469</v>
      </c>
      <c r="E69" s="1169" t="s">
        <v>1470</v>
      </c>
      <c r="F69" s="379">
        <f ca="1">F41</f>
        <v>25.98</v>
      </c>
      <c r="O69" s="1894" t="s">
        <v>1045</v>
      </c>
      <c r="P69" s="1934" t="s">
        <v>1580</v>
      </c>
      <c r="Q69" s="1886">
        <f ca="1">C39</f>
        <v>6201</v>
      </c>
      <c r="R69" s="1886" t="s">
        <v>1525</v>
      </c>
    </row>
    <row r="70" spans="1:18" s="1842" customFormat="1" ht="13.5" thickBot="1">
      <c r="A70" s="1173"/>
      <c r="B70" s="1174"/>
      <c r="C70" s="355"/>
      <c r="D70" s="1185"/>
      <c r="E70" s="1169" t="s">
        <v>1473</v>
      </c>
      <c r="F70" s="1275"/>
      <c r="O70" s="1894" t="s">
        <v>1046</v>
      </c>
      <c r="P70" s="1934" t="s">
        <v>1581</v>
      </c>
      <c r="Q70" s="1886">
        <f ca="1">C13</f>
        <v>25791</v>
      </c>
      <c r="R70" s="1886" t="s">
        <v>1525</v>
      </c>
    </row>
    <row r="71" spans="1:18" s="1842" customFormat="1" ht="13.5" thickBot="1">
      <c r="A71" s="1190" t="s">
        <v>1030</v>
      </c>
      <c r="B71" s="1191" t="s">
        <v>1483</v>
      </c>
      <c r="C71" s="382">
        <f ca="1">ROUND(C68*10000/F71,0)</f>
        <v>-7144</v>
      </c>
      <c r="D71" s="1192" t="s">
        <v>1484</v>
      </c>
      <c r="E71" s="1193" t="s">
        <v>1485</v>
      </c>
      <c r="F71" s="385">
        <f ca="1">F43</f>
        <v>55403.69</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2192</v>
      </c>
      <c r="D75" s="1842"/>
      <c r="E75" s="1842"/>
      <c r="F75" s="1842"/>
      <c r="K75" s="1868"/>
      <c r="L75" s="1842"/>
      <c r="O75" s="1884" t="s">
        <v>1043</v>
      </c>
      <c r="P75" s="1885" t="s">
        <v>1545</v>
      </c>
      <c r="Q75" s="1886">
        <f ca="1">Q65+Q66</f>
        <v>108660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0.64700000000000002</v>
      </c>
    </row>
    <row r="80" spans="1:18">
      <c r="B80" s="386" t="s">
        <v>1507</v>
      </c>
      <c r="C80" s="318">
        <f ca="1">ROUND(C75/C39,3)</f>
        <v>0.35299999999999998</v>
      </c>
    </row>
    <row r="81" spans="2:3">
      <c r="B81" s="314" t="s">
        <v>1508</v>
      </c>
      <c r="C81" s="282"/>
    </row>
    <row r="82" spans="2:3">
      <c r="B82" s="317" t="s">
        <v>1509</v>
      </c>
      <c r="C82" s="319">
        <f ca="1">1-C83</f>
        <v>0.76300000000000001</v>
      </c>
    </row>
    <row r="83" spans="2:3">
      <c r="B83" s="317" t="s">
        <v>1510</v>
      </c>
      <c r="C83" s="318">
        <f ca="1">ROUND(C13/C40,3)</f>
        <v>0.23699999999999999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北京国美商都建设开发有限公司：</v>
      </c>
    </row>
    <row r="4" spans="1:1" ht="36">
      <c r="A4" s="1948" t="str">
        <f>"受贵公司委托，我公司对"&amp;项目基本情况!S1&amp;"进行了预评估。"</f>
        <v>受贵公司委托，我公司对北京市丰台区南四环西路182号房地产抵押价值进行了预评估。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估价对象为北京市丰台区南四环西路182号房地产，为北京国美商都建设开发有限公司所有。根据《国有土地使用证》[]，估价对象（分摊）出让国有建设用地使用权面积为48267.47平方米，建筑面积为364906平方米。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48267.47平方米，规划建筑面积为364906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为估价委托人在向渤海银行北京分行安贞支行办理贷款手续过程中，确定房地产抵押贷款额度提供参考依据而评估房地产抵押价值。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2019年6月6日（评估专业人员实地查勘之日）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6日，估价对象规划用途为商业、综合、地下车库、地下仓储，土地取得方式为出让，出让国有建设用地使用权剩余土地使用年限为商业26年、综合、地下车库及地下仓储36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燃气）、红线内场地平整条件下，剩余土地使用年限为商业26年、综合、地下车库及地下仓储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70</v>
      </c>
      <c r="E1" s="1821" t="s">
        <v>1383</v>
      </c>
      <c r="F1" s="1283">
        <f ca="1">J53</f>
        <v>35.99</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23567</v>
      </c>
      <c r="C2" s="1845" t="s">
        <v>1512</v>
      </c>
      <c r="D2" s="1845"/>
      <c r="E2" s="1846"/>
      <c r="F2" s="1847"/>
      <c r="G2" s="1848"/>
      <c r="H2" s="1840"/>
      <c r="I2" s="1840"/>
      <c r="J2" s="1840"/>
      <c r="K2" s="1841"/>
      <c r="L2" s="1840"/>
      <c r="M2" s="1840"/>
    </row>
    <row r="3" spans="1:37" ht="18" customHeight="1" thickBot="1">
      <c r="A3" s="1849" t="s">
        <v>1513</v>
      </c>
      <c r="B3" s="1850">
        <f ca="1">IF(ISERROR(B2*10000/F43),0,ROUND(B2*10000/F43,0))</f>
        <v>2783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2097</v>
      </c>
      <c r="D5" s="1822" t="s">
        <v>1398</v>
      </c>
      <c r="E5" s="1293"/>
      <c r="F5" s="1294"/>
      <c r="G5" s="1851"/>
      <c r="H5" s="344">
        <v>1</v>
      </c>
      <c r="I5" s="345" t="s">
        <v>1397</v>
      </c>
      <c r="J5" s="1292">
        <f ca="1">J6+J10+J12</f>
        <v>0</v>
      </c>
      <c r="K5" s="1822" t="s">
        <v>1398</v>
      </c>
      <c r="L5" s="1293"/>
      <c r="M5" s="1294"/>
    </row>
    <row r="6" spans="1:37" ht="18" customHeight="1">
      <c r="A6" s="1291" t="s">
        <v>1032</v>
      </c>
      <c r="B6" s="3245" t="s">
        <v>1399</v>
      </c>
      <c r="C6" s="1296">
        <f ca="1">ROUND(F6*F8*F7*(1-F9)/10000,0)</f>
        <v>2097</v>
      </c>
      <c r="D6" s="164" t="s">
        <v>3028</v>
      </c>
      <c r="E6" s="347" t="s">
        <v>1401</v>
      </c>
      <c r="F6" s="348">
        <f ca="1">INDIRECT("'数据-取费表'!u"&amp;$G$1)</f>
        <v>1000</v>
      </c>
      <c r="G6" s="1851"/>
      <c r="H6" s="1291" t="s">
        <v>1032</v>
      </c>
      <c r="I6" s="3245" t="s">
        <v>1399</v>
      </c>
      <c r="J6" s="346">
        <f ca="1">ROUND(M6*M8*M7*(1-M9)/10000,0)</f>
        <v>0</v>
      </c>
      <c r="K6" s="164" t="s">
        <v>3027</v>
      </c>
      <c r="L6" s="347" t="s">
        <v>1401</v>
      </c>
      <c r="M6" s="348">
        <f ca="1">INDIRECT("'数据-取费表'!z"&amp;$G$1)</f>
        <v>0</v>
      </c>
    </row>
    <row r="7" spans="1:37" ht="18" customHeight="1">
      <c r="A7" s="1295"/>
      <c r="B7" s="3246"/>
      <c r="C7" s="1297"/>
      <c r="D7" s="352"/>
      <c r="E7" s="2953" t="s">
        <v>1402</v>
      </c>
      <c r="F7" s="348">
        <f ca="1">IF(INDIRECT("'数据-取费表'!ah"&amp;$G$1)="",INDIRECT("'数据-取费表'!k"&amp;$G$1),INDIRECT("'数据-取费表'!ah"&amp;$G$1))</f>
        <v>1942</v>
      </c>
      <c r="G7" s="1851"/>
      <c r="H7" s="349"/>
      <c r="I7" s="3246"/>
      <c r="J7" s="351"/>
      <c r="K7" s="352"/>
      <c r="L7" s="347" t="s">
        <v>1402</v>
      </c>
      <c r="M7" s="348">
        <f ca="1">F7</f>
        <v>1942</v>
      </c>
    </row>
    <row r="8" spans="1:37" ht="18" customHeight="1">
      <c r="A8" s="349"/>
      <c r="B8" s="3246"/>
      <c r="C8" s="351"/>
      <c r="D8" s="352"/>
      <c r="E8" s="347" t="s">
        <v>1403</v>
      </c>
      <c r="F8" s="348">
        <f ca="1">INDIRECT("'数据-取费表'!ai"&amp;$G$1)</f>
        <v>12</v>
      </c>
      <c r="G8" s="1851"/>
      <c r="H8" s="349"/>
      <c r="I8" s="3246"/>
      <c r="J8" s="351"/>
      <c r="K8" s="352"/>
      <c r="L8" s="347" t="s">
        <v>1403</v>
      </c>
      <c r="M8" s="348">
        <f ca="1">INDIRECT("'数据-取费表'!ai"&amp;$G$1)</f>
        <v>12</v>
      </c>
    </row>
    <row r="9" spans="1:37" ht="18" customHeight="1">
      <c r="A9" s="349"/>
      <c r="B9" s="3247"/>
      <c r="C9" s="351"/>
      <c r="D9" s="352"/>
      <c r="E9" s="347" t="s">
        <v>1404</v>
      </c>
      <c r="F9" s="357">
        <f ca="1">INDIRECT("'数据-取费表'!w"&amp;$G$1)</f>
        <v>0.1</v>
      </c>
      <c r="G9" s="1851"/>
      <c r="H9" s="349"/>
      <c r="I9" s="32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t="s">
        <v>3109</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36213</v>
      </c>
      <c r="D13" s="1331" t="s">
        <v>1411</v>
      </c>
      <c r="E13" s="1331" t="s">
        <v>1412</v>
      </c>
      <c r="F13" s="1332">
        <f ca="1">INDIRECT("'数据-取费表'!y"&amp;$G$1)</f>
        <v>0.85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29640</v>
      </c>
      <c r="D14" s="2959" t="s">
        <v>1414</v>
      </c>
      <c r="E14" s="2958"/>
      <c r="F14" s="364"/>
      <c r="G14" s="1851"/>
      <c r="H14" s="1201" t="s">
        <v>1032</v>
      </c>
      <c r="I14" s="347" t="s">
        <v>1415</v>
      </c>
      <c r="J14" s="24">
        <f ca="1">C29</f>
        <v>42604</v>
      </c>
      <c r="K14" s="2952"/>
      <c r="L14" s="979"/>
      <c r="M14" s="980"/>
    </row>
    <row r="15" spans="1:37" s="1858" customFormat="1" ht="18" customHeight="1" thickBot="1">
      <c r="A15" s="1201" t="s">
        <v>1033</v>
      </c>
      <c r="B15" s="347" t="s">
        <v>1416</v>
      </c>
      <c r="C15" s="24">
        <f ca="1">ROUND(C14*F15,0)</f>
        <v>1482</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1000</v>
      </c>
      <c r="K16" s="1337" t="s">
        <v>1421</v>
      </c>
      <c r="L16" s="2961"/>
      <c r="M16" s="1294"/>
    </row>
    <row r="17" spans="1:37" s="1858" customFormat="1" ht="18" customHeight="1">
      <c r="A17" s="1201" t="s">
        <v>1386</v>
      </c>
      <c r="B17" s="347" t="s">
        <v>1422</v>
      </c>
      <c r="C17" s="24">
        <f ca="1">ROUND(F17*(F43+INDIRECT("'数据-取费表'!S"&amp;$G$1))/10000,0)</f>
        <v>1694</v>
      </c>
      <c r="D17" s="347" t="s">
        <v>1423</v>
      </c>
      <c r="E17" s="347" t="s">
        <v>1424</v>
      </c>
      <c r="F17" s="26">
        <f>'数据-取费表'!B35</f>
        <v>200</v>
      </c>
      <c r="G17" s="1854"/>
      <c r="H17" s="1201" t="s">
        <v>1032</v>
      </c>
      <c r="I17" s="347" t="s">
        <v>1425</v>
      </c>
      <c r="J17" s="24">
        <f ca="1">ROUND(IF(项目基本情况!B11="自然人",J5*M17,J18+J19+J20),1)</f>
        <v>361.2</v>
      </c>
      <c r="K17" s="2959" t="s">
        <v>1426</v>
      </c>
      <c r="L17" s="2960"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445</v>
      </c>
      <c r="D18" s="347" t="s">
        <v>1417</v>
      </c>
      <c r="E18" s="347" t="s">
        <v>1418</v>
      </c>
      <c r="F18" s="367">
        <f>'数据-取费表'!B36</f>
        <v>1.4999999999999999E-2</v>
      </c>
      <c r="G18" s="1854"/>
      <c r="H18" s="1201" t="s">
        <v>1031</v>
      </c>
      <c r="I18" s="347" t="s">
        <v>1429</v>
      </c>
      <c r="J18" s="24">
        <f ca="1">ROUND(J5*M18/(1+'数据-取费表'!C42),2)</f>
        <v>0</v>
      </c>
      <c r="K18" s="2960"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33261</v>
      </c>
      <c r="D19" s="140" t="s">
        <v>1432</v>
      </c>
      <c r="E19" s="2951"/>
      <c r="F19" s="26"/>
      <c r="G19" s="1851"/>
      <c r="H19" s="1201" t="s">
        <v>1033</v>
      </c>
      <c r="I19" s="347" t="s">
        <v>1433</v>
      </c>
      <c r="J19" s="24">
        <f ca="1">IF(K19="按租金收入计税",ROUND(J5*M19,2),ROUND(C29*M19*0.7,2))</f>
        <v>357.87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665</v>
      </c>
      <c r="D20" s="369" t="s">
        <v>1436</v>
      </c>
      <c r="E20" s="347" t="s">
        <v>1418</v>
      </c>
      <c r="F20" s="367">
        <f>'数据-取费表'!B37</f>
        <v>0.02</v>
      </c>
      <c r="G20" s="1854"/>
      <c r="H20" s="1201" t="s">
        <v>1385</v>
      </c>
      <c r="I20" s="164" t="s">
        <v>1437</v>
      </c>
      <c r="J20" s="25">
        <f ca="1">ROUND(M20*M21/10000,2)</f>
        <v>3.36</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11201.7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1"/>
      <c r="F22" s="26"/>
      <c r="G22" s="1851"/>
      <c r="H22" s="1201" t="s">
        <v>1036</v>
      </c>
      <c r="I22" s="347" t="s">
        <v>1445</v>
      </c>
      <c r="J22" s="24">
        <f ca="1">ROUND(J14*M22,1)</f>
        <v>639.1</v>
      </c>
      <c r="K22" s="2960"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2026</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60"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1"/>
      <c r="F25" s="26"/>
      <c r="G25" s="1851"/>
      <c r="H25" s="1329" t="s">
        <v>1028</v>
      </c>
      <c r="I25" s="1344" t="s">
        <v>1459</v>
      </c>
      <c r="J25" s="355">
        <f ca="1">J5-J16</f>
        <v>-1000</v>
      </c>
      <c r="K25" s="1345" t="s">
        <v>1460</v>
      </c>
      <c r="L25" s="1346"/>
      <c r="M25" s="1347"/>
    </row>
    <row r="26" spans="1:37">
      <c r="A26" s="1201" t="s">
        <v>1031</v>
      </c>
      <c r="B26" s="347" t="s">
        <v>1461</v>
      </c>
      <c r="C26" s="24">
        <f ca="1">ROUND((C19+C20)*F26,0)</f>
        <v>3393</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42604</v>
      </c>
      <c r="D29" s="1342"/>
      <c r="E29" s="1340"/>
      <c r="F29" s="1343"/>
      <c r="G29" s="1854"/>
      <c r="H29" s="380" t="s">
        <v>1030</v>
      </c>
      <c r="I29" s="381" t="s">
        <v>1475</v>
      </c>
      <c r="J29" s="382">
        <f ca="1">ROUND(J26/(1+F40)^F41,0)</f>
        <v>0</v>
      </c>
      <c r="K29" s="383" t="s">
        <v>1476</v>
      </c>
      <c r="L29" s="384"/>
      <c r="M29" s="385">
        <f ca="1">INDIRECT("'数据-取费表'!k"&amp;$G$1)</f>
        <v>84685.74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1081</v>
      </c>
      <c r="D30" s="1337" t="s">
        <v>1421</v>
      </c>
      <c r="E30" s="2961"/>
      <c r="F30" s="1294"/>
      <c r="G30" s="1851"/>
      <c r="H30" s="745"/>
      <c r="I30" s="746"/>
      <c r="J30" s="747"/>
      <c r="K30" s="748"/>
      <c r="L30" s="749"/>
      <c r="M30" s="750"/>
    </row>
    <row r="31" spans="1:37" ht="18" customHeight="1">
      <c r="A31" s="1201" t="s">
        <v>1032</v>
      </c>
      <c r="B31" s="347" t="s">
        <v>1425</v>
      </c>
      <c r="C31" s="24">
        <f ca="1">ROUND(IF(项目基本情况!B11="自然人",C5*F31,C32+C33+C34),1)</f>
        <v>366.8</v>
      </c>
      <c r="D31" s="2959" t="s">
        <v>1426</v>
      </c>
      <c r="E31" s="2960"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111.84</v>
      </c>
      <c r="D32" s="2960"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251.64</v>
      </c>
      <c r="D33" s="1828" t="s">
        <v>3095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3.36</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11201.7</v>
      </c>
      <c r="G35" s="1851"/>
      <c r="H35" s="745"/>
      <c r="I35" s="1860"/>
      <c r="J35" s="1861"/>
      <c r="K35" s="1862"/>
      <c r="L35" s="1859"/>
      <c r="M35" s="1859"/>
    </row>
    <row r="36" spans="1:18" ht="18" customHeight="1">
      <c r="A36" s="1352" t="s">
        <v>1036</v>
      </c>
      <c r="B36" s="347" t="s">
        <v>1445</v>
      </c>
      <c r="C36" s="24">
        <f ca="1">ROUND(C29*F36,1)</f>
        <v>639.1</v>
      </c>
      <c r="D36" s="2960"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54.3</v>
      </c>
      <c r="D37" s="2960"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21</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1016</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23567</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35.99</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2783</v>
      </c>
      <c r="D43" s="383" t="s">
        <v>1484</v>
      </c>
      <c r="E43" s="384" t="s">
        <v>1485</v>
      </c>
      <c r="F43" s="385">
        <f ca="1">INDIRECT("'数据-取费表'!k"&amp;$G$1)</f>
        <v>84685.74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-94314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3096</v>
      </c>
      <c r="K47" s="1882" t="s">
        <v>1523</v>
      </c>
      <c r="L47" s="1883">
        <f ca="1">INDIRECT("'数据-取费表'!d"&amp;$G$1)</f>
        <v>50</v>
      </c>
      <c r="M47" s="1838" t="str">
        <f>IF(ISNUMBER(FIND("住宅",C1)),"住宅","非住宅")</f>
        <v>非住宅</v>
      </c>
      <c r="O47" s="1884" t="s">
        <v>1037</v>
      </c>
      <c r="P47" s="1885" t="s">
        <v>1524</v>
      </c>
      <c r="Q47" s="1886">
        <f ca="1">C40+J29</f>
        <v>23567</v>
      </c>
      <c r="R47" s="1886" t="s">
        <v>1525</v>
      </c>
    </row>
    <row r="48" spans="1:18" s="1842" customFormat="1" ht="28.5" thickBot="1">
      <c r="A48" s="1360" t="s">
        <v>1132</v>
      </c>
      <c r="B48" s="345" t="s">
        <v>1397</v>
      </c>
      <c r="C48" s="2950">
        <f ca="1">C49+C53+C55</f>
        <v>0</v>
      </c>
      <c r="D48" s="1362"/>
      <c r="E48" s="1363"/>
      <c r="F48" s="1181"/>
      <c r="G48" s="792"/>
      <c r="H48" s="793"/>
      <c r="I48" s="1887" t="s">
        <v>1526</v>
      </c>
      <c r="J48" s="1888" t="s">
        <v>3097</v>
      </c>
      <c r="K48" s="1889" t="s">
        <v>1527</v>
      </c>
      <c r="L48" s="1890">
        <f ca="1">INDIRECT("'数据-取费表'!f"&amp;$G$1)</f>
        <v>35.99</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3027</v>
      </c>
      <c r="E49" s="1830" t="s">
        <v>1487</v>
      </c>
      <c r="F49" s="1281"/>
      <c r="G49" s="1891"/>
      <c r="H49" s="793"/>
      <c r="I49" s="1887" t="s">
        <v>1530</v>
      </c>
      <c r="J49" s="1892">
        <v>2010</v>
      </c>
      <c r="K49" s="1889" t="s">
        <v>1531</v>
      </c>
      <c r="L49" s="1893"/>
      <c r="O49" s="1894" t="s">
        <v>1039</v>
      </c>
      <c r="P49" s="1885" t="s">
        <v>1532</v>
      </c>
      <c r="Q49" s="1886">
        <f ca="1">C29</f>
        <v>42604</v>
      </c>
      <c r="R49" s="1886" t="s">
        <v>1525</v>
      </c>
    </row>
    <row r="50" spans="1:18" s="1842" customFormat="1" ht="13.5" thickBot="1">
      <c r="A50" s="1195"/>
      <c r="B50" s="1198"/>
      <c r="C50" s="1368"/>
      <c r="D50" s="1172"/>
      <c r="E50" s="1277" t="s">
        <v>1402</v>
      </c>
      <c r="F50" s="1278">
        <f ca="1">F7</f>
        <v>1942</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51</v>
      </c>
      <c r="K51" s="1900" t="s">
        <v>1537</v>
      </c>
      <c r="L51" s="1901">
        <f ca="1">ROUND(-PV(INDIRECT("'数据-取费表'!h"&amp;$G$1),L48,(C39-C13*C76),0),0)</f>
        <v>-36425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35.99</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35.99</v>
      </c>
      <c r="K53" s="3243" t="s">
        <v>1544</v>
      </c>
      <c r="L53" s="3244"/>
      <c r="O53" s="1884" t="s">
        <v>1043</v>
      </c>
      <c r="P53" s="1885" t="s">
        <v>1545</v>
      </c>
      <c r="Q53" s="1886">
        <f ca="1">Q47+Q48</f>
        <v>23567</v>
      </c>
      <c r="R53" s="1886" t="s">
        <v>1044</v>
      </c>
    </row>
    <row r="54" spans="1:18" s="1842" customFormat="1" ht="13.5" thickBot="1">
      <c r="A54" s="1406"/>
      <c r="B54" s="1825" t="s">
        <v>1384</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4"/>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36213</v>
      </c>
      <c r="D56" s="1914"/>
      <c r="E56" s="1915"/>
      <c r="F56" s="1907"/>
      <c r="I56" s="1916" t="s">
        <v>1550</v>
      </c>
      <c r="J56" s="1917" t="s">
        <v>3070</v>
      </c>
      <c r="K56" s="1887" t="s">
        <v>1551</v>
      </c>
      <c r="L56" s="1890" t="str">
        <f ca="1">IF(L48&lt;J51,"——",L48-J53)</f>
        <v>——</v>
      </c>
      <c r="O56" s="1884" t="s">
        <v>1037</v>
      </c>
      <c r="P56" s="1885" t="s">
        <v>1524</v>
      </c>
      <c r="Q56" s="1886">
        <f ca="1">C40+J29</f>
        <v>23567</v>
      </c>
      <c r="R56" s="1886" t="s">
        <v>1525</v>
      </c>
    </row>
    <row r="57" spans="1:18" s="1842" customFormat="1" ht="24.75" thickBot="1">
      <c r="A57" s="1918"/>
      <c r="B57" s="1169" t="s">
        <v>1474</v>
      </c>
      <c r="C57" s="282">
        <f ca="1">C29</f>
        <v>42604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4276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3582.1</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3578.74</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3.36</v>
      </c>
      <c r="D62" s="1184" t="s">
        <v>1438</v>
      </c>
      <c r="E62" s="1169" t="s">
        <v>1439</v>
      </c>
      <c r="F62" s="371">
        <f t="shared" si="0"/>
        <v>3</v>
      </c>
      <c r="I62" s="1929" t="s">
        <v>1566</v>
      </c>
      <c r="J62" s="1930" t="s">
        <v>1567</v>
      </c>
      <c r="K62" s="1930" t="s">
        <v>1568</v>
      </c>
      <c r="L62" s="1930" t="s">
        <v>1569</v>
      </c>
      <c r="M62" s="1931" t="s">
        <v>1570</v>
      </c>
      <c r="O62" s="1884" t="s">
        <v>1043</v>
      </c>
      <c r="P62" s="1885" t="s">
        <v>1545</v>
      </c>
      <c r="Q62" s="1886">
        <f ca="1">Q56+Q57</f>
        <v>23567</v>
      </c>
      <c r="R62" s="1886" t="s">
        <v>1044</v>
      </c>
    </row>
    <row r="63" spans="1:18" s="1842" customFormat="1" ht="13.5" thickBot="1">
      <c r="A63" s="372"/>
      <c r="B63" s="1175"/>
      <c r="C63" s="29"/>
      <c r="D63" s="1185"/>
      <c r="E63" s="1169" t="s">
        <v>1443</v>
      </c>
      <c r="F63" s="348">
        <f t="shared" ca="1" si="0"/>
        <v>11201.7</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639.1</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54.3</v>
      </c>
      <c r="D65" s="1183" t="s">
        <v>1450</v>
      </c>
      <c r="E65" s="1169" t="s">
        <v>1418</v>
      </c>
      <c r="F65" s="376">
        <f t="shared" ca="1" si="0"/>
        <v>1.5E-3</v>
      </c>
      <c r="I65" s="1929" t="s">
        <v>1575</v>
      </c>
      <c r="J65" s="1930">
        <v>40</v>
      </c>
      <c r="K65" s="1930">
        <v>30</v>
      </c>
      <c r="L65" s="1930">
        <v>50</v>
      </c>
      <c r="M65" s="1932">
        <v>0.02</v>
      </c>
      <c r="O65" s="1884" t="s">
        <v>1037</v>
      </c>
      <c r="P65" s="1885" t="s">
        <v>1524</v>
      </c>
      <c r="Q65" s="1886">
        <f ca="1">C40+J29</f>
        <v>23567</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-4276</v>
      </c>
      <c r="D67" s="1182" t="s">
        <v>1460</v>
      </c>
      <c r="E67" s="1187"/>
      <c r="F67" s="1188"/>
      <c r="O67" s="1894" t="s">
        <v>1039</v>
      </c>
      <c r="P67" s="1885" t="s">
        <v>1558</v>
      </c>
      <c r="Q67" s="1933">
        <f ca="1">L51</f>
        <v>-36425</v>
      </c>
      <c r="R67" s="1886" t="s">
        <v>1578</v>
      </c>
    </row>
    <row r="68" spans="1:18" s="1842" customFormat="1" ht="16.5" thickBot="1">
      <c r="A68" s="1166" t="s">
        <v>1029</v>
      </c>
      <c r="B68" s="1167" t="s">
        <v>1481</v>
      </c>
      <c r="C68" s="346">
        <f ca="1">ROUND(C67*(1-((1+F70)/(1+F68))^F69)/(F68-F70),0)</f>
        <v>-70747</v>
      </c>
      <c r="D68" s="1184" t="s">
        <v>1465</v>
      </c>
      <c r="E68" s="1169" t="s">
        <v>1466</v>
      </c>
      <c r="F68" s="357">
        <f ca="1">F40</f>
        <v>0.05</v>
      </c>
      <c r="O68" s="1894" t="s">
        <v>1040</v>
      </c>
      <c r="P68" s="1934" t="s">
        <v>1579</v>
      </c>
      <c r="Q68" s="1886">
        <f ca="1">ROUND(Q69-Q70*Q71,0)</f>
        <v>-2062</v>
      </c>
      <c r="R68" s="1886" t="s">
        <v>1048</v>
      </c>
    </row>
    <row r="69" spans="1:18" s="1842" customFormat="1" ht="13.5" thickBot="1">
      <c r="A69" s="1170"/>
      <c r="B69" s="1171"/>
      <c r="C69" s="351"/>
      <c r="D69" s="1189" t="s">
        <v>1469</v>
      </c>
      <c r="E69" s="1169" t="s">
        <v>1470</v>
      </c>
      <c r="F69" s="379">
        <f ca="1">F41</f>
        <v>35.99</v>
      </c>
      <c r="O69" s="1894" t="s">
        <v>1045</v>
      </c>
      <c r="P69" s="1934" t="s">
        <v>1580</v>
      </c>
      <c r="Q69" s="1886">
        <f ca="1">C39</f>
        <v>1016</v>
      </c>
      <c r="R69" s="1886" t="s">
        <v>1525</v>
      </c>
    </row>
    <row r="70" spans="1:18" s="1842" customFormat="1" ht="13.5" thickBot="1">
      <c r="A70" s="1173"/>
      <c r="B70" s="1174"/>
      <c r="C70" s="355"/>
      <c r="D70" s="1185"/>
      <c r="E70" s="1169" t="s">
        <v>1473</v>
      </c>
      <c r="F70" s="1275"/>
      <c r="O70" s="1894" t="s">
        <v>1046</v>
      </c>
      <c r="P70" s="1934" t="s">
        <v>1581</v>
      </c>
      <c r="Q70" s="1886">
        <f ca="1">C13</f>
        <v>36213</v>
      </c>
      <c r="R70" s="1886" t="s">
        <v>1525</v>
      </c>
    </row>
    <row r="71" spans="1:18" s="1842" customFormat="1" ht="13.5" thickBot="1">
      <c r="A71" s="1190" t="s">
        <v>1030</v>
      </c>
      <c r="B71" s="1191" t="s">
        <v>1483</v>
      </c>
      <c r="C71" s="382">
        <f ca="1">ROUND(C68*10000/F71,0)</f>
        <v>-8354</v>
      </c>
      <c r="D71" s="1192" t="s">
        <v>1484</v>
      </c>
      <c r="E71" s="1193" t="s">
        <v>1485</v>
      </c>
      <c r="F71" s="385">
        <f ca="1">F43</f>
        <v>84685.74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3078</v>
      </c>
      <c r="D75" s="1842"/>
      <c r="E75" s="1842"/>
      <c r="F75" s="1842"/>
      <c r="K75" s="1868"/>
      <c r="L75" s="1842"/>
      <c r="O75" s="1884" t="s">
        <v>1043</v>
      </c>
      <c r="P75" s="1885" t="s">
        <v>1545</v>
      </c>
      <c r="Q75" s="1886">
        <f ca="1">Q65+Q66</f>
        <v>23567</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-2.0299999999999998</v>
      </c>
    </row>
    <row r="80" spans="1:18">
      <c r="B80" s="386" t="s">
        <v>1507</v>
      </c>
      <c r="C80" s="318">
        <f ca="1">ROUND(C75/C39,3)</f>
        <v>3.03</v>
      </c>
    </row>
    <row r="81" spans="2:3">
      <c r="B81" s="314" t="s">
        <v>1508</v>
      </c>
      <c r="C81" s="282"/>
    </row>
    <row r="82" spans="2:3">
      <c r="B82" s="317" t="s">
        <v>1509</v>
      </c>
      <c r="C82" s="319">
        <f ca="1">1-C83</f>
        <v>-0.53699999999999992</v>
      </c>
    </row>
    <row r="83" spans="2:3">
      <c r="B83" s="317" t="s">
        <v>1510</v>
      </c>
      <c r="C83" s="318">
        <f ca="1">ROUND(C13/C40,3)</f>
        <v>1.5369999999999999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3112</v>
      </c>
      <c r="D1" s="1820" t="s">
        <v>70</v>
      </c>
      <c r="E1" s="1821" t="s">
        <v>1383</v>
      </c>
      <c r="F1" s="1283">
        <f ca="1">J53</f>
        <v>35.99</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29250</v>
      </c>
      <c r="C2" s="1845" t="s">
        <v>1512</v>
      </c>
      <c r="D2" s="1845"/>
      <c r="E2" s="1846"/>
      <c r="F2" s="1847"/>
      <c r="G2" s="1848"/>
      <c r="H2" s="1840"/>
      <c r="I2" s="1840"/>
      <c r="J2" s="1840"/>
      <c r="K2" s="1841"/>
      <c r="L2" s="1840"/>
      <c r="M2" s="1840"/>
    </row>
    <row r="3" spans="1:37" ht="18" customHeight="1" thickBot="1">
      <c r="A3" s="1849" t="s">
        <v>1513</v>
      </c>
      <c r="B3" s="1850">
        <f ca="1">IF(ISERROR(B2*10000/F43),0,ROUND(B2*10000/F43,0))</f>
        <v>10547</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1824</v>
      </c>
      <c r="D5" s="1822" t="s">
        <v>1398</v>
      </c>
      <c r="E5" s="1293"/>
      <c r="F5" s="1294"/>
      <c r="G5" s="1851"/>
      <c r="H5" s="344">
        <v>1</v>
      </c>
      <c r="I5" s="345" t="s">
        <v>1397</v>
      </c>
      <c r="J5" s="1292">
        <f ca="1">J6+J10+J12</f>
        <v>0</v>
      </c>
      <c r="K5" s="1822" t="s">
        <v>1398</v>
      </c>
      <c r="L5" s="1293"/>
      <c r="M5" s="1294"/>
    </row>
    <row r="6" spans="1:37" ht="18" customHeight="1">
      <c r="A6" s="1291" t="s">
        <v>1032</v>
      </c>
      <c r="B6" s="3245" t="s">
        <v>1399</v>
      </c>
      <c r="C6" s="1296">
        <f ca="1">ROUND(F6*F8*F7*(1-F9)/10000,0)</f>
        <v>1822</v>
      </c>
      <c r="D6" s="164" t="s">
        <v>3028</v>
      </c>
      <c r="E6" s="347" t="s">
        <v>1401</v>
      </c>
      <c r="F6" s="348">
        <f ca="1">INDIRECT("'数据-取费表'!u"&amp;$G$1)</f>
        <v>2</v>
      </c>
      <c r="G6" s="1851"/>
      <c r="H6" s="1291" t="s">
        <v>1032</v>
      </c>
      <c r="I6" s="3245" t="s">
        <v>1399</v>
      </c>
      <c r="J6" s="346">
        <f ca="1">ROUND(M6*M8*M7*(1-M9)/10000,0)</f>
        <v>0</v>
      </c>
      <c r="K6" s="164" t="s">
        <v>3027</v>
      </c>
      <c r="L6" s="347" t="s">
        <v>1401</v>
      </c>
      <c r="M6" s="348">
        <f ca="1">INDIRECT("'数据-取费表'!z"&amp;$G$1)</f>
        <v>0</v>
      </c>
    </row>
    <row r="7" spans="1:37" ht="18" customHeight="1">
      <c r="A7" s="1295"/>
      <c r="B7" s="3246"/>
      <c r="C7" s="1297"/>
      <c r="D7" s="352"/>
      <c r="E7" s="2953" t="s">
        <v>1402</v>
      </c>
      <c r="F7" s="348">
        <f ca="1">IF(INDIRECT("'数据-取费表'!ah"&amp;$G$1)="",INDIRECT("'数据-取费表'!k"&amp;$G$1),INDIRECT("'数据-取费表'!ah"&amp;$G$1))</f>
        <v>27732.94</v>
      </c>
      <c r="G7" s="1851"/>
      <c r="H7" s="349"/>
      <c r="I7" s="3246"/>
      <c r="J7" s="351"/>
      <c r="K7" s="352"/>
      <c r="L7" s="347" t="s">
        <v>1402</v>
      </c>
      <c r="M7" s="348">
        <f ca="1">F7</f>
        <v>27732.94</v>
      </c>
    </row>
    <row r="8" spans="1:37" ht="18" customHeight="1">
      <c r="A8" s="349"/>
      <c r="B8" s="3246"/>
      <c r="C8" s="351"/>
      <c r="D8" s="352"/>
      <c r="E8" s="347" t="s">
        <v>1403</v>
      </c>
      <c r="F8" s="348">
        <f ca="1">INDIRECT("'数据-取费表'!ai"&amp;$G$1)</f>
        <v>365</v>
      </c>
      <c r="G8" s="1851"/>
      <c r="H8" s="349"/>
      <c r="I8" s="3246"/>
      <c r="J8" s="351"/>
      <c r="K8" s="352"/>
      <c r="L8" s="347" t="s">
        <v>1403</v>
      </c>
      <c r="M8" s="348">
        <f ca="1">INDIRECT("'数据-取费表'!ai"&amp;$G$1)</f>
        <v>365</v>
      </c>
    </row>
    <row r="9" spans="1:37" ht="18" customHeight="1">
      <c r="A9" s="349"/>
      <c r="B9" s="3247"/>
      <c r="C9" s="351"/>
      <c r="D9" s="352"/>
      <c r="E9" s="347" t="s">
        <v>1404</v>
      </c>
      <c r="F9" s="357">
        <f ca="1">INDIRECT("'数据-取费表'!w"&amp;$G$1)</f>
        <v>0.1</v>
      </c>
      <c r="G9" s="1851"/>
      <c r="H9" s="349"/>
      <c r="I9" s="32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2</v>
      </c>
      <c r="D10" s="1824" t="s">
        <v>3036</v>
      </c>
      <c r="E10" s="358" t="s">
        <v>1406</v>
      </c>
      <c r="F10" s="1366" t="s">
        <v>3094</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11860</v>
      </c>
      <c r="D13" s="1331" t="s">
        <v>1411</v>
      </c>
      <c r="E13" s="1331" t="s">
        <v>1412</v>
      </c>
      <c r="F13" s="1332">
        <f ca="1">INDIRECT("'数据-取费表'!y"&amp;$G$1)</f>
        <v>0.85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9707</v>
      </c>
      <c r="D14" s="2959" t="s">
        <v>1414</v>
      </c>
      <c r="E14" s="2958"/>
      <c r="F14" s="364"/>
      <c r="G14" s="1851"/>
      <c r="H14" s="1201" t="s">
        <v>1032</v>
      </c>
      <c r="I14" s="347" t="s">
        <v>1415</v>
      </c>
      <c r="J14" s="24">
        <f ca="1">C29</f>
        <v>13953</v>
      </c>
      <c r="K14" s="2952"/>
      <c r="L14" s="979"/>
      <c r="M14" s="980"/>
    </row>
    <row r="15" spans="1:37" s="1858" customFormat="1" ht="18" customHeight="1" thickBot="1">
      <c r="A15" s="1201" t="s">
        <v>1033</v>
      </c>
      <c r="B15" s="347" t="s">
        <v>1416</v>
      </c>
      <c r="C15" s="24">
        <f ca="1">ROUND(C14*F15,0)</f>
        <v>485</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328</v>
      </c>
      <c r="K16" s="1337" t="s">
        <v>1421</v>
      </c>
      <c r="L16" s="2961"/>
      <c r="M16" s="1294"/>
    </row>
    <row r="17" spans="1:37" s="1858" customFormat="1" ht="18" customHeight="1">
      <c r="A17" s="1201" t="s">
        <v>1386</v>
      </c>
      <c r="B17" s="347" t="s">
        <v>1422</v>
      </c>
      <c r="C17" s="24">
        <f ca="1">ROUND(F17*(F43+INDIRECT("'数据-取费表'!S"&amp;$G$1))/10000,0)</f>
        <v>555</v>
      </c>
      <c r="D17" s="347" t="s">
        <v>1423</v>
      </c>
      <c r="E17" s="347" t="s">
        <v>1424</v>
      </c>
      <c r="F17" s="26">
        <f>'数据-取费表'!B35</f>
        <v>200</v>
      </c>
      <c r="G17" s="1854"/>
      <c r="H17" s="1201" t="s">
        <v>1032</v>
      </c>
      <c r="I17" s="347" t="s">
        <v>1425</v>
      </c>
      <c r="J17" s="24">
        <f ca="1">ROUND(IF(项目基本情况!B11="自然人",J5*M17,J18+J19+J20),1)</f>
        <v>118.3</v>
      </c>
      <c r="K17" s="2959" t="s">
        <v>1426</v>
      </c>
      <c r="L17" s="2960"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146</v>
      </c>
      <c r="D18" s="347" t="s">
        <v>1417</v>
      </c>
      <c r="E18" s="347" t="s">
        <v>1418</v>
      </c>
      <c r="F18" s="367">
        <f>'数据-取费表'!B36</f>
        <v>1.4999999999999999E-2</v>
      </c>
      <c r="G18" s="1854"/>
      <c r="H18" s="1201" t="s">
        <v>1031</v>
      </c>
      <c r="I18" s="347" t="s">
        <v>1429</v>
      </c>
      <c r="J18" s="24">
        <f ca="1">ROUND(J5*M18/(1+'数据-取费表'!C42),2)</f>
        <v>0</v>
      </c>
      <c r="K18" s="2960"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10893</v>
      </c>
      <c r="D19" s="140" t="s">
        <v>1432</v>
      </c>
      <c r="E19" s="2951"/>
      <c r="F19" s="26"/>
      <c r="G19" s="1851"/>
      <c r="H19" s="1201" t="s">
        <v>1033</v>
      </c>
      <c r="I19" s="347" t="s">
        <v>1433</v>
      </c>
      <c r="J19" s="24">
        <f ca="1">IF(K19="按租金收入计税",ROUND(J5*M19,2),ROUND(C29*M19*0.7,2))</f>
        <v>117.21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218</v>
      </c>
      <c r="D20" s="369" t="s">
        <v>1436</v>
      </c>
      <c r="E20" s="347" t="s">
        <v>1418</v>
      </c>
      <c r="F20" s="367">
        <f>'数据-取费表'!B37</f>
        <v>0.02</v>
      </c>
      <c r="G20" s="1854"/>
      <c r="H20" s="1201" t="s">
        <v>1385</v>
      </c>
      <c r="I20" s="164" t="s">
        <v>1437</v>
      </c>
      <c r="J20" s="25">
        <f ca="1">ROUND(M20*M21/10000,2)</f>
        <v>1.1000000000000001</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3668.34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1"/>
      <c r="F22" s="26"/>
      <c r="G22" s="1851"/>
      <c r="H22" s="1201" t="s">
        <v>1036</v>
      </c>
      <c r="I22" s="347" t="s">
        <v>1445</v>
      </c>
      <c r="J22" s="24">
        <f ca="1">ROUND(J14*M22,1)</f>
        <v>209.3</v>
      </c>
      <c r="K22" s="2960"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664</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60"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1"/>
      <c r="F25" s="26"/>
      <c r="G25" s="1851"/>
      <c r="H25" s="1329" t="s">
        <v>1028</v>
      </c>
      <c r="I25" s="1344" t="s">
        <v>1459</v>
      </c>
      <c r="J25" s="355">
        <f ca="1">J5-J16</f>
        <v>-328</v>
      </c>
      <c r="K25" s="1345" t="s">
        <v>1460</v>
      </c>
      <c r="L25" s="1346"/>
      <c r="M25" s="1347"/>
    </row>
    <row r="26" spans="1:37">
      <c r="A26" s="1201" t="s">
        <v>1031</v>
      </c>
      <c r="B26" s="347" t="s">
        <v>1461</v>
      </c>
      <c r="C26" s="24">
        <f ca="1">ROUND((C19+C20)*F26,0)</f>
        <v>1111</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13953</v>
      </c>
      <c r="D29" s="1342"/>
      <c r="E29" s="1340"/>
      <c r="F29" s="1343"/>
      <c r="G29" s="1854"/>
      <c r="H29" s="380" t="s">
        <v>1030</v>
      </c>
      <c r="I29" s="381" t="s">
        <v>1475</v>
      </c>
      <c r="J29" s="382">
        <f ca="1">ROUND(J26/(1+F40)^F41,0)</f>
        <v>0</v>
      </c>
      <c r="K29" s="383" t="s">
        <v>1476</v>
      </c>
      <c r="L29" s="384"/>
      <c r="M29" s="385">
        <f ca="1">INDIRECT("'数据-取费表'!k"&amp;$G$1)</f>
        <v>27732.94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563</v>
      </c>
      <c r="D30" s="1337" t="s">
        <v>1421</v>
      </c>
      <c r="E30" s="2961"/>
      <c r="F30" s="1294"/>
      <c r="G30" s="1851"/>
      <c r="H30" s="745"/>
      <c r="I30" s="746"/>
      <c r="J30" s="747"/>
      <c r="K30" s="748"/>
      <c r="L30" s="749"/>
      <c r="M30" s="750"/>
    </row>
    <row r="31" spans="1:37" ht="18" customHeight="1">
      <c r="A31" s="1201" t="s">
        <v>1032</v>
      </c>
      <c r="B31" s="347" t="s">
        <v>1425</v>
      </c>
      <c r="C31" s="24">
        <f ca="1">ROUND(IF(项目基本情况!B11="自然人",C5*F31,C32+C33+C34),1)</f>
        <v>317.3</v>
      </c>
      <c r="D31" s="2959" t="s">
        <v>1426</v>
      </c>
      <c r="E31" s="2960"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97.28</v>
      </c>
      <c r="D32" s="2960"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218.88</v>
      </c>
      <c r="D33" s="1828" t="s">
        <v>3095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1.1000000000000001</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3668.34</v>
      </c>
      <c r="G35" s="1851"/>
      <c r="H35" s="745"/>
      <c r="I35" s="1860"/>
      <c r="J35" s="1861"/>
      <c r="K35" s="1862"/>
      <c r="L35" s="1859"/>
      <c r="M35" s="1859"/>
    </row>
    <row r="36" spans="1:18" ht="18" customHeight="1">
      <c r="A36" s="1352" t="s">
        <v>1036</v>
      </c>
      <c r="B36" s="347" t="s">
        <v>1445</v>
      </c>
      <c r="C36" s="24">
        <f ca="1">ROUND(C29*F36,1)</f>
        <v>209.3</v>
      </c>
      <c r="D36" s="2960"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17.8</v>
      </c>
      <c r="D37" s="2960"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18.2</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1261</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29250</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35.99</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10547</v>
      </c>
      <c r="D43" s="383" t="s">
        <v>1484</v>
      </c>
      <c r="E43" s="384" t="s">
        <v>1485</v>
      </c>
      <c r="F43" s="385">
        <f ca="1">INDIRECT("'数据-取费表'!k"&amp;$G$1)</f>
        <v>27732.94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-52413</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3096</v>
      </c>
      <c r="K47" s="1882" t="s">
        <v>1523</v>
      </c>
      <c r="L47" s="1883">
        <f ca="1">INDIRECT("'数据-取费表'!d"&amp;$G$1)</f>
        <v>50</v>
      </c>
      <c r="M47" s="1838" t="str">
        <f>IF(ISNUMBER(FIND("住宅",C1)),"住宅","非住宅")</f>
        <v>非住宅</v>
      </c>
      <c r="O47" s="1884" t="s">
        <v>1037</v>
      </c>
      <c r="P47" s="1885" t="s">
        <v>1524</v>
      </c>
      <c r="Q47" s="1886">
        <f ca="1">C40+J29</f>
        <v>29250</v>
      </c>
      <c r="R47" s="1886" t="s">
        <v>1525</v>
      </c>
    </row>
    <row r="48" spans="1:18" s="1842" customFormat="1" ht="28.5" thickBot="1">
      <c r="A48" s="1360" t="s">
        <v>1132</v>
      </c>
      <c r="B48" s="345" t="s">
        <v>1397</v>
      </c>
      <c r="C48" s="2950">
        <f ca="1">C49+C53+C55</f>
        <v>0</v>
      </c>
      <c r="D48" s="1362"/>
      <c r="E48" s="1363"/>
      <c r="F48" s="1181"/>
      <c r="G48" s="792"/>
      <c r="H48" s="793"/>
      <c r="I48" s="1887" t="s">
        <v>1526</v>
      </c>
      <c r="J48" s="1888" t="s">
        <v>3097</v>
      </c>
      <c r="K48" s="1889" t="s">
        <v>1527</v>
      </c>
      <c r="L48" s="1890">
        <f ca="1">INDIRECT("'数据-取费表'!f"&amp;$G$1)</f>
        <v>35.99</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3027</v>
      </c>
      <c r="E49" s="1830" t="s">
        <v>1487</v>
      </c>
      <c r="F49" s="1281"/>
      <c r="G49" s="1891"/>
      <c r="H49" s="793"/>
      <c r="I49" s="1887" t="s">
        <v>1530</v>
      </c>
      <c r="J49" s="1892">
        <v>2010</v>
      </c>
      <c r="K49" s="1889" t="s">
        <v>1531</v>
      </c>
      <c r="L49" s="1893"/>
      <c r="O49" s="1894" t="s">
        <v>1039</v>
      </c>
      <c r="P49" s="1885" t="s">
        <v>1532</v>
      </c>
      <c r="Q49" s="1886">
        <f ca="1">C29</f>
        <v>13953</v>
      </c>
      <c r="R49" s="1886" t="s">
        <v>1525</v>
      </c>
    </row>
    <row r="50" spans="1:18" s="1842" customFormat="1" ht="13.5" thickBot="1">
      <c r="A50" s="1195"/>
      <c r="B50" s="1198"/>
      <c r="C50" s="1368"/>
      <c r="D50" s="1172"/>
      <c r="E50" s="1277" t="s">
        <v>1402</v>
      </c>
      <c r="F50" s="1278">
        <f ca="1">F7</f>
        <v>27732.94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51</v>
      </c>
      <c r="K51" s="1900" t="s">
        <v>1537</v>
      </c>
      <c r="L51" s="1901">
        <f ca="1">ROUND(-PV(INDIRECT("'数据-取费表'!h"&amp;$G$1),L48,(C39-C13*C76),0),0)</f>
        <v>4467</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35.99</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35.99</v>
      </c>
      <c r="K53" s="3243" t="s">
        <v>1544</v>
      </c>
      <c r="L53" s="3244"/>
      <c r="O53" s="1884" t="s">
        <v>1043</v>
      </c>
      <c r="P53" s="1885" t="s">
        <v>1545</v>
      </c>
      <c r="Q53" s="1886">
        <f ca="1">Q47+Q48</f>
        <v>29250</v>
      </c>
      <c r="R53" s="1886" t="s">
        <v>1044</v>
      </c>
    </row>
    <row r="54" spans="1:18" s="1842" customFormat="1" ht="13.5" thickBot="1">
      <c r="A54" s="1406"/>
      <c r="B54" s="1825" t="s">
        <v>1384</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4"/>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11860</v>
      </c>
      <c r="D56" s="1914"/>
      <c r="E56" s="1915"/>
      <c r="F56" s="1907"/>
      <c r="I56" s="1916" t="s">
        <v>1550</v>
      </c>
      <c r="J56" s="1917" t="s">
        <v>3070</v>
      </c>
      <c r="K56" s="1887" t="s">
        <v>1551</v>
      </c>
      <c r="L56" s="1890" t="str">
        <f ca="1">IF(L48&lt;J51,"——",L48-J53)</f>
        <v>——</v>
      </c>
      <c r="O56" s="1884" t="s">
        <v>1037</v>
      </c>
      <c r="P56" s="1885" t="s">
        <v>1524</v>
      </c>
      <c r="Q56" s="1886">
        <f ca="1">C40+J29</f>
        <v>29250</v>
      </c>
      <c r="R56" s="1886" t="s">
        <v>1525</v>
      </c>
    </row>
    <row r="57" spans="1:18" s="1842" customFormat="1" ht="24.75" thickBot="1">
      <c r="A57" s="1918"/>
      <c r="B57" s="1169" t="s">
        <v>1474</v>
      </c>
      <c r="C57" s="282">
        <f ca="1">C29</f>
        <v>13953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1400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1173.2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1172.05</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1.1000000000000001</v>
      </c>
      <c r="D62" s="1184" t="s">
        <v>1438</v>
      </c>
      <c r="E62" s="1169" t="s">
        <v>1439</v>
      </c>
      <c r="F62" s="371">
        <f t="shared" si="0"/>
        <v>3</v>
      </c>
      <c r="I62" s="1929" t="s">
        <v>1566</v>
      </c>
      <c r="J62" s="1930" t="s">
        <v>1567</v>
      </c>
      <c r="K62" s="1930" t="s">
        <v>1568</v>
      </c>
      <c r="L62" s="1930" t="s">
        <v>1569</v>
      </c>
      <c r="M62" s="1931" t="s">
        <v>1570</v>
      </c>
      <c r="O62" s="1884" t="s">
        <v>1043</v>
      </c>
      <c r="P62" s="1885" t="s">
        <v>1545</v>
      </c>
      <c r="Q62" s="1886">
        <f ca="1">Q56+Q57</f>
        <v>29250</v>
      </c>
      <c r="R62" s="1886" t="s">
        <v>1044</v>
      </c>
    </row>
    <row r="63" spans="1:18" s="1842" customFormat="1" ht="13.5" thickBot="1">
      <c r="A63" s="372"/>
      <c r="B63" s="1175"/>
      <c r="C63" s="29"/>
      <c r="D63" s="1185"/>
      <c r="E63" s="1169" t="s">
        <v>1443</v>
      </c>
      <c r="F63" s="348">
        <f t="shared" ca="1" si="0"/>
        <v>3668.34</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209.3</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17.8</v>
      </c>
      <c r="D65" s="1183" t="s">
        <v>1450</v>
      </c>
      <c r="E65" s="1169" t="s">
        <v>1418</v>
      </c>
      <c r="F65" s="376">
        <f t="shared" ca="1" si="0"/>
        <v>1.5E-3</v>
      </c>
      <c r="I65" s="1929" t="s">
        <v>1575</v>
      </c>
      <c r="J65" s="1930">
        <v>40</v>
      </c>
      <c r="K65" s="1930">
        <v>30</v>
      </c>
      <c r="L65" s="1930">
        <v>50</v>
      </c>
      <c r="M65" s="1932">
        <v>0.02</v>
      </c>
      <c r="O65" s="1884" t="s">
        <v>1037</v>
      </c>
      <c r="P65" s="1885" t="s">
        <v>1524</v>
      </c>
      <c r="Q65" s="1886">
        <f ca="1">C40+J29</f>
        <v>29250</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-1400</v>
      </c>
      <c r="D67" s="1182" t="s">
        <v>1460</v>
      </c>
      <c r="E67" s="1187"/>
      <c r="F67" s="1188"/>
      <c r="O67" s="1894" t="s">
        <v>1039</v>
      </c>
      <c r="P67" s="1885" t="s">
        <v>1558</v>
      </c>
      <c r="Q67" s="1933">
        <f ca="1">L51</f>
        <v>4467</v>
      </c>
      <c r="R67" s="1886" t="s">
        <v>1578</v>
      </c>
    </row>
    <row r="68" spans="1:18" s="1842" customFormat="1" ht="16.5" thickBot="1">
      <c r="A68" s="1166" t="s">
        <v>1029</v>
      </c>
      <c r="B68" s="1167" t="s">
        <v>1481</v>
      </c>
      <c r="C68" s="346">
        <f ca="1">ROUND(C67*(1-((1+F70)/(1+F68))^F69)/(F68-F70),0)</f>
        <v>-23163</v>
      </c>
      <c r="D68" s="1184" t="s">
        <v>1465</v>
      </c>
      <c r="E68" s="1169" t="s">
        <v>1466</v>
      </c>
      <c r="F68" s="357">
        <f ca="1">F40</f>
        <v>0.05</v>
      </c>
      <c r="O68" s="1894" t="s">
        <v>1040</v>
      </c>
      <c r="P68" s="1934" t="s">
        <v>1579</v>
      </c>
      <c r="Q68" s="1886">
        <f ca="1">ROUND(Q69-Q70*Q71,0)</f>
        <v>253</v>
      </c>
      <c r="R68" s="1886" t="s">
        <v>1048</v>
      </c>
    </row>
    <row r="69" spans="1:18" s="1842" customFormat="1" ht="13.5" thickBot="1">
      <c r="A69" s="1170"/>
      <c r="B69" s="1171"/>
      <c r="C69" s="351"/>
      <c r="D69" s="1189" t="s">
        <v>1469</v>
      </c>
      <c r="E69" s="1169" t="s">
        <v>1470</v>
      </c>
      <c r="F69" s="379">
        <f ca="1">F41</f>
        <v>35.99</v>
      </c>
      <c r="O69" s="1894" t="s">
        <v>1045</v>
      </c>
      <c r="P69" s="1934" t="s">
        <v>1580</v>
      </c>
      <c r="Q69" s="1886">
        <f ca="1">C39</f>
        <v>1261</v>
      </c>
      <c r="R69" s="1886" t="s">
        <v>1525</v>
      </c>
    </row>
    <row r="70" spans="1:18" s="1842" customFormat="1" ht="13.5" thickBot="1">
      <c r="A70" s="1173"/>
      <c r="B70" s="1174"/>
      <c r="C70" s="355"/>
      <c r="D70" s="1185"/>
      <c r="E70" s="1169" t="s">
        <v>1473</v>
      </c>
      <c r="F70" s="1275"/>
      <c r="O70" s="1894" t="s">
        <v>1046</v>
      </c>
      <c r="P70" s="1934" t="s">
        <v>1581</v>
      </c>
      <c r="Q70" s="1886">
        <f ca="1">C13</f>
        <v>11860</v>
      </c>
      <c r="R70" s="1886" t="s">
        <v>1525</v>
      </c>
    </row>
    <row r="71" spans="1:18" s="1842" customFormat="1" ht="13.5" thickBot="1">
      <c r="A71" s="1190" t="s">
        <v>1030</v>
      </c>
      <c r="B71" s="1191" t="s">
        <v>1483</v>
      </c>
      <c r="C71" s="382">
        <f ca="1">ROUND(C68*10000/F71,0)</f>
        <v>-8352</v>
      </c>
      <c r="D71" s="1192" t="s">
        <v>1484</v>
      </c>
      <c r="E71" s="1193" t="s">
        <v>1485</v>
      </c>
      <c r="F71" s="385">
        <f ca="1">F43</f>
        <v>27732.94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1008</v>
      </c>
      <c r="D75" s="1842"/>
      <c r="E75" s="1842"/>
      <c r="F75" s="1842"/>
      <c r="K75" s="1868"/>
      <c r="L75" s="1842"/>
      <c r="O75" s="1884" t="s">
        <v>1043</v>
      </c>
      <c r="P75" s="1885" t="s">
        <v>1545</v>
      </c>
      <c r="Q75" s="1886">
        <f ca="1">Q65+Q66</f>
        <v>29250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0.20099999999999996</v>
      </c>
    </row>
    <row r="80" spans="1:18">
      <c r="B80" s="386" t="s">
        <v>1507</v>
      </c>
      <c r="C80" s="318">
        <f ca="1">ROUND(C75/C39,3)</f>
        <v>0.79900000000000004</v>
      </c>
    </row>
    <row r="81" spans="2:3">
      <c r="B81" s="314" t="s">
        <v>1508</v>
      </c>
      <c r="C81" s="282"/>
    </row>
    <row r="82" spans="2:3">
      <c r="B82" s="317" t="s">
        <v>1509</v>
      </c>
      <c r="C82" s="319">
        <f ca="1">1-C83</f>
        <v>0.59499999999999997</v>
      </c>
    </row>
    <row r="83" spans="2:3">
      <c r="B83" s="317" t="s">
        <v>1510</v>
      </c>
      <c r="C83" s="318">
        <f ca="1">ROUND(C13/C40,3)</f>
        <v>0.40500000000000003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245" t="s">
        <v>1399</v>
      </c>
      <c r="C6" s="1296">
        <f ca="1">ROUND(F6*F8*F7*(1-F9),0)</f>
        <v>0</v>
      </c>
      <c r="D6" s="164" t="s">
        <v>3025</v>
      </c>
      <c r="E6" s="347" t="s">
        <v>1401</v>
      </c>
      <c r="F6" s="348">
        <f ca="1">INDIRECT("'数据-取费表'!u"&amp;$G$1)</f>
        <v>0</v>
      </c>
      <c r="G6" s="1851"/>
      <c r="H6" s="1291" t="s">
        <v>1032</v>
      </c>
      <c r="I6" s="3245" t="s">
        <v>1399</v>
      </c>
      <c r="J6" s="346">
        <f ca="1">ROUND(M6*M8*M7*(1-M9),0)</f>
        <v>0</v>
      </c>
      <c r="K6" s="1834" t="s">
        <v>3026</v>
      </c>
      <c r="L6" s="347" t="s">
        <v>1401</v>
      </c>
      <c r="M6" s="348">
        <f ca="1">INDIRECT("'数据-取费表'!z"&amp;$G$1)</f>
        <v>0</v>
      </c>
    </row>
    <row r="7" spans="1:37" ht="18" customHeight="1">
      <c r="A7" s="1295"/>
      <c r="B7" s="3246"/>
      <c r="C7" s="1297"/>
      <c r="D7" s="352"/>
      <c r="E7" s="1298" t="s">
        <v>1402</v>
      </c>
      <c r="F7" s="348">
        <f ca="1">IF(INDIRECT("'数据-取费表'!ah"&amp;$G$1)="",INDIRECT("'数据-取费表'!k"&amp;$G$1),INDIRECT("'数据-取费表'!ah"&amp;$G$1))</f>
        <v>0</v>
      </c>
      <c r="G7" s="1851"/>
      <c r="H7" s="349"/>
      <c r="I7" s="3246"/>
      <c r="J7" s="351"/>
      <c r="K7" s="352"/>
      <c r="L7" s="347" t="s">
        <v>1402</v>
      </c>
      <c r="M7" s="348">
        <f ca="1">F7</f>
        <v>0</v>
      </c>
    </row>
    <row r="8" spans="1:37" ht="18" customHeight="1">
      <c r="A8" s="349"/>
      <c r="B8" s="3246"/>
      <c r="C8" s="351"/>
      <c r="D8" s="352"/>
      <c r="E8" s="347" t="s">
        <v>1403</v>
      </c>
      <c r="F8" s="348">
        <f ca="1">INDIRECT("'数据-取费表'!ai"&amp;$G$1)</f>
        <v>0</v>
      </c>
      <c r="G8" s="1851"/>
      <c r="H8" s="349"/>
      <c r="I8" s="3246"/>
      <c r="J8" s="351"/>
      <c r="K8" s="352"/>
      <c r="L8" s="347" t="s">
        <v>1403</v>
      </c>
      <c r="M8" s="348">
        <f ca="1">INDIRECT("'数据-取费表'!ai"&amp;$G$1)</f>
        <v>0</v>
      </c>
    </row>
    <row r="9" spans="1:37" ht="18" customHeight="1">
      <c r="A9" s="349"/>
      <c r="B9" s="3247"/>
      <c r="C9" s="351"/>
      <c r="D9" s="352"/>
      <c r="E9" s="347" t="s">
        <v>1404</v>
      </c>
      <c r="F9" s="357">
        <f ca="1">INDIRECT("'数据-取费表'!w"&amp;$G$1)</f>
        <v>0</v>
      </c>
      <c r="G9" s="1851"/>
      <c r="H9" s="349"/>
      <c r="I9" s="32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c r="G10" s="1851"/>
      <c r="H10" s="1291" t="s">
        <v>1036</v>
      </c>
      <c r="I10" s="1823" t="s">
        <v>1405</v>
      </c>
      <c r="J10" s="346">
        <f ca="1">ROUND(IF(M10="押一",J6/12*M11,IF(M10="押二",J6/12*2*M11,IF(M10="押三",J6/12*3*M11,J11*M11))),0)</f>
        <v>0</v>
      </c>
      <c r="K10" s="1835" t="s">
        <v>3038</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3039</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43" t="s">
        <v>1544</v>
      </c>
      <c r="L53" s="324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H22" sqref="H22"/>
    </sheetView>
  </sheetViews>
  <sheetFormatPr defaultRowHeight="13.5"/>
  <cols>
    <col min="1" max="1" width="10.5" customWidth="1"/>
    <col min="2" max="2" width="12.875" customWidth="1"/>
    <col min="3" max="3" width="8.75" customWidth="1"/>
  </cols>
  <sheetData>
    <row r="1" spans="1:9" ht="14.25">
      <c r="A1" s="3264" t="s">
        <v>1073</v>
      </c>
      <c r="B1" s="3265"/>
      <c r="C1" s="3266"/>
      <c r="D1" s="3267">
        <f>SUM(I10,I15,I20,I21,I23)</f>
        <v>25585</v>
      </c>
      <c r="E1" s="3267"/>
      <c r="F1" s="3267"/>
      <c r="G1" s="3267"/>
      <c r="H1" s="3267"/>
      <c r="I1" s="3268"/>
    </row>
    <row r="2" spans="1:9">
      <c r="A2" s="3254" t="s">
        <v>1074</v>
      </c>
      <c r="B2" s="3255" t="s">
        <v>1075</v>
      </c>
      <c r="C2" s="3255"/>
      <c r="D2" s="1301" t="s">
        <v>1076</v>
      </c>
      <c r="E2" s="1301" t="s">
        <v>1077</v>
      </c>
      <c r="F2" s="1301" t="s">
        <v>1078</v>
      </c>
      <c r="G2" s="1301" t="s">
        <v>1079</v>
      </c>
      <c r="H2" s="1301" t="s">
        <v>1080</v>
      </c>
      <c r="I2" s="1302" t="s">
        <v>1081</v>
      </c>
    </row>
    <row r="3" spans="1:9">
      <c r="A3" s="3254"/>
      <c r="B3" s="3255" t="s">
        <v>1082</v>
      </c>
      <c r="C3" s="3255"/>
      <c r="D3" s="1303"/>
      <c r="E3" s="1301"/>
      <c r="F3" s="1304"/>
      <c r="G3" s="1304"/>
      <c r="H3" s="1305"/>
      <c r="I3" s="1306">
        <f>ROUND(D3*E3*F3*G3*H3/10000,0)</f>
        <v>0</v>
      </c>
    </row>
    <row r="4" spans="1:9">
      <c r="A4" s="3254"/>
      <c r="B4" s="3255" t="s">
        <v>1083</v>
      </c>
      <c r="C4" s="3255"/>
      <c r="D4" s="1303"/>
      <c r="E4" s="1301"/>
      <c r="F4" s="1304"/>
      <c r="G4" s="1304"/>
      <c r="H4" s="1305"/>
      <c r="I4" s="1306">
        <f t="shared" ref="I4:I9" si="0">ROUND(D4*E4*F4*G4*H4/10000,0)</f>
        <v>0</v>
      </c>
    </row>
    <row r="5" spans="1:9">
      <c r="A5" s="3254"/>
      <c r="B5" s="3255" t="s">
        <v>1084</v>
      </c>
      <c r="C5" s="3255"/>
      <c r="D5" s="1303"/>
      <c r="E5" s="1301"/>
      <c r="F5" s="1304"/>
      <c r="G5" s="1304"/>
      <c r="H5" s="1305"/>
      <c r="I5" s="1306">
        <f t="shared" si="0"/>
        <v>0</v>
      </c>
    </row>
    <row r="6" spans="1:9">
      <c r="A6" s="3254"/>
      <c r="B6" s="3255" t="s">
        <v>1085</v>
      </c>
      <c r="C6" s="3255"/>
      <c r="D6" s="1303">
        <v>882</v>
      </c>
      <c r="E6" s="1301">
        <v>850</v>
      </c>
      <c r="F6" s="1304">
        <v>1</v>
      </c>
      <c r="G6" s="1304">
        <v>0.85</v>
      </c>
      <c r="H6" s="1305">
        <v>365</v>
      </c>
      <c r="I6" s="1306">
        <f t="shared" si="0"/>
        <v>23259</v>
      </c>
    </row>
    <row r="7" spans="1:9">
      <c r="A7" s="3254"/>
      <c r="B7" s="3255" t="s">
        <v>1086</v>
      </c>
      <c r="C7" s="3255"/>
      <c r="D7" s="1303"/>
      <c r="E7" s="1301"/>
      <c r="F7" s="1304"/>
      <c r="G7" s="1304"/>
      <c r="H7" s="1305"/>
      <c r="I7" s="1306">
        <f t="shared" si="0"/>
        <v>0</v>
      </c>
    </row>
    <row r="8" spans="1:9">
      <c r="A8" s="3254"/>
      <c r="B8" s="3255" t="s">
        <v>1087</v>
      </c>
      <c r="C8" s="3255"/>
      <c r="D8" s="1303"/>
      <c r="E8" s="1301"/>
      <c r="F8" s="1304"/>
      <c r="G8" s="1304"/>
      <c r="H8" s="1305"/>
      <c r="I8" s="1306">
        <f t="shared" si="0"/>
        <v>0</v>
      </c>
    </row>
    <row r="9" spans="1:9">
      <c r="A9" s="3254"/>
      <c r="B9" s="3255" t="s">
        <v>1088</v>
      </c>
      <c r="C9" s="3255"/>
      <c r="D9" s="1303"/>
      <c r="E9" s="1301"/>
      <c r="F9" s="1304"/>
      <c r="G9" s="1304"/>
      <c r="H9" s="1305"/>
      <c r="I9" s="1306">
        <f t="shared" si="0"/>
        <v>0</v>
      </c>
    </row>
    <row r="10" spans="1:9">
      <c r="A10" s="3254"/>
      <c r="B10" s="3256" t="s">
        <v>1089</v>
      </c>
      <c r="C10" s="3256"/>
      <c r="D10" s="1307"/>
      <c r="E10" s="1307" t="e">
        <f>ROUND(D1*10000/D10/H9,0)</f>
        <v>#DIV/0!</v>
      </c>
      <c r="F10" s="1308"/>
      <c r="G10" s="1308"/>
      <c r="H10" s="1309"/>
      <c r="I10" s="1310">
        <f>SUM(I3:I9)</f>
        <v>23259</v>
      </c>
    </row>
    <row r="11" spans="1:9" ht="14.25">
      <c r="A11" s="3254" t="s">
        <v>1090</v>
      </c>
      <c r="B11" s="3255" t="s">
        <v>1091</v>
      </c>
      <c r="C11" s="3255"/>
      <c r="D11" s="1303" t="s">
        <v>1092</v>
      </c>
      <c r="E11" s="1303" t="s">
        <v>1093</v>
      </c>
      <c r="F11" s="1304" t="s">
        <v>1094</v>
      </c>
      <c r="G11" s="1304" t="s">
        <v>1080</v>
      </c>
      <c r="H11" s="1311" t="s">
        <v>1095</v>
      </c>
      <c r="I11" s="1302" t="s">
        <v>1081</v>
      </c>
    </row>
    <row r="12" spans="1:9">
      <c r="A12" s="3254"/>
      <c r="B12" s="3255" t="s">
        <v>1096</v>
      </c>
      <c r="C12" s="3255"/>
      <c r="D12" s="1303"/>
      <c r="E12" s="1303"/>
      <c r="F12" s="1304"/>
      <c r="G12" s="1305"/>
      <c r="H12" s="1312"/>
      <c r="I12" s="1302">
        <f>ROUND(D12*E12*F12*G12/10000,0)</f>
        <v>0</v>
      </c>
    </row>
    <row r="13" spans="1:9">
      <c r="A13" s="3254"/>
      <c r="B13" s="3255" t="s">
        <v>1097</v>
      </c>
      <c r="C13" s="3255"/>
      <c r="D13" s="1303"/>
      <c r="E13" s="1303"/>
      <c r="F13" s="1304"/>
      <c r="G13" s="1305"/>
      <c r="H13" s="1312"/>
      <c r="I13" s="1302">
        <f>ROUND(D13*E13*F13*G13/10000,0)</f>
        <v>0</v>
      </c>
    </row>
    <row r="14" spans="1:9">
      <c r="A14" s="3254"/>
      <c r="B14" s="3255" t="s">
        <v>1098</v>
      </c>
      <c r="C14" s="3255"/>
      <c r="D14" s="1303"/>
      <c r="E14" s="1303"/>
      <c r="F14" s="1304"/>
      <c r="G14" s="1305"/>
      <c r="H14" s="1312"/>
      <c r="I14" s="1302">
        <f>ROUND(D14*E14*F14*G14/10000,0)</f>
        <v>0</v>
      </c>
    </row>
    <row r="15" spans="1:9">
      <c r="A15" s="3254"/>
      <c r="B15" s="3256" t="s">
        <v>1089</v>
      </c>
      <c r="C15" s="3256"/>
      <c r="D15" s="1307"/>
      <c r="E15" s="1307">
        <f>SUM(E12:E14)</f>
        <v>0</v>
      </c>
      <c r="F15" s="1308"/>
      <c r="G15" s="1305"/>
      <c r="H15" s="1312"/>
      <c r="I15" s="1313">
        <f>SUM(I12:I14)</f>
        <v>0</v>
      </c>
    </row>
    <row r="16" spans="1:9" ht="24">
      <c r="A16" s="3254" t="s">
        <v>1099</v>
      </c>
      <c r="B16" s="3255" t="s">
        <v>1100</v>
      </c>
      <c r="C16" s="3255"/>
      <c r="D16" s="1303" t="s">
        <v>1076</v>
      </c>
      <c r="E16" s="1314" t="s">
        <v>1101</v>
      </c>
      <c r="F16" s="1304" t="s">
        <v>1102</v>
      </c>
      <c r="G16" s="1305" t="s">
        <v>1080</v>
      </c>
      <c r="H16" s="1311" t="s">
        <v>1095</v>
      </c>
      <c r="I16" s="1302" t="s">
        <v>1081</v>
      </c>
    </row>
    <row r="17" spans="1:9" ht="14.25">
      <c r="A17" s="3254"/>
      <c r="B17" s="3255" t="s">
        <v>1103</v>
      </c>
      <c r="C17" s="3255"/>
      <c r="D17" s="1303"/>
      <c r="E17" s="1303"/>
      <c r="F17" s="1304"/>
      <c r="G17" s="1305"/>
      <c r="H17" s="1315"/>
      <c r="I17" s="1316">
        <f>ROUND(D17*E17*F17*G17/10000,0)</f>
        <v>0</v>
      </c>
    </row>
    <row r="18" spans="1:9" ht="14.25">
      <c r="A18" s="3254"/>
      <c r="B18" s="3255" t="s">
        <v>1104</v>
      </c>
      <c r="C18" s="3255"/>
      <c r="D18" s="1303"/>
      <c r="E18" s="1303"/>
      <c r="F18" s="1304"/>
      <c r="G18" s="1305"/>
      <c r="H18" s="1315"/>
      <c r="I18" s="1316">
        <f>ROUND(D18*E18*F18*G18/10000,0)</f>
        <v>0</v>
      </c>
    </row>
    <row r="19" spans="1:9" ht="14.25">
      <c r="A19" s="3254"/>
      <c r="B19" s="3255" t="s">
        <v>1105</v>
      </c>
      <c r="C19" s="3255"/>
      <c r="D19" s="1303"/>
      <c r="E19" s="1303"/>
      <c r="F19" s="1304"/>
      <c r="G19" s="1305"/>
      <c r="H19" s="1315"/>
      <c r="I19" s="1316">
        <f>ROUND(D19*E19*F19*G19/10000,0)</f>
        <v>0</v>
      </c>
    </row>
    <row r="20" spans="1:9">
      <c r="A20" s="3254"/>
      <c r="B20" s="3256" t="s">
        <v>1089</v>
      </c>
      <c r="C20" s="3256"/>
      <c r="D20" s="1307">
        <f>SUM(D17:D19)</f>
        <v>0</v>
      </c>
      <c r="E20" s="1307"/>
      <c r="F20" s="1308"/>
      <c r="G20" s="1305"/>
      <c r="H20" s="1312"/>
      <c r="I20" s="1313">
        <f>SUM(I17:I19)</f>
        <v>0</v>
      </c>
    </row>
    <row r="21" spans="1:9">
      <c r="A21" s="3254" t="s">
        <v>1106</v>
      </c>
      <c r="B21" s="3257"/>
      <c r="C21" s="3257"/>
      <c r="D21" s="3257"/>
      <c r="E21" s="3257"/>
      <c r="F21" s="3257"/>
      <c r="G21" s="3257"/>
      <c r="H21" s="1765">
        <v>0.1</v>
      </c>
      <c r="I21" s="1310">
        <f>ROUND(I10*H21,0)</f>
        <v>2326</v>
      </c>
    </row>
    <row r="22" spans="1:9" ht="14.25">
      <c r="A22" s="3258" t="s">
        <v>1107</v>
      </c>
      <c r="B22" s="3259"/>
      <c r="C22" s="3260"/>
      <c r="D22" s="1317" t="s">
        <v>1108</v>
      </c>
      <c r="E22" s="1317" t="s">
        <v>1109</v>
      </c>
      <c r="F22" s="1318" t="s">
        <v>1110</v>
      </c>
      <c r="G22" s="1318" t="s">
        <v>1111</v>
      </c>
      <c r="H22" s="1311" t="s">
        <v>1112</v>
      </c>
      <c r="I22" s="1302" t="s">
        <v>1113</v>
      </c>
    </row>
    <row r="23" spans="1:9" ht="14.25" thickBot="1">
      <c r="A23" s="3261"/>
      <c r="B23" s="3262"/>
      <c r="C23" s="3263"/>
      <c r="D23" s="1319"/>
      <c r="E23" s="1319"/>
      <c r="F23" s="1319"/>
      <c r="G23" s="1320"/>
      <c r="H23" s="1321"/>
      <c r="I23" s="1322">
        <f>ROUND(E23*D23*F23*(1-G23)/10000,0)</f>
        <v>0</v>
      </c>
    </row>
    <row r="26" spans="1:9">
      <c r="A26" s="1323" t="s">
        <v>1114</v>
      </c>
      <c r="B26" s="1323"/>
      <c r="C26" s="1323"/>
      <c r="D26" s="1323"/>
      <c r="E26" s="3251">
        <f>C27-C30-C31-C32</f>
        <v>15351</v>
      </c>
      <c r="F26" s="3251"/>
      <c r="G26" s="3251"/>
      <c r="H26" s="1737" t="s">
        <v>1336</v>
      </c>
    </row>
    <row r="27" spans="1:9">
      <c r="A27" s="1324">
        <v>1</v>
      </c>
      <c r="B27" s="1325" t="s">
        <v>1115</v>
      </c>
      <c r="C27" s="1325">
        <f>C28+C29</f>
        <v>25585</v>
      </c>
      <c r="D27" s="1325"/>
      <c r="E27" s="3252"/>
      <c r="F27" s="3252"/>
      <c r="G27" s="3252"/>
    </row>
    <row r="28" spans="1:9">
      <c r="A28" s="1326" t="s">
        <v>1116</v>
      </c>
      <c r="B28" s="1325" t="s">
        <v>1117</v>
      </c>
      <c r="C28" s="1325">
        <f>I10</f>
        <v>23259</v>
      </c>
      <c r="D28" s="1325"/>
      <c r="E28" s="3252"/>
      <c r="F28" s="3252"/>
      <c r="G28" s="3252"/>
    </row>
    <row r="29" spans="1:9">
      <c r="A29" s="1326" t="s">
        <v>1118</v>
      </c>
      <c r="B29" s="1325" t="s">
        <v>1119</v>
      </c>
      <c r="C29" s="1325">
        <f>I21</f>
        <v>2326</v>
      </c>
      <c r="D29" s="1325"/>
      <c r="E29" s="1325" t="s">
        <v>1120</v>
      </c>
      <c r="F29" s="1325"/>
      <c r="G29" s="1325"/>
    </row>
    <row r="30" spans="1:9">
      <c r="A30" s="1324">
        <v>2</v>
      </c>
      <c r="B30" s="1325" t="s">
        <v>1121</v>
      </c>
      <c r="C30" s="1325">
        <f>C27*D30</f>
        <v>3837.75</v>
      </c>
      <c r="D30" s="1327">
        <v>0.15</v>
      </c>
      <c r="E30" s="1325" t="s">
        <v>1122</v>
      </c>
      <c r="F30" s="1325"/>
      <c r="G30" s="1325"/>
    </row>
    <row r="31" spans="1:9">
      <c r="A31" s="1324">
        <v>3</v>
      </c>
      <c r="B31" s="1325" t="s">
        <v>1123</v>
      </c>
      <c r="C31" s="1325">
        <f>C27*D31</f>
        <v>3837.75</v>
      </c>
      <c r="D31" s="1327">
        <v>0.15</v>
      </c>
      <c r="E31" s="1325" t="s">
        <v>1124</v>
      </c>
      <c r="F31" s="1325"/>
      <c r="G31" s="1325"/>
    </row>
    <row r="32" spans="1:9">
      <c r="A32" s="1324">
        <v>4</v>
      </c>
      <c r="B32" s="1325" t="s">
        <v>1125</v>
      </c>
      <c r="C32" s="1325">
        <f>C27*D32</f>
        <v>2558.5</v>
      </c>
      <c r="D32" s="1327">
        <v>0.1</v>
      </c>
      <c r="E32" s="3253"/>
      <c r="F32" s="3253"/>
      <c r="G32" s="3253"/>
    </row>
    <row r="33" spans="1:7" hidden="1">
      <c r="A33" s="3248" t="s">
        <v>1126</v>
      </c>
      <c r="B33" s="3249"/>
      <c r="C33" s="3249"/>
      <c r="D33" s="3250"/>
      <c r="E33" s="3251"/>
      <c r="F33" s="3251"/>
      <c r="G33" s="3251"/>
    </row>
    <row r="34" spans="1:7" hidden="1">
      <c r="A34" s="1328">
        <v>1</v>
      </c>
      <c r="B34" s="1325" t="s">
        <v>1127</v>
      </c>
      <c r="C34" s="1325"/>
      <c r="D34" s="1325"/>
      <c r="E34" s="3252"/>
      <c r="F34" s="3252"/>
      <c r="G34" s="3252"/>
    </row>
    <row r="35" spans="1:7" hidden="1">
      <c r="A35" s="1328">
        <v>2</v>
      </c>
      <c r="B35" s="1325" t="s">
        <v>1128</v>
      </c>
      <c r="C35" s="1325"/>
      <c r="D35" s="1325"/>
      <c r="E35" s="3252"/>
      <c r="F35" s="3252"/>
      <c r="G35" s="3252"/>
    </row>
    <row r="36" spans="1:7" hidden="1">
      <c r="A36" s="1328">
        <v>3</v>
      </c>
      <c r="B36" s="1325" t="s">
        <v>1129</v>
      </c>
      <c r="C36" s="1325"/>
      <c r="D36" s="1325"/>
      <c r="E36" s="3252"/>
      <c r="F36" s="3252"/>
      <c r="G36" s="3252"/>
    </row>
    <row r="37" spans="1:7" hidden="1">
      <c r="A37" s="1328">
        <v>4</v>
      </c>
      <c r="B37" s="1325" t="s">
        <v>1130</v>
      </c>
      <c r="C37" s="1325"/>
      <c r="D37" s="1325"/>
      <c r="E37" s="3252"/>
      <c r="F37" s="3252"/>
      <c r="G37" s="3252"/>
    </row>
    <row r="38" spans="1:7" hidden="1">
      <c r="A38" s="3248" t="s">
        <v>1131</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2532</v>
      </c>
      <c r="D3" s="399">
        <f>IF(D1="",'数据-汇总表'!E3,SUMIF('数据-汇总表'!$C19:$C33,D1,'数据-汇总表'!$E19:$E33))</f>
        <v>364906</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79" t="s">
        <v>2534</v>
      </c>
      <c r="D4" s="3192"/>
      <c r="E4" s="3193" t="s">
        <v>2535</v>
      </c>
      <c r="F4" s="3194"/>
      <c r="G4" s="3179" t="s">
        <v>2536</v>
      </c>
      <c r="H4" s="3192"/>
      <c r="I4" s="3179" t="s">
        <v>2537</v>
      </c>
      <c r="J4" s="3192"/>
      <c r="K4" s="2596" t="s">
        <v>2538</v>
      </c>
      <c r="L4" s="1130"/>
      <c r="M4" s="1131"/>
      <c r="N4" s="1131"/>
      <c r="O4" s="1131"/>
      <c r="P4" s="3195" t="s">
        <v>2539</v>
      </c>
      <c r="Q4" s="3196"/>
      <c r="R4" s="3201" t="s">
        <v>2535</v>
      </c>
      <c r="S4" s="3202"/>
      <c r="T4" s="3201" t="s">
        <v>2536</v>
      </c>
      <c r="U4" s="3202"/>
      <c r="V4" s="3188" t="s">
        <v>2537</v>
      </c>
      <c r="W4" s="3188"/>
      <c r="X4" s="1813"/>
      <c r="Y4" s="3201" t="s">
        <v>2539</v>
      </c>
      <c r="Z4" s="3202"/>
      <c r="AA4" s="3189" t="s">
        <v>2535</v>
      </c>
      <c r="AB4" s="3189" t="s">
        <v>2536</v>
      </c>
      <c r="AC4" s="3189" t="s">
        <v>2537</v>
      </c>
    </row>
    <row r="5" spans="1:29" ht="15">
      <c r="A5" s="404"/>
      <c r="B5" s="405"/>
      <c r="C5" s="3209" t="s">
        <v>2540</v>
      </c>
      <c r="D5" s="3210"/>
      <c r="E5" s="3217" t="s">
        <v>2541</v>
      </c>
      <c r="F5" s="3218"/>
      <c r="G5" s="3209" t="s">
        <v>2542</v>
      </c>
      <c r="H5" s="3210"/>
      <c r="I5" s="3209" t="s">
        <v>2543</v>
      </c>
      <c r="J5" s="3210"/>
      <c r="K5" s="2597"/>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14" t="s">
        <v>2544</v>
      </c>
      <c r="D6" s="3208"/>
      <c r="E6" s="3277" t="s">
        <v>2544</v>
      </c>
      <c r="F6" s="3216"/>
      <c r="G6" s="3214" t="s">
        <v>2544</v>
      </c>
      <c r="H6" s="3208"/>
      <c r="I6" s="3214" t="s">
        <v>2544</v>
      </c>
      <c r="J6" s="3208"/>
      <c r="K6" s="2597" t="s">
        <v>2545</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2546</v>
      </c>
      <c r="B7" s="409"/>
      <c r="C7" s="410">
        <f>'数据-取费表'!B2</f>
        <v>43622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1" t="s">
        <v>2547</v>
      </c>
      <c r="Q7" s="3213"/>
      <c r="R7" s="770" t="s">
        <v>23</v>
      </c>
      <c r="S7" s="771">
        <f t="shared" ref="S7:S15" si="0">F7</f>
        <v>0</v>
      </c>
      <c r="T7" s="770" t="s">
        <v>23</v>
      </c>
      <c r="U7" s="771">
        <f t="shared" ref="U7:U15" si="1">H7</f>
        <v>0</v>
      </c>
      <c r="V7" s="770" t="s">
        <v>23</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1" t="s">
        <v>2550</v>
      </c>
      <c r="Q8" s="3212"/>
      <c r="R8" s="770" t="s">
        <v>23</v>
      </c>
      <c r="S8" s="771">
        <f t="shared" si="0"/>
        <v>0</v>
      </c>
      <c r="T8" s="770" t="s">
        <v>23</v>
      </c>
      <c r="U8" s="771">
        <f t="shared" si="1"/>
        <v>0</v>
      </c>
      <c r="V8" s="770" t="s">
        <v>23</v>
      </c>
      <c r="W8" s="771">
        <f t="shared" si="2"/>
        <v>0</v>
      </c>
      <c r="X8" s="772"/>
      <c r="Y8" s="3211" t="s">
        <v>2550</v>
      </c>
      <c r="Z8" s="321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1" t="s">
        <v>2553</v>
      </c>
      <c r="Q9" s="1795"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2557</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5" t="s">
        <v>2558</v>
      </c>
      <c r="Q15" s="1810" t="str">
        <f t="shared" si="6"/>
        <v>居住社区成熟度</v>
      </c>
      <c r="R15" s="774" t="s">
        <v>21</v>
      </c>
      <c r="S15" s="775">
        <f t="shared" si="0"/>
        <v>100</v>
      </c>
      <c r="T15" s="774" t="s">
        <v>21</v>
      </c>
      <c r="U15" s="775">
        <f t="shared" si="1"/>
        <v>100</v>
      </c>
      <c r="V15" s="774" t="s">
        <v>21</v>
      </c>
      <c r="W15" s="775">
        <f t="shared" si="2"/>
        <v>100</v>
      </c>
      <c r="X15" s="1813"/>
      <c r="Y15" s="3184"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76"/>
      <c r="Q16" s="1810"/>
      <c r="R16" s="774"/>
      <c r="S16" s="775"/>
      <c r="T16" s="774"/>
      <c r="U16" s="775"/>
      <c r="V16" s="774"/>
      <c r="W16" s="775"/>
      <c r="X16" s="1813"/>
      <c r="Y16" s="3185"/>
      <c r="Z16" s="1814"/>
      <c r="AA16" s="1811">
        <v>1</v>
      </c>
      <c r="AB16" s="1811">
        <v>1</v>
      </c>
      <c r="AC16" s="1811">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6"/>
      <c r="Q17" s="1810" t="str">
        <f>B17</f>
        <v>交通便捷度</v>
      </c>
      <c r="R17" s="774" t="s">
        <v>21</v>
      </c>
      <c r="S17" s="775">
        <f>F17</f>
        <v>100</v>
      </c>
      <c r="T17" s="774" t="s">
        <v>21</v>
      </c>
      <c r="U17" s="775">
        <f>H17</f>
        <v>100</v>
      </c>
      <c r="V17" s="774" t="s">
        <v>21</v>
      </c>
      <c r="W17" s="775">
        <f>J17</f>
        <v>100</v>
      </c>
      <c r="X17" s="1813"/>
      <c r="Y17" s="3185"/>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76"/>
      <c r="Q18" s="1810"/>
      <c r="R18" s="774"/>
      <c r="S18" s="775"/>
      <c r="T18" s="774"/>
      <c r="U18" s="775"/>
      <c r="V18" s="774"/>
      <c r="W18" s="775"/>
      <c r="X18" s="1813"/>
      <c r="Y18" s="3185"/>
      <c r="Z18" s="1814"/>
      <c r="AA18" s="1811">
        <v>1</v>
      </c>
      <c r="AB18" s="1811">
        <v>1</v>
      </c>
      <c r="AC18" s="1811">
        <v>1</v>
      </c>
    </row>
    <row r="19" spans="1:29" ht="42.75">
      <c r="A19" s="428"/>
      <c r="B19" s="451" t="s">
        <v>2095</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6"/>
      <c r="Q19" s="1810" t="str">
        <f>B19</f>
        <v>公共配套设施</v>
      </c>
      <c r="R19" s="774" t="s">
        <v>21</v>
      </c>
      <c r="S19" s="775">
        <f>F19</f>
        <v>100</v>
      </c>
      <c r="T19" s="774" t="s">
        <v>21</v>
      </c>
      <c r="U19" s="775">
        <f>H19</f>
        <v>100</v>
      </c>
      <c r="V19" s="774" t="s">
        <v>21</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76"/>
      <c r="Q20" s="1810"/>
      <c r="R20" s="774"/>
      <c r="S20" s="775"/>
      <c r="T20" s="774"/>
      <c r="U20" s="775"/>
      <c r="V20" s="774"/>
      <c r="W20" s="775"/>
      <c r="X20" s="1813"/>
      <c r="Y20" s="3185"/>
      <c r="Z20" s="1814"/>
      <c r="AA20" s="1811">
        <v>1</v>
      </c>
      <c r="AB20" s="1811">
        <v>1</v>
      </c>
      <c r="AC20" s="1811">
        <v>1</v>
      </c>
    </row>
    <row r="21" spans="1:29" ht="28.5">
      <c r="A21" s="428"/>
      <c r="B21" s="1384" t="s">
        <v>2098</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6"/>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76"/>
      <c r="Q22" s="1810"/>
      <c r="R22" s="774"/>
      <c r="S22" s="775"/>
      <c r="T22" s="774"/>
      <c r="U22" s="775"/>
      <c r="V22" s="774"/>
      <c r="W22" s="775"/>
      <c r="X22" s="1813"/>
      <c r="Y22" s="3185"/>
      <c r="Z22" s="1814"/>
      <c r="AA22" s="1811">
        <v>1</v>
      </c>
      <c r="AB22" s="1811">
        <v>1</v>
      </c>
      <c r="AC22" s="1811">
        <v>1</v>
      </c>
    </row>
    <row r="23" spans="1:29" ht="57">
      <c r="A23" s="428"/>
      <c r="B23" s="451" t="s">
        <v>2102</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6"/>
      <c r="Q23" s="1810" t="str">
        <f>B23</f>
        <v>自然及人文环境</v>
      </c>
      <c r="R23" s="774" t="s">
        <v>21</v>
      </c>
      <c r="S23" s="775">
        <f>F23</f>
        <v>100</v>
      </c>
      <c r="T23" s="774" t="s">
        <v>21</v>
      </c>
      <c r="U23" s="775">
        <f>H23</f>
        <v>100</v>
      </c>
      <c r="V23" s="774" t="s">
        <v>21</v>
      </c>
      <c r="W23" s="775">
        <f>J23</f>
        <v>100</v>
      </c>
      <c r="X23" s="1813"/>
      <c r="Y23" s="3185"/>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76"/>
      <c r="Q24" s="1810"/>
      <c r="R24" s="774"/>
      <c r="S24" s="775"/>
      <c r="T24" s="774"/>
      <c r="U24" s="775"/>
      <c r="V24" s="774"/>
      <c r="W24" s="775"/>
      <c r="X24" s="1813"/>
      <c r="Y24" s="3185"/>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7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5"/>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76"/>
      <c r="Q26" s="1810" t="str">
        <f t="shared" si="11"/>
        <v>朝向</v>
      </c>
      <c r="R26" s="774" t="s">
        <v>21</v>
      </c>
      <c r="S26" s="775">
        <f t="shared" si="12"/>
        <v>100</v>
      </c>
      <c r="T26" s="774" t="s">
        <v>21</v>
      </c>
      <c r="U26" s="775">
        <f t="shared" si="13"/>
        <v>100</v>
      </c>
      <c r="V26" s="774" t="s">
        <v>21</v>
      </c>
      <c r="W26" s="775">
        <f t="shared" si="14"/>
        <v>100</v>
      </c>
      <c r="X26" s="1813"/>
      <c r="Y26" s="318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76"/>
      <c r="Q27" s="1795">
        <f t="shared" si="11"/>
        <v>111</v>
      </c>
      <c r="R27" s="770" t="s">
        <v>21</v>
      </c>
      <c r="S27" s="771">
        <f t="shared" si="12"/>
        <v>100</v>
      </c>
      <c r="T27" s="770" t="s">
        <v>21</v>
      </c>
      <c r="U27" s="771">
        <f t="shared" si="13"/>
        <v>100</v>
      </c>
      <c r="V27" s="770" t="s">
        <v>21</v>
      </c>
      <c r="W27" s="771">
        <f t="shared" si="14"/>
        <v>100</v>
      </c>
      <c r="X27" s="772"/>
      <c r="Y27" s="318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76"/>
      <c r="Q28" s="1810">
        <f t="shared" si="11"/>
        <v>111</v>
      </c>
      <c r="R28" s="774" t="s">
        <v>21</v>
      </c>
      <c r="S28" s="775">
        <f t="shared" si="12"/>
        <v>100</v>
      </c>
      <c r="T28" s="774" t="s">
        <v>21</v>
      </c>
      <c r="U28" s="775">
        <f t="shared" si="13"/>
        <v>100</v>
      </c>
      <c r="V28" s="774" t="s">
        <v>21</v>
      </c>
      <c r="W28" s="775">
        <f t="shared" si="14"/>
        <v>100</v>
      </c>
      <c r="X28" s="1813"/>
      <c r="Y28" s="318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76"/>
      <c r="Q29" s="1810">
        <f t="shared" si="11"/>
        <v>111</v>
      </c>
      <c r="R29" s="774" t="s">
        <v>21</v>
      </c>
      <c r="S29" s="775">
        <f t="shared" si="12"/>
        <v>100</v>
      </c>
      <c r="T29" s="774" t="s">
        <v>21</v>
      </c>
      <c r="U29" s="775">
        <f t="shared" si="13"/>
        <v>100</v>
      </c>
      <c r="V29" s="774" t="s">
        <v>21</v>
      </c>
      <c r="W29" s="775">
        <f t="shared" si="14"/>
        <v>100</v>
      </c>
      <c r="X29" s="1813"/>
      <c r="Y29" s="318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76"/>
      <c r="Q30" s="1810">
        <f t="shared" si="11"/>
        <v>111</v>
      </c>
      <c r="R30" s="774" t="s">
        <v>21</v>
      </c>
      <c r="S30" s="775">
        <f t="shared" si="12"/>
        <v>100</v>
      </c>
      <c r="T30" s="774" t="s">
        <v>21</v>
      </c>
      <c r="U30" s="775">
        <f t="shared" si="13"/>
        <v>100</v>
      </c>
      <c r="V30" s="774" t="s">
        <v>21</v>
      </c>
      <c r="W30" s="775">
        <f t="shared" si="14"/>
        <v>100</v>
      </c>
      <c r="X30" s="1813"/>
      <c r="Y30" s="318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76"/>
      <c r="Q31" s="1810">
        <f t="shared" si="11"/>
        <v>111</v>
      </c>
      <c r="R31" s="774" t="s">
        <v>21</v>
      </c>
      <c r="S31" s="775">
        <f t="shared" si="12"/>
        <v>100</v>
      </c>
      <c r="T31" s="774" t="s">
        <v>21</v>
      </c>
      <c r="U31" s="775">
        <f t="shared" si="13"/>
        <v>100</v>
      </c>
      <c r="V31" s="774" t="s">
        <v>21</v>
      </c>
      <c r="W31" s="775">
        <f t="shared" si="14"/>
        <v>100</v>
      </c>
      <c r="X31" s="1813"/>
      <c r="Y31" s="3185"/>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71" t="s">
        <v>2563</v>
      </c>
      <c r="Q32" s="1810" t="str">
        <f t="shared" si="11"/>
        <v>建筑类型</v>
      </c>
      <c r="R32" s="774" t="s">
        <v>21</v>
      </c>
      <c r="S32" s="775">
        <f t="shared" si="12"/>
        <v>100</v>
      </c>
      <c r="T32" s="774" t="s">
        <v>21</v>
      </c>
      <c r="U32" s="775">
        <f t="shared" si="13"/>
        <v>100</v>
      </c>
      <c r="V32" s="774" t="s">
        <v>21</v>
      </c>
      <c r="W32" s="775">
        <f t="shared" si="14"/>
        <v>100</v>
      </c>
      <c r="X32" s="1813"/>
      <c r="Y32" s="3187"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72"/>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72"/>
      <c r="Q34" s="1810" t="str">
        <f t="shared" si="11"/>
        <v>建筑结构</v>
      </c>
      <c r="R34" s="774" t="s">
        <v>21</v>
      </c>
      <c r="S34" s="775">
        <f t="shared" si="12"/>
        <v>100</v>
      </c>
      <c r="T34" s="774" t="s">
        <v>21</v>
      </c>
      <c r="U34" s="775">
        <f t="shared" si="13"/>
        <v>100</v>
      </c>
      <c r="V34" s="774" t="s">
        <v>21</v>
      </c>
      <c r="W34" s="775">
        <f t="shared" si="14"/>
        <v>100</v>
      </c>
      <c r="X34" s="1813"/>
      <c r="Y34" s="3187"/>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72"/>
      <c r="Q35" s="1810" t="str">
        <f t="shared" si="11"/>
        <v>建筑品质</v>
      </c>
      <c r="R35" s="774" t="s">
        <v>21</v>
      </c>
      <c r="S35" s="775">
        <f t="shared" si="12"/>
        <v>100</v>
      </c>
      <c r="T35" s="774" t="s">
        <v>21</v>
      </c>
      <c r="U35" s="775">
        <f t="shared" si="13"/>
        <v>100</v>
      </c>
      <c r="V35" s="774" t="s">
        <v>21</v>
      </c>
      <c r="W35" s="775">
        <f t="shared" si="14"/>
        <v>100</v>
      </c>
      <c r="X35" s="1813"/>
      <c r="Y35" s="3187"/>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72"/>
      <c r="Q36" s="1810" t="str">
        <f t="shared" si="11"/>
        <v>公共部分装修</v>
      </c>
      <c r="R36" s="774" t="s">
        <v>21</v>
      </c>
      <c r="S36" s="775">
        <f t="shared" si="12"/>
        <v>100</v>
      </c>
      <c r="T36" s="774" t="s">
        <v>21</v>
      </c>
      <c r="U36" s="775">
        <f t="shared" si="13"/>
        <v>100</v>
      </c>
      <c r="V36" s="774" t="s">
        <v>21</v>
      </c>
      <c r="W36" s="775">
        <f t="shared" si="14"/>
        <v>100</v>
      </c>
      <c r="X36" s="1813"/>
      <c r="Y36" s="3187"/>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2"/>
      <c r="Q37" s="1795"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72" t="s">
        <v>2563</v>
      </c>
      <c r="Q38" s="1810" t="str">
        <f t="shared" si="11"/>
        <v>物业管理</v>
      </c>
      <c r="R38" s="774" t="s">
        <v>21</v>
      </c>
      <c r="S38" s="775">
        <f t="shared" si="12"/>
        <v>100</v>
      </c>
      <c r="T38" s="774" t="s">
        <v>21</v>
      </c>
      <c r="U38" s="775">
        <f t="shared" si="13"/>
        <v>100</v>
      </c>
      <c r="V38" s="774" t="s">
        <v>21</v>
      </c>
      <c r="W38" s="775">
        <f t="shared" si="14"/>
        <v>100</v>
      </c>
      <c r="X38" s="1813"/>
      <c r="Y38" s="3187"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72"/>
      <c r="Q39" s="1810" t="str">
        <f t="shared" si="11"/>
        <v>市政基础设施</v>
      </c>
      <c r="R39" s="774" t="s">
        <v>21</v>
      </c>
      <c r="S39" s="775">
        <f t="shared" si="12"/>
        <v>100</v>
      </c>
      <c r="T39" s="774" t="s">
        <v>21</v>
      </c>
      <c r="U39" s="775">
        <f t="shared" si="13"/>
        <v>100</v>
      </c>
      <c r="V39" s="774" t="s">
        <v>21</v>
      </c>
      <c r="W39" s="775">
        <f t="shared" si="14"/>
        <v>100</v>
      </c>
      <c r="X39" s="1813"/>
      <c r="Y39" s="3187"/>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72"/>
      <c r="Q40" s="1810" t="str">
        <f t="shared" si="11"/>
        <v>房型</v>
      </c>
      <c r="R40" s="774" t="s">
        <v>21</v>
      </c>
      <c r="S40" s="775">
        <f t="shared" si="12"/>
        <v>100</v>
      </c>
      <c r="T40" s="774" t="s">
        <v>21</v>
      </c>
      <c r="U40" s="775">
        <f t="shared" si="13"/>
        <v>100</v>
      </c>
      <c r="V40" s="774" t="s">
        <v>21</v>
      </c>
      <c r="W40" s="775">
        <f t="shared" si="14"/>
        <v>100</v>
      </c>
      <c r="X40" s="1813"/>
      <c r="Y40" s="3187"/>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72"/>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72"/>
      <c r="Q42" s="1810" t="str">
        <f t="shared" si="11"/>
        <v>内部装修</v>
      </c>
      <c r="R42" s="774" t="s">
        <v>21</v>
      </c>
      <c r="S42" s="775">
        <f t="shared" si="12"/>
        <v>100</v>
      </c>
      <c r="T42" s="774" t="s">
        <v>21</v>
      </c>
      <c r="U42" s="775">
        <f t="shared" si="13"/>
        <v>100</v>
      </c>
      <c r="V42" s="774" t="s">
        <v>21</v>
      </c>
      <c r="W42" s="775">
        <f t="shared" si="14"/>
        <v>100</v>
      </c>
      <c r="X42" s="1813"/>
      <c r="Y42" s="3187"/>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72"/>
      <c r="Q43" s="1810" t="str">
        <f t="shared" si="11"/>
        <v>内部装修维护情况</v>
      </c>
      <c r="R43" s="774" t="s">
        <v>21</v>
      </c>
      <c r="S43" s="775">
        <f t="shared" si="12"/>
        <v>100</v>
      </c>
      <c r="T43" s="774" t="s">
        <v>21</v>
      </c>
      <c r="U43" s="775">
        <f t="shared" si="13"/>
        <v>100</v>
      </c>
      <c r="V43" s="774" t="s">
        <v>21</v>
      </c>
      <c r="W43" s="775">
        <f t="shared" si="14"/>
        <v>100</v>
      </c>
      <c r="X43" s="1813"/>
      <c r="Y43" s="318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72"/>
      <c r="Q44" s="1795">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72"/>
      <c r="Q45" s="1810">
        <f t="shared" si="11"/>
        <v>111</v>
      </c>
      <c r="R45" s="774" t="s">
        <v>21</v>
      </c>
      <c r="S45" s="775">
        <f t="shared" si="12"/>
        <v>100</v>
      </c>
      <c r="T45" s="774" t="s">
        <v>21</v>
      </c>
      <c r="U45" s="775">
        <f t="shared" si="13"/>
        <v>100</v>
      </c>
      <c r="V45" s="774" t="s">
        <v>21</v>
      </c>
      <c r="W45" s="775">
        <f t="shared" si="14"/>
        <v>100</v>
      </c>
      <c r="X45" s="1813"/>
      <c r="Y45" s="3187"/>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73"/>
      <c r="Q46" s="1810">
        <f t="shared" si="11"/>
        <v>111</v>
      </c>
      <c r="R46" s="774" t="s">
        <v>20</v>
      </c>
      <c r="S46" s="775">
        <f t="shared" si="12"/>
        <v>100</v>
      </c>
      <c r="T46" s="774" t="s">
        <v>20</v>
      </c>
      <c r="U46" s="775">
        <f t="shared" si="13"/>
        <v>100</v>
      </c>
      <c r="V46" s="774" t="s">
        <v>20</v>
      </c>
      <c r="W46" s="775">
        <f t="shared" si="14"/>
        <v>100</v>
      </c>
      <c r="X46" s="1813"/>
      <c r="Y46" s="3274"/>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182" t="str">
        <f>A47</f>
        <v>成交单价（元/平方米）</v>
      </c>
      <c r="Q47" s="3182"/>
      <c r="R47" s="3270">
        <f>E47</f>
        <v>0</v>
      </c>
      <c r="S47" s="3270"/>
      <c r="T47" s="3270">
        <f>G47</f>
        <v>0</v>
      </c>
      <c r="U47" s="3270"/>
      <c r="V47" s="3270">
        <f>I47</f>
        <v>0</v>
      </c>
      <c r="W47" s="3270"/>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76" t="str">
        <f>A49</f>
        <v>估价对象XX用房的比较价值（楼面单价，元/平方米）</v>
      </c>
      <c r="Q49" s="3177"/>
      <c r="R49" s="3269" t="e">
        <f>IF(F1="售价",ROUND(AVERAGE(R48:V48),0),ROUND(AVERAGE(R48:V48),1))</f>
        <v>#DIV/0!</v>
      </c>
      <c r="S49" s="3269"/>
      <c r="T49" s="3269"/>
      <c r="U49" s="3269"/>
      <c r="V49" s="3269"/>
      <c r="W49" s="32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2098</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8" sqref="M1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c r="E1" s="2657"/>
      <c r="F1" s="2584"/>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t="e">
        <f ca="1">IF(C2="——",ROUND(C49*D3/10000,0),ROUND(C49*D3/10000,0)-D2)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t="e">
        <f ca="1">IF(C2="——",C49,ROUND(B2*10000/D3,0))</f>
        <v>#DIV/0!</v>
      </c>
      <c r="C3" s="400" t="s">
        <v>2642</v>
      </c>
      <c r="D3" s="399">
        <f>IF(D1="",'数据-汇总表'!E3,SUMIF('数据-汇总表'!$C19:$C33,D1,'数据-汇总表'!$E19:$E33))</f>
        <v>364906</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3"/>
      <c r="Y4" s="3201" t="s">
        <v>2649</v>
      </c>
      <c r="Z4" s="3202"/>
      <c r="AA4" s="3189" t="s">
        <v>2645</v>
      </c>
      <c r="AB4" s="3188" t="s">
        <v>2646</v>
      </c>
      <c r="AC4" s="3189" t="s">
        <v>2647</v>
      </c>
    </row>
    <row r="5" spans="1:29" ht="15">
      <c r="A5" s="404"/>
      <c r="B5" s="405"/>
      <c r="C5" s="3209" t="s">
        <v>2540</v>
      </c>
      <c r="D5" s="3210"/>
      <c r="E5" s="3217" t="s">
        <v>2541</v>
      </c>
      <c r="F5" s="3218"/>
      <c r="G5" s="3209" t="s">
        <v>2542</v>
      </c>
      <c r="H5" s="3210"/>
      <c r="I5" s="3209" t="s">
        <v>2543</v>
      </c>
      <c r="J5" s="3210"/>
      <c r="K5" s="610"/>
      <c r="L5" s="1130"/>
      <c r="M5" s="1131"/>
      <c r="N5" s="1131"/>
      <c r="O5" s="1131"/>
      <c r="P5" s="3197"/>
      <c r="Q5" s="3198"/>
      <c r="R5" s="3203"/>
      <c r="S5" s="3204"/>
      <c r="T5" s="3203"/>
      <c r="U5" s="3204"/>
      <c r="V5" s="3188"/>
      <c r="W5" s="3188"/>
      <c r="X5" s="1813"/>
      <c r="Y5" s="3203"/>
      <c r="Z5" s="3204"/>
      <c r="AA5" s="3190"/>
      <c r="AB5" s="3188"/>
      <c r="AC5" s="3190"/>
    </row>
    <row r="6" spans="1:29" ht="15.75" thickBot="1">
      <c r="A6" s="406"/>
      <c r="B6" s="407"/>
      <c r="C6" s="3214" t="s">
        <v>2544</v>
      </c>
      <c r="D6" s="3208"/>
      <c r="E6" s="3277" t="s">
        <v>2544</v>
      </c>
      <c r="F6" s="3216"/>
      <c r="G6" s="3214" t="s">
        <v>2544</v>
      </c>
      <c r="H6" s="3208"/>
      <c r="I6" s="3214" t="s">
        <v>2544</v>
      </c>
      <c r="J6" s="3208"/>
      <c r="K6" s="610" t="s">
        <v>2545</v>
      </c>
      <c r="L6" s="1130"/>
      <c r="M6" s="1131"/>
      <c r="N6" s="1131"/>
      <c r="O6" s="1131"/>
      <c r="P6" s="3199"/>
      <c r="Q6" s="3200"/>
      <c r="R6" s="3203"/>
      <c r="S6" s="3204"/>
      <c r="T6" s="3205"/>
      <c r="U6" s="3206"/>
      <c r="V6" s="3188"/>
      <c r="W6" s="3188"/>
      <c r="X6" s="1813"/>
      <c r="Y6" s="3205"/>
      <c r="Z6" s="3206"/>
      <c r="AA6" s="3191"/>
      <c r="AB6" s="3188"/>
      <c r="AC6" s="3191"/>
    </row>
    <row r="7" spans="1:29" s="117" customFormat="1" ht="15.75" thickBot="1">
      <c r="A7" s="408" t="s">
        <v>2546</v>
      </c>
      <c r="B7" s="409"/>
      <c r="C7" s="410">
        <f>'数据-取费表'!B2</f>
        <v>43622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2553</v>
      </c>
      <c r="Q9" s="1795"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5" t="s">
        <v>2558</v>
      </c>
      <c r="Q15" s="1810" t="str">
        <f t="shared" si="6"/>
        <v>商业繁华度</v>
      </c>
      <c r="R15" s="774" t="s">
        <v>17</v>
      </c>
      <c r="S15" s="775">
        <f t="shared" si="0"/>
        <v>100</v>
      </c>
      <c r="T15" s="774" t="s">
        <v>17</v>
      </c>
      <c r="U15" s="775">
        <f t="shared" si="1"/>
        <v>100</v>
      </c>
      <c r="V15" s="774" t="s">
        <v>17</v>
      </c>
      <c r="W15" s="775">
        <f t="shared" si="2"/>
        <v>100</v>
      </c>
      <c r="X15" s="1813"/>
      <c r="Y15" s="3184"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76"/>
      <c r="Q16" s="1810"/>
      <c r="R16" s="774"/>
      <c r="S16" s="775"/>
      <c r="T16" s="774"/>
      <c r="U16" s="775"/>
      <c r="V16" s="774"/>
      <c r="W16" s="775"/>
      <c r="X16" s="1813"/>
      <c r="Y16" s="3185"/>
      <c r="Z16" s="1814"/>
      <c r="AA16" s="1811">
        <v>1</v>
      </c>
      <c r="AB16" s="1811">
        <v>1</v>
      </c>
      <c r="AC16" s="1811">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6"/>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76"/>
      <c r="Q18" s="1810"/>
      <c r="R18" s="774"/>
      <c r="S18" s="775"/>
      <c r="T18" s="774"/>
      <c r="U18" s="775"/>
      <c r="V18" s="774"/>
      <c r="W18" s="775"/>
      <c r="X18" s="1813"/>
      <c r="Y18" s="3185"/>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6"/>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76"/>
      <c r="Q20" s="1810"/>
      <c r="R20" s="774"/>
      <c r="S20" s="775"/>
      <c r="T20" s="774"/>
      <c r="U20" s="775"/>
      <c r="V20" s="774"/>
      <c r="W20" s="775"/>
      <c r="X20" s="1813"/>
      <c r="Y20" s="3185"/>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6"/>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76"/>
      <c r="Q22" s="1810"/>
      <c r="R22" s="774"/>
      <c r="S22" s="775"/>
      <c r="T22" s="774"/>
      <c r="U22" s="775"/>
      <c r="V22" s="774"/>
      <c r="W22" s="775"/>
      <c r="X22" s="1813"/>
      <c r="Y22" s="3185"/>
      <c r="Z22" s="1814"/>
      <c r="AA22" s="1811">
        <v>1</v>
      </c>
      <c r="AB22" s="1811">
        <v>1</v>
      </c>
      <c r="AC22" s="1811">
        <v>1</v>
      </c>
    </row>
    <row r="23" spans="1:29" ht="57">
      <c r="A23" s="428"/>
      <c r="B23" s="451" t="s">
        <v>2102</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6"/>
      <c r="Q23" s="1810" t="str">
        <f>B23</f>
        <v>自然及人文环境</v>
      </c>
      <c r="R23" s="774" t="s">
        <v>17</v>
      </c>
      <c r="S23" s="775">
        <f>F23</f>
        <v>100</v>
      </c>
      <c r="T23" s="774" t="s">
        <v>17</v>
      </c>
      <c r="U23" s="775">
        <f>H23</f>
        <v>100</v>
      </c>
      <c r="V23" s="774" t="s">
        <v>17</v>
      </c>
      <c r="W23" s="775">
        <f>J23</f>
        <v>100</v>
      </c>
      <c r="X23" s="1813"/>
      <c r="Y23" s="3185"/>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76"/>
      <c r="Q24" s="1810"/>
      <c r="R24" s="774"/>
      <c r="S24" s="775"/>
      <c r="T24" s="774"/>
      <c r="U24" s="775"/>
      <c r="V24" s="774"/>
      <c r="W24" s="775"/>
      <c r="X24" s="1813"/>
      <c r="Y24" s="3185"/>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6"/>
      <c r="Q25" s="1810" t="str">
        <f t="shared" ref="Q25:Q46" si="11">B25</f>
        <v>临街状况</v>
      </c>
      <c r="R25" s="774" t="s">
        <v>17</v>
      </c>
      <c r="S25" s="775">
        <f>F25</f>
        <v>100</v>
      </c>
      <c r="T25" s="774" t="s">
        <v>17</v>
      </c>
      <c r="U25" s="775">
        <f>H25</f>
        <v>100</v>
      </c>
      <c r="V25" s="774" t="s">
        <v>17</v>
      </c>
      <c r="W25" s="775">
        <f>J25</f>
        <v>100</v>
      </c>
      <c r="X25" s="1813"/>
      <c r="Y25" s="3185"/>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6"/>
      <c r="Q26" s="1810" t="str">
        <f t="shared" si="11"/>
        <v>平面位置/可视性</v>
      </c>
      <c r="R26" s="774" t="s">
        <v>17</v>
      </c>
      <c r="S26" s="775">
        <f>F26</f>
        <v>100</v>
      </c>
      <c r="T26" s="774" t="s">
        <v>17</v>
      </c>
      <c r="U26" s="775">
        <f>H26</f>
        <v>100</v>
      </c>
      <c r="V26" s="774" t="s">
        <v>17</v>
      </c>
      <c r="W26" s="775">
        <f>J26</f>
        <v>100</v>
      </c>
      <c r="X26" s="1813"/>
      <c r="Y26" s="3185"/>
      <c r="Z26" s="1814" t="str">
        <f>Q26</f>
        <v>平面位置/可视性</v>
      </c>
      <c r="AA26" s="1811">
        <f t="shared" si="3"/>
        <v>1</v>
      </c>
      <c r="AB26" s="1811">
        <f t="shared" si="4"/>
        <v>1</v>
      </c>
      <c r="AC26" s="1811">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76"/>
      <c r="Q27" s="1795" t="str">
        <f t="shared" si="11"/>
        <v>人流量</v>
      </c>
      <c r="R27" s="770" t="s">
        <v>17</v>
      </c>
      <c r="S27" s="771">
        <f>F27</f>
        <v>100</v>
      </c>
      <c r="T27" s="770" t="s">
        <v>17</v>
      </c>
      <c r="U27" s="771">
        <f>H27</f>
        <v>100</v>
      </c>
      <c r="V27" s="770" t="s">
        <v>17</v>
      </c>
      <c r="W27" s="771">
        <f>J27</f>
        <v>100</v>
      </c>
      <c r="X27" s="772"/>
      <c r="Y27" s="3185"/>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6"/>
      <c r="Q29" s="1810">
        <f t="shared" si="11"/>
        <v>111</v>
      </c>
      <c r="R29" s="774" t="s">
        <v>17</v>
      </c>
      <c r="S29" s="775">
        <f t="shared" si="12"/>
        <v>100</v>
      </c>
      <c r="T29" s="774" t="s">
        <v>17</v>
      </c>
      <c r="U29" s="775">
        <f t="shared" si="13"/>
        <v>100</v>
      </c>
      <c r="V29" s="774" t="s">
        <v>17</v>
      </c>
      <c r="W29" s="775">
        <f t="shared" si="14"/>
        <v>100</v>
      </c>
      <c r="X29" s="1813"/>
      <c r="Y29" s="318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6"/>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6"/>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71" t="s">
        <v>2563</v>
      </c>
      <c r="Q32" s="1810" t="str">
        <f t="shared" si="11"/>
        <v>商业类型</v>
      </c>
      <c r="R32" s="774" t="s">
        <v>17</v>
      </c>
      <c r="S32" s="775">
        <f t="shared" si="12"/>
        <v>100</v>
      </c>
      <c r="T32" s="774" t="s">
        <v>17</v>
      </c>
      <c r="U32" s="775">
        <f t="shared" si="13"/>
        <v>100</v>
      </c>
      <c r="V32" s="774" t="s">
        <v>17</v>
      </c>
      <c r="W32" s="775">
        <f t="shared" si="14"/>
        <v>100</v>
      </c>
      <c r="X32" s="1813"/>
      <c r="Y32" s="3187"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2"/>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1" t="e">
        <f t="shared" si="3"/>
        <v>#N/A</v>
      </c>
      <c r="AB33" s="1811" t="e">
        <f t="shared" si="4"/>
        <v>#N/A</v>
      </c>
      <c r="AC33" s="1811"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72"/>
      <c r="Q34" s="1810" t="str">
        <f t="shared" si="11"/>
        <v>建筑结构</v>
      </c>
      <c r="R34" s="774" t="s">
        <v>17</v>
      </c>
      <c r="S34" s="775">
        <f t="shared" si="12"/>
        <v>100</v>
      </c>
      <c r="T34" s="774" t="s">
        <v>17</v>
      </c>
      <c r="U34" s="775">
        <f t="shared" si="13"/>
        <v>100</v>
      </c>
      <c r="V34" s="774" t="s">
        <v>17</v>
      </c>
      <c r="W34" s="775">
        <f t="shared" si="14"/>
        <v>100</v>
      </c>
      <c r="X34" s="1813"/>
      <c r="Y34" s="3187"/>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72"/>
      <c r="Q35" s="1810" t="str">
        <f t="shared" si="11"/>
        <v>公共部分装修</v>
      </c>
      <c r="R35" s="774" t="s">
        <v>17</v>
      </c>
      <c r="S35" s="775">
        <f t="shared" si="12"/>
        <v>100</v>
      </c>
      <c r="T35" s="774" t="s">
        <v>17</v>
      </c>
      <c r="U35" s="775">
        <f t="shared" si="13"/>
        <v>100</v>
      </c>
      <c r="V35" s="774" t="s">
        <v>17</v>
      </c>
      <c r="W35" s="775">
        <f t="shared" si="14"/>
        <v>100</v>
      </c>
      <c r="X35" s="1813"/>
      <c r="Y35" s="3187"/>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2"/>
      <c r="Q36" s="1810" t="str">
        <f t="shared" si="11"/>
        <v>成新度</v>
      </c>
      <c r="R36" s="774" t="s">
        <v>17</v>
      </c>
      <c r="S36" s="775" t="e">
        <f t="shared" si="12"/>
        <v>#N/A</v>
      </c>
      <c r="T36" s="774" t="s">
        <v>17</v>
      </c>
      <c r="U36" s="775" t="e">
        <f t="shared" si="13"/>
        <v>#N/A</v>
      </c>
      <c r="V36" s="774" t="s">
        <v>17</v>
      </c>
      <c r="W36" s="775" t="e">
        <f t="shared" si="14"/>
        <v>#N/A</v>
      </c>
      <c r="X36" s="1813"/>
      <c r="Y36" s="3187"/>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72"/>
      <c r="Q37" s="1795"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72" t="s">
        <v>2563</v>
      </c>
      <c r="Q38" s="1810" t="str">
        <f t="shared" si="11"/>
        <v>业态</v>
      </c>
      <c r="R38" s="774" t="s">
        <v>17</v>
      </c>
      <c r="S38" s="775">
        <f t="shared" si="12"/>
        <v>100</v>
      </c>
      <c r="T38" s="774" t="s">
        <v>17</v>
      </c>
      <c r="U38" s="775">
        <f t="shared" si="13"/>
        <v>100</v>
      </c>
      <c r="V38" s="774" t="s">
        <v>17</v>
      </c>
      <c r="W38" s="775">
        <f t="shared" si="14"/>
        <v>100</v>
      </c>
      <c r="X38" s="1813"/>
      <c r="Y38" s="3187"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72"/>
      <c r="Q39" s="1810" t="str">
        <f t="shared" si="11"/>
        <v>层高</v>
      </c>
      <c r="R39" s="774" t="s">
        <v>17</v>
      </c>
      <c r="S39" s="775">
        <f t="shared" si="12"/>
        <v>100</v>
      </c>
      <c r="T39" s="774" t="s">
        <v>17</v>
      </c>
      <c r="U39" s="775">
        <f t="shared" si="13"/>
        <v>100</v>
      </c>
      <c r="V39" s="774" t="s">
        <v>17</v>
      </c>
      <c r="W39" s="775">
        <f t="shared" si="14"/>
        <v>100</v>
      </c>
      <c r="X39" s="1813"/>
      <c r="Y39" s="3187"/>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2"/>
      <c r="Q40" s="1810" t="str">
        <f t="shared" si="11"/>
        <v>单套建筑面积</v>
      </c>
      <c r="R40" s="774" t="s">
        <v>17</v>
      </c>
      <c r="S40" s="775">
        <f t="shared" si="12"/>
        <v>100</v>
      </c>
      <c r="T40" s="774" t="s">
        <v>17</v>
      </c>
      <c r="U40" s="775">
        <f t="shared" si="13"/>
        <v>100</v>
      </c>
      <c r="V40" s="774" t="s">
        <v>17</v>
      </c>
      <c r="W40" s="775">
        <f t="shared" si="14"/>
        <v>100</v>
      </c>
      <c r="X40" s="1813"/>
      <c r="Y40" s="3187"/>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2"/>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72"/>
      <c r="Q42" s="1810" t="str">
        <f t="shared" si="11"/>
        <v>内部装修</v>
      </c>
      <c r="R42" s="774" t="s">
        <v>17</v>
      </c>
      <c r="S42" s="775">
        <f t="shared" si="12"/>
        <v>100</v>
      </c>
      <c r="T42" s="774" t="s">
        <v>17</v>
      </c>
      <c r="U42" s="775">
        <f t="shared" si="13"/>
        <v>100</v>
      </c>
      <c r="V42" s="774" t="s">
        <v>17</v>
      </c>
      <c r="W42" s="775">
        <f t="shared" si="14"/>
        <v>100</v>
      </c>
      <c r="X42" s="1813"/>
      <c r="Y42" s="3187"/>
      <c r="Z42" s="1814" t="str">
        <f t="shared" si="15"/>
        <v>内部装修</v>
      </c>
      <c r="AA42" s="1811">
        <f t="shared" si="3"/>
        <v>1</v>
      </c>
      <c r="AB42" s="1811">
        <f t="shared" si="4"/>
        <v>1</v>
      </c>
      <c r="AC42" s="1811">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72"/>
      <c r="Q43" s="1810" t="str">
        <f t="shared" si="11"/>
        <v>内部装修维护情况</v>
      </c>
      <c r="R43" s="774" t="s">
        <v>17</v>
      </c>
      <c r="S43" s="775">
        <f t="shared" si="12"/>
        <v>100</v>
      </c>
      <c r="T43" s="774" t="s">
        <v>17</v>
      </c>
      <c r="U43" s="775">
        <f t="shared" si="13"/>
        <v>100</v>
      </c>
      <c r="V43" s="774" t="s">
        <v>17</v>
      </c>
      <c r="W43" s="775">
        <f t="shared" si="14"/>
        <v>100</v>
      </c>
      <c r="X43" s="1813"/>
      <c r="Y43" s="318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2"/>
      <c r="Q44" s="1795">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2"/>
      <c r="Q45" s="1810">
        <f t="shared" si="11"/>
        <v>111</v>
      </c>
      <c r="R45" s="774" t="s">
        <v>17</v>
      </c>
      <c r="S45" s="775">
        <f t="shared" si="12"/>
        <v>100</v>
      </c>
      <c r="T45" s="774" t="s">
        <v>17</v>
      </c>
      <c r="U45" s="775">
        <f t="shared" si="13"/>
        <v>100</v>
      </c>
      <c r="V45" s="774" t="s">
        <v>17</v>
      </c>
      <c r="W45" s="775">
        <f t="shared" si="14"/>
        <v>100</v>
      </c>
      <c r="X45" s="1813"/>
      <c r="Y45" s="3187"/>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3"/>
      <c r="Q46" s="1810">
        <f t="shared" si="11"/>
        <v>111</v>
      </c>
      <c r="R46" s="774" t="s">
        <v>17</v>
      </c>
      <c r="S46" s="775">
        <f t="shared" si="12"/>
        <v>100</v>
      </c>
      <c r="T46" s="774" t="s">
        <v>17</v>
      </c>
      <c r="U46" s="775">
        <f t="shared" si="13"/>
        <v>100</v>
      </c>
      <c r="V46" s="774" t="s">
        <v>17</v>
      </c>
      <c r="W46" s="775">
        <f t="shared" si="14"/>
        <v>100</v>
      </c>
      <c r="X46" s="1813"/>
      <c r="Y46" s="3274"/>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82" t="str">
        <f>A47</f>
        <v>成交单价（元/平方米）</v>
      </c>
      <c r="Q47" s="3182"/>
      <c r="R47" s="3188">
        <f>E47</f>
        <v>0</v>
      </c>
      <c r="S47" s="3188"/>
      <c r="T47" s="3188">
        <f>G47</f>
        <v>0</v>
      </c>
      <c r="U47" s="3188"/>
      <c r="V47" s="3188">
        <f>I47</f>
        <v>0</v>
      </c>
      <c r="W47" s="3188"/>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76" t="str">
        <f>A49</f>
        <v>估价对象XX用房的比较价值（楼面单价，元/平方米）</v>
      </c>
      <c r="Q49" s="3177"/>
      <c r="R49" s="3269" t="e">
        <f>IF(F1="售价",ROUND(AVERAGE(R48:V48),0),ROUND(AVERAGE(R48:V48),1))</f>
        <v>#DIV/0!</v>
      </c>
      <c r="S49" s="3269"/>
      <c r="T49" s="3269"/>
      <c r="U49" s="3269"/>
      <c r="V49" s="3269"/>
      <c r="W49" s="32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K37" sqref="K3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t="s">
        <v>27</v>
      </c>
      <c r="E1" s="1630"/>
      <c r="F1" s="2584" t="s">
        <v>3115</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6" t="s">
        <v>70</v>
      </c>
      <c r="D2" s="1365"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45000</v>
      </c>
      <c r="C3" s="400" t="s">
        <v>2642</v>
      </c>
      <c r="D3" s="399">
        <f>IF(D1="",'数据-汇总表'!E3,SUMIF('数据-汇总表'!$C19:$C33,D1,'数据-汇总表'!$E19:$E33))</f>
        <v>0</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284" t="s">
        <v>2649</v>
      </c>
      <c r="Q4" s="3285"/>
      <c r="R4" s="3288" t="s">
        <v>2645</v>
      </c>
      <c r="S4" s="3289"/>
      <c r="T4" s="3288" t="s">
        <v>2646</v>
      </c>
      <c r="U4" s="3289"/>
      <c r="V4" s="3290" t="s">
        <v>2647</v>
      </c>
      <c r="W4" s="3290"/>
      <c r="X4" s="2670"/>
      <c r="Y4" s="3288" t="s">
        <v>2649</v>
      </c>
      <c r="Z4" s="3289"/>
      <c r="AA4" s="3292" t="s">
        <v>2645</v>
      </c>
      <c r="AB4" s="3292" t="s">
        <v>2646</v>
      </c>
      <c r="AC4" s="3281" t="s">
        <v>2647</v>
      </c>
    </row>
    <row r="5" spans="1:29" ht="15">
      <c r="A5" s="404"/>
      <c r="B5" s="405"/>
      <c r="C5" s="3209" t="s">
        <v>2540</v>
      </c>
      <c r="D5" s="3210"/>
      <c r="E5" s="3217" t="s">
        <v>2541</v>
      </c>
      <c r="F5" s="3218"/>
      <c r="G5" s="3209" t="s">
        <v>2542</v>
      </c>
      <c r="H5" s="3210"/>
      <c r="I5" s="3209" t="s">
        <v>2543</v>
      </c>
      <c r="J5" s="3210"/>
      <c r="K5" s="610"/>
      <c r="L5" s="1130"/>
      <c r="M5" s="1131"/>
      <c r="N5" s="1131"/>
      <c r="O5" s="1131"/>
      <c r="P5" s="3286"/>
      <c r="Q5" s="3198"/>
      <c r="R5" s="3203"/>
      <c r="S5" s="3204"/>
      <c r="T5" s="3203"/>
      <c r="U5" s="3204"/>
      <c r="V5" s="3188"/>
      <c r="W5" s="3188"/>
      <c r="X5" s="1813"/>
      <c r="Y5" s="3203"/>
      <c r="Z5" s="3204"/>
      <c r="AA5" s="3190"/>
      <c r="AB5" s="3190"/>
      <c r="AC5" s="3282"/>
    </row>
    <row r="6" spans="1:29" ht="15.75" thickBot="1">
      <c r="A6" s="406"/>
      <c r="B6" s="407"/>
      <c r="C6" s="3214" t="s">
        <v>2544</v>
      </c>
      <c r="D6" s="3208"/>
      <c r="E6" s="3277" t="s">
        <v>2544</v>
      </c>
      <c r="F6" s="3216"/>
      <c r="G6" s="3214" t="s">
        <v>2544</v>
      </c>
      <c r="H6" s="3208"/>
      <c r="I6" s="3214" t="s">
        <v>2544</v>
      </c>
      <c r="J6" s="3208"/>
      <c r="K6" s="610" t="s">
        <v>2545</v>
      </c>
      <c r="L6" s="1130"/>
      <c r="M6" s="1131"/>
      <c r="N6" s="1131"/>
      <c r="O6" s="1131"/>
      <c r="P6" s="3287"/>
      <c r="Q6" s="3200"/>
      <c r="R6" s="3203"/>
      <c r="S6" s="3204"/>
      <c r="T6" s="3205"/>
      <c r="U6" s="3206"/>
      <c r="V6" s="3188"/>
      <c r="W6" s="3188"/>
      <c r="X6" s="1813"/>
      <c r="Y6" s="3205"/>
      <c r="Z6" s="3206"/>
      <c r="AA6" s="3191"/>
      <c r="AB6" s="3191"/>
      <c r="AC6" s="3283"/>
    </row>
    <row r="7" spans="1:29" s="117" customFormat="1" ht="15.75" thickBot="1">
      <c r="A7" s="408" t="s">
        <v>2546</v>
      </c>
      <c r="B7" s="409"/>
      <c r="C7" s="410">
        <f>'数据-取费表'!B2</f>
        <v>43622</v>
      </c>
      <c r="D7" s="411">
        <v>100</v>
      </c>
      <c r="E7" s="412">
        <f>C7</f>
        <v>43622</v>
      </c>
      <c r="F7" s="413">
        <f>SUMIF(59:59,YEAR(E7)&amp;"-"&amp;MONTH(E7),60:60)</f>
        <v>100</v>
      </c>
      <c r="G7" s="412">
        <f>C7</f>
        <v>43622</v>
      </c>
      <c r="H7" s="411">
        <f>SUMIF(59:59,YEAR(G7)&amp;"-"&amp;MONTH(G7),60:60)</f>
        <v>100</v>
      </c>
      <c r="I7" s="412">
        <f>C7</f>
        <v>43622</v>
      </c>
      <c r="J7" s="411">
        <f>SUMIF(59:59,YEAR(I7)&amp;"-"&amp;MONTH(I7),60:60)</f>
        <v>100</v>
      </c>
      <c r="K7" s="611"/>
      <c r="L7" s="1132"/>
      <c r="M7" s="1133"/>
      <c r="N7" s="1133"/>
      <c r="O7" s="1133"/>
      <c r="P7" s="3291" t="s">
        <v>2547</v>
      </c>
      <c r="Q7" s="3213"/>
      <c r="R7" s="770" t="s">
        <v>17</v>
      </c>
      <c r="S7" s="771">
        <f t="shared" ref="S7:S15" si="0">F7</f>
        <v>100</v>
      </c>
      <c r="T7" s="770" t="s">
        <v>17</v>
      </c>
      <c r="U7" s="771">
        <f t="shared" ref="U7:U15" si="1">H7</f>
        <v>100</v>
      </c>
      <c r="V7" s="770" t="s">
        <v>17</v>
      </c>
      <c r="W7" s="771">
        <f t="shared" ref="W7:W15" si="2">J7</f>
        <v>100</v>
      </c>
      <c r="X7" s="772"/>
      <c r="Y7" s="3211" t="s">
        <v>2547</v>
      </c>
      <c r="Z7" s="3212"/>
      <c r="AA7" s="773">
        <f>D7/F7</f>
        <v>1</v>
      </c>
      <c r="AB7" s="773">
        <f>D7/H7</f>
        <v>1</v>
      </c>
      <c r="AC7" s="2671">
        <f>D7/J7</f>
        <v>1</v>
      </c>
    </row>
    <row r="8" spans="1:29" s="117" customFormat="1" ht="15.7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291" t="s">
        <v>2550</v>
      </c>
      <c r="Q8" s="3212"/>
      <c r="R8" s="770" t="s">
        <v>17</v>
      </c>
      <c r="S8" s="771">
        <f t="shared" si="0"/>
        <v>100</v>
      </c>
      <c r="T8" s="770" t="s">
        <v>17</v>
      </c>
      <c r="U8" s="771">
        <f t="shared" si="1"/>
        <v>100</v>
      </c>
      <c r="V8" s="770" t="s">
        <v>17</v>
      </c>
      <c r="W8" s="771">
        <f t="shared" si="2"/>
        <v>100</v>
      </c>
      <c r="X8" s="772"/>
      <c r="Y8" s="3211" t="s">
        <v>2550</v>
      </c>
      <c r="Z8" s="3212"/>
      <c r="AA8" s="773">
        <f t="shared" ref="AA8:AA47" si="3">D8/F8</f>
        <v>1</v>
      </c>
      <c r="AB8" s="773">
        <f t="shared" ref="AB8:AB47" si="4">D8/H8</f>
        <v>1</v>
      </c>
      <c r="AC8" s="2671">
        <f t="shared" ref="AC8:AC47" si="5">D8/J8</f>
        <v>1</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2553</v>
      </c>
      <c r="Q9" s="1795"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1">
        <f t="shared" si="5"/>
        <v>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81"/>
      <c r="Q11" s="1795"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5" t="s">
        <v>2558</v>
      </c>
      <c r="Q15" s="1810" t="str">
        <f t="shared" si="6"/>
        <v>办公集聚程度</v>
      </c>
      <c r="R15" s="774" t="s">
        <v>17</v>
      </c>
      <c r="S15" s="775">
        <f t="shared" si="0"/>
        <v>100</v>
      </c>
      <c r="T15" s="774" t="s">
        <v>17</v>
      </c>
      <c r="U15" s="775">
        <f t="shared" si="1"/>
        <v>100</v>
      </c>
      <c r="V15" s="774" t="s">
        <v>17</v>
      </c>
      <c r="W15" s="775">
        <f t="shared" si="2"/>
        <v>100</v>
      </c>
      <c r="X15" s="1813"/>
      <c r="Y15" s="3184"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76"/>
      <c r="Q16" s="1810"/>
      <c r="R16" s="774"/>
      <c r="S16" s="775"/>
      <c r="T16" s="774"/>
      <c r="U16" s="775"/>
      <c r="V16" s="774"/>
      <c r="W16" s="775"/>
      <c r="X16" s="1813"/>
      <c r="Y16" s="3185"/>
      <c r="Z16" s="1814"/>
      <c r="AA16" s="1811">
        <v>1</v>
      </c>
      <c r="AB16" s="1811">
        <v>1</v>
      </c>
      <c r="AC16" s="2674">
        <v>1</v>
      </c>
    </row>
    <row r="17" spans="1:29" ht="71.25">
      <c r="A17" s="428"/>
      <c r="B17" s="631" t="s">
        <v>2097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6"/>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76"/>
      <c r="Q18" s="1810"/>
      <c r="R18" s="774"/>
      <c r="S18" s="775"/>
      <c r="T18" s="774"/>
      <c r="U18" s="775"/>
      <c r="V18" s="774"/>
      <c r="W18" s="775"/>
      <c r="X18" s="1813"/>
      <c r="Y18" s="3185"/>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6"/>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76"/>
      <c r="Q20" s="1810"/>
      <c r="R20" s="774"/>
      <c r="S20" s="775"/>
      <c r="T20" s="774"/>
      <c r="U20" s="775"/>
      <c r="V20" s="774"/>
      <c r="W20" s="775"/>
      <c r="X20" s="1813"/>
      <c r="Y20" s="3185"/>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6"/>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76"/>
      <c r="Q22" s="1810"/>
      <c r="R22" s="774"/>
      <c r="S22" s="775"/>
      <c r="T22" s="774"/>
      <c r="U22" s="775"/>
      <c r="V22" s="774"/>
      <c r="W22" s="775"/>
      <c r="X22" s="1813"/>
      <c r="Y22" s="3185"/>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6"/>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76"/>
      <c r="Q24" s="1810"/>
      <c r="R24" s="774"/>
      <c r="S24" s="775"/>
      <c r="T24" s="774"/>
      <c r="U24" s="775"/>
      <c r="V24" s="774"/>
      <c r="W24" s="775"/>
      <c r="X24" s="1813"/>
      <c r="Y24" s="3185"/>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76"/>
      <c r="Q25" s="1810" t="str">
        <f>B25</f>
        <v>毗邻道路的类型与等级</v>
      </c>
      <c r="R25" s="774" t="s">
        <v>17</v>
      </c>
      <c r="S25" s="775">
        <f>F25</f>
        <v>100</v>
      </c>
      <c r="T25" s="774" t="s">
        <v>17</v>
      </c>
      <c r="U25" s="775">
        <f>H25</f>
        <v>100</v>
      </c>
      <c r="V25" s="774" t="s">
        <v>17</v>
      </c>
      <c r="W25" s="775">
        <f>J25</f>
        <v>100</v>
      </c>
      <c r="X25" s="1813"/>
      <c r="Y25" s="3185"/>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76"/>
      <c r="Q26" s="1810"/>
      <c r="R26" s="774"/>
      <c r="S26" s="775"/>
      <c r="T26" s="774"/>
      <c r="U26" s="775"/>
      <c r="V26" s="774"/>
      <c r="W26" s="775"/>
      <c r="X26" s="1813"/>
      <c r="Y26" s="3185"/>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6"/>
      <c r="Q27" s="1810" t="str">
        <f t="shared" ref="Q27:Q47" si="11">B27</f>
        <v>楼层</v>
      </c>
      <c r="R27" s="774" t="s">
        <v>17</v>
      </c>
      <c r="S27" s="775">
        <f>F27</f>
        <v>100</v>
      </c>
      <c r="T27" s="774" t="s">
        <v>17</v>
      </c>
      <c r="U27" s="775">
        <f>H27</f>
        <v>100</v>
      </c>
      <c r="V27" s="774" t="s">
        <v>17</v>
      </c>
      <c r="W27" s="775">
        <f>J27</f>
        <v>100</v>
      </c>
      <c r="X27" s="1813"/>
      <c r="Y27" s="3185"/>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76"/>
      <c r="Q28" s="1795" t="str">
        <f t="shared" si="11"/>
        <v>朝向</v>
      </c>
      <c r="R28" s="770" t="s">
        <v>17</v>
      </c>
      <c r="S28" s="771">
        <f>F28</f>
        <v>100</v>
      </c>
      <c r="T28" s="770" t="s">
        <v>17</v>
      </c>
      <c r="U28" s="771">
        <f>H28</f>
        <v>100</v>
      </c>
      <c r="V28" s="770" t="s">
        <v>17</v>
      </c>
      <c r="W28" s="771">
        <f>J28</f>
        <v>100</v>
      </c>
      <c r="X28" s="772"/>
      <c r="Y28" s="3185"/>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76"/>
      <c r="Q29" s="1810">
        <f t="shared" si="11"/>
        <v>111</v>
      </c>
      <c r="R29" s="774" t="s">
        <v>17</v>
      </c>
      <c r="S29" s="775">
        <f t="shared" ref="S29:S47" si="12">F29</f>
        <v>100</v>
      </c>
      <c r="T29" s="774" t="s">
        <v>17</v>
      </c>
      <c r="U29" s="775">
        <f t="shared" ref="U29:U47" si="13">H29</f>
        <v>100</v>
      </c>
      <c r="V29" s="774" t="s">
        <v>17</v>
      </c>
      <c r="W29" s="775">
        <f t="shared" ref="W29:W47" si="14">J29</f>
        <v>100</v>
      </c>
      <c r="X29" s="1813"/>
      <c r="Y29" s="3185"/>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76"/>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76"/>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76"/>
      <c r="Q32" s="1810">
        <f t="shared" si="11"/>
        <v>111</v>
      </c>
      <c r="R32" s="774" t="s">
        <v>17</v>
      </c>
      <c r="S32" s="775">
        <f t="shared" si="12"/>
        <v>100</v>
      </c>
      <c r="T32" s="774" t="s">
        <v>17</v>
      </c>
      <c r="U32" s="775">
        <f t="shared" si="13"/>
        <v>100</v>
      </c>
      <c r="V32" s="774" t="s">
        <v>17</v>
      </c>
      <c r="W32" s="775">
        <f t="shared" si="14"/>
        <v>100</v>
      </c>
      <c r="X32" s="1813"/>
      <c r="Y32" s="3185"/>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71" t="s">
        <v>2563</v>
      </c>
      <c r="Q33" s="1810" t="str">
        <f t="shared" si="11"/>
        <v>建筑类型</v>
      </c>
      <c r="R33" s="774" t="s">
        <v>17</v>
      </c>
      <c r="S33" s="775">
        <f t="shared" si="12"/>
        <v>100</v>
      </c>
      <c r="T33" s="774" t="s">
        <v>17</v>
      </c>
      <c r="U33" s="775">
        <f t="shared" si="13"/>
        <v>100</v>
      </c>
      <c r="V33" s="774" t="s">
        <v>17</v>
      </c>
      <c r="W33" s="775">
        <f t="shared" si="14"/>
        <v>100</v>
      </c>
      <c r="X33" s="1813"/>
      <c r="Y33" s="3187"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72"/>
      <c r="Q34" s="776" t="str">
        <f t="shared" si="11"/>
        <v>项目建筑规模</v>
      </c>
      <c r="R34" s="777" t="s">
        <v>17</v>
      </c>
      <c r="S34" s="778">
        <f t="shared" si="12"/>
        <v>100</v>
      </c>
      <c r="T34" s="777" t="s">
        <v>17</v>
      </c>
      <c r="U34" s="778">
        <f t="shared" si="13"/>
        <v>100</v>
      </c>
      <c r="V34" s="777" t="s">
        <v>17</v>
      </c>
      <c r="W34" s="778">
        <f t="shared" si="14"/>
        <v>100</v>
      </c>
      <c r="X34" s="779"/>
      <c r="Y34" s="3187"/>
      <c r="Z34" s="780" t="str">
        <f t="shared" si="15"/>
        <v>项目建筑规模</v>
      </c>
      <c r="AA34" s="1811">
        <f t="shared" si="3"/>
        <v>1</v>
      </c>
      <c r="AB34" s="1811">
        <f t="shared" si="4"/>
        <v>1</v>
      </c>
      <c r="AC34" s="2674">
        <f t="shared" si="5"/>
        <v>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2"/>
      <c r="Q35" s="1810" t="str">
        <f t="shared" si="11"/>
        <v>建筑结构</v>
      </c>
      <c r="R35" s="774" t="s">
        <v>17</v>
      </c>
      <c r="S35" s="775">
        <f t="shared" si="12"/>
        <v>100</v>
      </c>
      <c r="T35" s="774" t="s">
        <v>17</v>
      </c>
      <c r="U35" s="775">
        <f t="shared" si="13"/>
        <v>100</v>
      </c>
      <c r="V35" s="774" t="s">
        <v>17</v>
      </c>
      <c r="W35" s="775">
        <f t="shared" si="14"/>
        <v>100</v>
      </c>
      <c r="X35" s="1813"/>
      <c r="Y35" s="3187"/>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2"/>
      <c r="Q36" s="1810" t="str">
        <f t="shared" si="11"/>
        <v>公共部分装修</v>
      </c>
      <c r="R36" s="774" t="s">
        <v>17</v>
      </c>
      <c r="S36" s="775">
        <f t="shared" si="12"/>
        <v>100</v>
      </c>
      <c r="T36" s="774" t="s">
        <v>17</v>
      </c>
      <c r="U36" s="775">
        <f t="shared" si="13"/>
        <v>100</v>
      </c>
      <c r="V36" s="774" t="s">
        <v>17</v>
      </c>
      <c r="W36" s="775">
        <f t="shared" si="14"/>
        <v>100</v>
      </c>
      <c r="X36" s="1813"/>
      <c r="Y36" s="3187"/>
      <c r="Z36" s="1814" t="str">
        <f t="shared" si="15"/>
        <v>公共部分装修</v>
      </c>
      <c r="AA36" s="1811">
        <f t="shared" si="3"/>
        <v>1</v>
      </c>
      <c r="AB36" s="1811">
        <f t="shared" si="4"/>
        <v>1</v>
      </c>
      <c r="AC36" s="2674">
        <f t="shared" si="5"/>
        <v>1</v>
      </c>
    </row>
    <row r="37" spans="1:29" ht="15">
      <c r="A37" s="472"/>
      <c r="B37" s="422" t="s">
        <v>2660</v>
      </c>
      <c r="C37" s="474">
        <f>'数据-取费表'!N8</f>
        <v>0.85</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0"/>
      <c r="M37" s="1131"/>
      <c r="N37" s="1131"/>
      <c r="O37" s="1131"/>
      <c r="P37" s="3272"/>
      <c r="Q37" s="1810" t="str">
        <f t="shared" si="11"/>
        <v>成新度</v>
      </c>
      <c r="R37" s="774" t="s">
        <v>17</v>
      </c>
      <c r="S37" s="775">
        <f t="shared" si="12"/>
        <v>100</v>
      </c>
      <c r="T37" s="774" t="s">
        <v>17</v>
      </c>
      <c r="U37" s="775">
        <f t="shared" si="13"/>
        <v>100</v>
      </c>
      <c r="V37" s="774" t="s">
        <v>17</v>
      </c>
      <c r="W37" s="775">
        <f t="shared" si="14"/>
        <v>100</v>
      </c>
      <c r="X37" s="1813"/>
      <c r="Y37" s="3187"/>
      <c r="Z37" s="1814" t="str">
        <f t="shared" si="15"/>
        <v>成新度</v>
      </c>
      <c r="AA37" s="1811">
        <f t="shared" si="3"/>
        <v>1</v>
      </c>
      <c r="AB37" s="1811">
        <f t="shared" si="4"/>
        <v>1</v>
      </c>
      <c r="AC37" s="2674">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2"/>
      <c r="Q38" s="1795"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2" t="s">
        <v>2563</v>
      </c>
      <c r="Q39" s="1810" t="str">
        <f t="shared" si="11"/>
        <v>物业管理</v>
      </c>
      <c r="R39" s="774" t="s">
        <v>17</v>
      </c>
      <c r="S39" s="775">
        <f t="shared" si="12"/>
        <v>100</v>
      </c>
      <c r="T39" s="774" t="s">
        <v>17</v>
      </c>
      <c r="U39" s="775">
        <f t="shared" si="13"/>
        <v>100</v>
      </c>
      <c r="V39" s="774" t="s">
        <v>17</v>
      </c>
      <c r="W39" s="775">
        <f t="shared" si="14"/>
        <v>100</v>
      </c>
      <c r="X39" s="1813"/>
      <c r="Y39" s="3187"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2"/>
      <c r="Q40" s="1810" t="str">
        <f t="shared" si="11"/>
        <v>市政基础设施</v>
      </c>
      <c r="R40" s="774" t="s">
        <v>17</v>
      </c>
      <c r="S40" s="775">
        <f t="shared" si="12"/>
        <v>100</v>
      </c>
      <c r="T40" s="774" t="s">
        <v>17</v>
      </c>
      <c r="U40" s="775">
        <f t="shared" si="13"/>
        <v>100</v>
      </c>
      <c r="V40" s="774" t="s">
        <v>17</v>
      </c>
      <c r="W40" s="775">
        <f t="shared" si="14"/>
        <v>100</v>
      </c>
      <c r="X40" s="1813"/>
      <c r="Y40" s="3187"/>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2"/>
      <c r="Q41" s="1810" t="str">
        <f t="shared" si="11"/>
        <v>层高</v>
      </c>
      <c r="R41" s="774" t="s">
        <v>17</v>
      </c>
      <c r="S41" s="775">
        <f t="shared" si="12"/>
        <v>100</v>
      </c>
      <c r="T41" s="774" t="s">
        <v>17</v>
      </c>
      <c r="U41" s="775">
        <f t="shared" si="13"/>
        <v>100</v>
      </c>
      <c r="V41" s="774" t="s">
        <v>17</v>
      </c>
      <c r="W41" s="775">
        <f t="shared" si="14"/>
        <v>100</v>
      </c>
      <c r="X41" s="1813"/>
      <c r="Y41" s="3187"/>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2"/>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2"/>
      <c r="Q43" s="1810" t="str">
        <f t="shared" si="11"/>
        <v>内部装修</v>
      </c>
      <c r="R43" s="774" t="s">
        <v>17</v>
      </c>
      <c r="S43" s="775">
        <f t="shared" si="12"/>
        <v>100</v>
      </c>
      <c r="T43" s="774" t="s">
        <v>17</v>
      </c>
      <c r="U43" s="775">
        <f t="shared" si="13"/>
        <v>100</v>
      </c>
      <c r="V43" s="774" t="s">
        <v>17</v>
      </c>
      <c r="W43" s="775">
        <f t="shared" si="14"/>
        <v>100</v>
      </c>
      <c r="X43" s="1813"/>
      <c r="Y43" s="3187"/>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72"/>
      <c r="Q44" s="1810" t="str">
        <f t="shared" si="11"/>
        <v>内部装修维护情况</v>
      </c>
      <c r="R44" s="774" t="s">
        <v>17</v>
      </c>
      <c r="S44" s="775">
        <f t="shared" si="12"/>
        <v>100</v>
      </c>
      <c r="T44" s="774" t="s">
        <v>17</v>
      </c>
      <c r="U44" s="775">
        <f t="shared" si="13"/>
        <v>100</v>
      </c>
      <c r="V44" s="774" t="s">
        <v>17</v>
      </c>
      <c r="W44" s="775">
        <f t="shared" si="14"/>
        <v>100</v>
      </c>
      <c r="X44" s="1813"/>
      <c r="Y44" s="3187"/>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2"/>
      <c r="Q45" s="1795">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2"/>
      <c r="Q46" s="1810">
        <f t="shared" si="11"/>
        <v>111</v>
      </c>
      <c r="R46" s="774" t="s">
        <v>17</v>
      </c>
      <c r="S46" s="775">
        <f t="shared" si="12"/>
        <v>100</v>
      </c>
      <c r="T46" s="774" t="s">
        <v>17</v>
      </c>
      <c r="U46" s="775">
        <f t="shared" si="13"/>
        <v>100</v>
      </c>
      <c r="V46" s="774" t="s">
        <v>17</v>
      </c>
      <c r="W46" s="775">
        <f t="shared" si="14"/>
        <v>100</v>
      </c>
      <c r="X46" s="1813"/>
      <c r="Y46" s="3187"/>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3"/>
      <c r="Q47" s="1810">
        <f t="shared" si="11"/>
        <v>111</v>
      </c>
      <c r="R47" s="774" t="s">
        <v>17</v>
      </c>
      <c r="S47" s="775">
        <f t="shared" si="12"/>
        <v>100</v>
      </c>
      <c r="T47" s="774" t="s">
        <v>17</v>
      </c>
      <c r="U47" s="775">
        <f t="shared" si="13"/>
        <v>100</v>
      </c>
      <c r="V47" s="774" t="s">
        <v>17</v>
      </c>
      <c r="W47" s="775">
        <f t="shared" si="14"/>
        <v>100</v>
      </c>
      <c r="X47" s="1813"/>
      <c r="Y47" s="3274"/>
      <c r="Z47" s="1814">
        <f t="shared" si="15"/>
        <v>111</v>
      </c>
      <c r="AA47" s="1811">
        <f t="shared" si="3"/>
        <v>1</v>
      </c>
      <c r="AB47" s="1811">
        <f t="shared" si="4"/>
        <v>1</v>
      </c>
      <c r="AC47" s="2674">
        <f t="shared" si="5"/>
        <v>1</v>
      </c>
    </row>
    <row r="48" spans="1:29" ht="15">
      <c r="A48" s="479" t="s">
        <v>2575</v>
      </c>
      <c r="B48" s="480"/>
      <c r="C48" s="1407" t="s">
        <v>1</v>
      </c>
      <c r="D48" s="1408"/>
      <c r="E48" s="1409">
        <v>45000</v>
      </c>
      <c r="F48" s="1410"/>
      <c r="G48" s="1411">
        <v>45000</v>
      </c>
      <c r="H48" s="1412"/>
      <c r="I48" s="1409">
        <v>45000</v>
      </c>
      <c r="J48" s="485"/>
      <c r="K48" s="783"/>
      <c r="L48" s="1143"/>
      <c r="M48" s="1131"/>
      <c r="N48" s="1131"/>
      <c r="O48" s="1131"/>
      <c r="P48" s="3181" t="str">
        <f>A48</f>
        <v>成交单价（元/平方米）</v>
      </c>
      <c r="Q48" s="3182"/>
      <c r="R48" s="3270">
        <f>E48</f>
        <v>45000</v>
      </c>
      <c r="S48" s="3270"/>
      <c r="T48" s="3270">
        <f>G48</f>
        <v>45000</v>
      </c>
      <c r="U48" s="3270"/>
      <c r="V48" s="3270">
        <f>I48</f>
        <v>45000</v>
      </c>
      <c r="W48" s="3270"/>
      <c r="X48" s="446"/>
      <c r="Y48" s="781"/>
      <c r="Z48" s="446"/>
      <c r="AA48" s="446"/>
      <c r="AB48" s="446"/>
      <c r="AC48" s="630"/>
    </row>
    <row r="49" spans="1:29" ht="15.75" thickBot="1">
      <c r="A49" s="486" t="s">
        <v>2667</v>
      </c>
      <c r="B49" s="487"/>
      <c r="C49" s="1413">
        <f>R50</f>
        <v>45000</v>
      </c>
      <c r="D49" s="1414"/>
      <c r="E49" s="1415">
        <f>R49</f>
        <v>45000</v>
      </c>
      <c r="F49" s="1415"/>
      <c r="G49" s="1413">
        <f>T49</f>
        <v>45000</v>
      </c>
      <c r="H49" s="1414"/>
      <c r="I49" s="1415">
        <f>V49</f>
        <v>45000</v>
      </c>
      <c r="J49" s="489"/>
      <c r="K49" s="784"/>
      <c r="L49" s="1143"/>
      <c r="M49" s="1131"/>
      <c r="N49" s="1131"/>
      <c r="O49" s="1131"/>
      <c r="P49" s="3181" t="str">
        <f>A49</f>
        <v>比较价值（元/平方米）</v>
      </c>
      <c r="Q49" s="3182"/>
      <c r="R49" s="3270">
        <f>IF(F1="售价",ROUND(PRODUCT(R48,AA7:AA47),0),ROUND(PRODUCT(R48,AA7:AA47),1))</f>
        <v>45000</v>
      </c>
      <c r="S49" s="3270"/>
      <c r="T49" s="3270">
        <f>IF(F1="售价",ROUND(PRODUCT(T48,AB7:AB47),0),ROUND(PRODUCT(T48,AB7:AB47),1))</f>
        <v>45000</v>
      </c>
      <c r="U49" s="3270"/>
      <c r="V49" s="3270">
        <f>IF(F1="售价",ROUND(PRODUCT(V48,AC7:AC47),0),ROUND(PRODUCT(V48,AC7:AC47),1))</f>
        <v>45000</v>
      </c>
      <c r="W49" s="3270"/>
      <c r="X49" s="446"/>
      <c r="Y49" s="446"/>
      <c r="Z49" s="446"/>
      <c r="AA49" s="446"/>
      <c r="AB49" s="446"/>
      <c r="AC49" s="630"/>
    </row>
    <row r="50" spans="1:29" ht="15.75" thickBot="1">
      <c r="A50" s="492" t="s">
        <v>2668</v>
      </c>
      <c r="B50" s="493"/>
      <c r="C50" s="1417">
        <f>R50</f>
        <v>45000</v>
      </c>
      <c r="D50" s="1417"/>
      <c r="E50" s="1417"/>
      <c r="F50" s="1417"/>
      <c r="G50" s="1417"/>
      <c r="H50" s="1417"/>
      <c r="I50" s="1417"/>
      <c r="J50" s="494"/>
      <c r="K50" s="785"/>
      <c r="L50" s="1143"/>
      <c r="M50" s="1131"/>
      <c r="N50" s="1131"/>
      <c r="O50" s="1131"/>
      <c r="P50" s="3278" t="str">
        <f>A50</f>
        <v>估价对象XX用房的比较价值（楼面单价，元/平方米）</v>
      </c>
      <c r="Q50" s="3279"/>
      <c r="R50" s="3280">
        <f>IF(F1="售价",ROUND(AVERAGE(R49:V49),0),ROUND(AVERAGE(R49:V49),1))</f>
        <v>45000</v>
      </c>
      <c r="S50" s="3280"/>
      <c r="T50" s="3280"/>
      <c r="U50" s="3280"/>
      <c r="V50" s="3280"/>
      <c r="W50" s="3280"/>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17" sqref="L1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364906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3"/>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14" t="s">
        <v>2544</v>
      </c>
      <c r="D6" s="3208"/>
      <c r="E6" s="3277" t="s">
        <v>2544</v>
      </c>
      <c r="F6" s="3216"/>
      <c r="G6" s="3214" t="s">
        <v>2544</v>
      </c>
      <c r="H6" s="3208"/>
      <c r="I6" s="3214" t="s">
        <v>2544</v>
      </c>
      <c r="J6" s="3208"/>
      <c r="K6" s="610" t="s">
        <v>2545</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2546</v>
      </c>
      <c r="B7" s="409"/>
      <c r="C7" s="410">
        <f>'数据-取费表'!B2</f>
        <v>43622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2553</v>
      </c>
      <c r="Q9" s="1795"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2558</v>
      </c>
      <c r="Q15" s="1810" t="str">
        <f t="shared" si="6"/>
        <v>产业集聚程度</v>
      </c>
      <c r="R15" s="774" t="s">
        <v>17</v>
      </c>
      <c r="S15" s="775">
        <f t="shared" si="0"/>
        <v>100</v>
      </c>
      <c r="T15" s="774" t="s">
        <v>17</v>
      </c>
      <c r="U15" s="775">
        <f t="shared" si="1"/>
        <v>100</v>
      </c>
      <c r="V15" s="774" t="s">
        <v>17</v>
      </c>
      <c r="W15" s="775">
        <f t="shared" si="2"/>
        <v>100</v>
      </c>
      <c r="X15" s="1813"/>
      <c r="Y15" s="3184"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5"/>
      <c r="Q18" s="1810"/>
      <c r="R18" s="774"/>
      <c r="S18" s="775"/>
      <c r="T18" s="774"/>
      <c r="U18" s="775"/>
      <c r="V18" s="774"/>
      <c r="W18" s="775"/>
      <c r="X18" s="1813"/>
      <c r="Y18" s="3185"/>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5"/>
      <c r="Q20" s="1810"/>
      <c r="R20" s="774"/>
      <c r="S20" s="775"/>
      <c r="T20" s="774"/>
      <c r="U20" s="775"/>
      <c r="V20" s="774"/>
      <c r="W20" s="775"/>
      <c r="X20" s="1813"/>
      <c r="Y20" s="3185"/>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5"/>
      <c r="Q22" s="1810"/>
      <c r="R22" s="774"/>
      <c r="S22" s="775"/>
      <c r="T22" s="774"/>
      <c r="U22" s="775"/>
      <c r="V22" s="774"/>
      <c r="W22" s="775"/>
      <c r="X22" s="1813"/>
      <c r="Y22" s="3185"/>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5"/>
      <c r="Q24" s="1810"/>
      <c r="R24" s="774"/>
      <c r="S24" s="775"/>
      <c r="T24" s="774"/>
      <c r="U24" s="775"/>
      <c r="V24" s="774"/>
      <c r="W24" s="775"/>
      <c r="X24" s="1813"/>
      <c r="Y24" s="318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10">
        <f>B25</f>
        <v>111</v>
      </c>
      <c r="R25" s="774" t="s">
        <v>17</v>
      </c>
      <c r="S25" s="775">
        <f>F25</f>
        <v>100</v>
      </c>
      <c r="T25" s="774" t="s">
        <v>17</v>
      </c>
      <c r="U25" s="775">
        <f>H25</f>
        <v>100</v>
      </c>
      <c r="V25" s="774" t="s">
        <v>17</v>
      </c>
      <c r="W25" s="775">
        <f>J25</f>
        <v>100</v>
      </c>
      <c r="X25" s="1813"/>
      <c r="Y25" s="318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10">
        <f t="shared" ref="Q26:Q40" si="11">B26</f>
        <v>111</v>
      </c>
      <c r="R26" s="774" t="s">
        <v>17</v>
      </c>
      <c r="S26" s="775">
        <f>F26</f>
        <v>100</v>
      </c>
      <c r="T26" s="774" t="s">
        <v>17</v>
      </c>
      <c r="U26" s="775">
        <f>H26</f>
        <v>100</v>
      </c>
      <c r="V26" s="774" t="s">
        <v>17</v>
      </c>
      <c r="W26" s="775">
        <f>J26</f>
        <v>100</v>
      </c>
      <c r="X26" s="1813"/>
      <c r="Y26" s="318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5">
        <f t="shared" si="11"/>
        <v>111</v>
      </c>
      <c r="R27" s="770" t="s">
        <v>17</v>
      </c>
      <c r="S27" s="771">
        <f>F27</f>
        <v>100</v>
      </c>
      <c r="T27" s="770" t="s">
        <v>17</v>
      </c>
      <c r="U27" s="771">
        <f>H27</f>
        <v>100</v>
      </c>
      <c r="V27" s="770" t="s">
        <v>17</v>
      </c>
      <c r="W27" s="771">
        <f>J27</f>
        <v>100</v>
      </c>
      <c r="X27" s="772"/>
      <c r="Y27" s="318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10">
        <f t="shared" si="11"/>
        <v>111</v>
      </c>
      <c r="R28" s="774" t="s">
        <v>17</v>
      </c>
      <c r="S28" s="775">
        <f t="shared" ref="S28:S40" si="12">F28</f>
        <v>100</v>
      </c>
      <c r="T28" s="774" t="s">
        <v>17</v>
      </c>
      <c r="U28" s="775">
        <f t="shared" ref="U28:U40" si="13">H28</f>
        <v>100</v>
      </c>
      <c r="V28" s="774" t="s">
        <v>17</v>
      </c>
      <c r="W28" s="775">
        <f t="shared" ref="W28:W40" si="14">J28</f>
        <v>100</v>
      </c>
      <c r="X28" s="1813"/>
      <c r="Y28" s="3185"/>
      <c r="Z28" s="1814">
        <f t="shared" ref="Z28:Z40" si="15">Q28</f>
        <v>111</v>
      </c>
      <c r="AA28" s="1811">
        <f t="shared" si="3"/>
        <v>1</v>
      </c>
      <c r="AB28" s="1811">
        <f t="shared" si="4"/>
        <v>1</v>
      </c>
      <c r="AC28" s="1811">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6" t="s">
        <v>2563</v>
      </c>
      <c r="Q29" s="1810" t="str">
        <f t="shared" si="11"/>
        <v>建筑类型</v>
      </c>
      <c r="R29" s="774" t="s">
        <v>17</v>
      </c>
      <c r="S29" s="775">
        <f t="shared" si="12"/>
        <v>100</v>
      </c>
      <c r="T29" s="774" t="s">
        <v>17</v>
      </c>
      <c r="U29" s="775">
        <f t="shared" si="13"/>
        <v>100</v>
      </c>
      <c r="V29" s="774" t="s">
        <v>17</v>
      </c>
      <c r="W29" s="775">
        <f t="shared" si="14"/>
        <v>100</v>
      </c>
      <c r="X29" s="1813"/>
      <c r="Y29" s="3187"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10" t="str">
        <f t="shared" si="11"/>
        <v>建筑结构</v>
      </c>
      <c r="R31" s="774" t="s">
        <v>17</v>
      </c>
      <c r="S31" s="775">
        <f t="shared" si="12"/>
        <v>100</v>
      </c>
      <c r="T31" s="774" t="s">
        <v>17</v>
      </c>
      <c r="U31" s="775">
        <f t="shared" si="13"/>
        <v>100</v>
      </c>
      <c r="V31" s="774" t="s">
        <v>17</v>
      </c>
      <c r="W31" s="775">
        <f t="shared" si="14"/>
        <v>100</v>
      </c>
      <c r="X31" s="1813"/>
      <c r="Y31" s="3187"/>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10" t="str">
        <f t="shared" si="11"/>
        <v>公共部分装修</v>
      </c>
      <c r="R32" s="774" t="s">
        <v>17</v>
      </c>
      <c r="S32" s="775">
        <f t="shared" si="12"/>
        <v>100</v>
      </c>
      <c r="T32" s="774" t="s">
        <v>17</v>
      </c>
      <c r="U32" s="775">
        <f t="shared" si="13"/>
        <v>100</v>
      </c>
      <c r="V32" s="774" t="s">
        <v>17</v>
      </c>
      <c r="W32" s="775">
        <f t="shared" si="14"/>
        <v>100</v>
      </c>
      <c r="X32" s="1813"/>
      <c r="Y32" s="3187"/>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10" t="str">
        <f t="shared" si="11"/>
        <v>成新度</v>
      </c>
      <c r="R33" s="774" t="s">
        <v>17</v>
      </c>
      <c r="S33" s="775" t="e">
        <f t="shared" si="12"/>
        <v>#N/A</v>
      </c>
      <c r="T33" s="774" t="s">
        <v>17</v>
      </c>
      <c r="U33" s="775" t="e">
        <f t="shared" si="13"/>
        <v>#N/A</v>
      </c>
      <c r="V33" s="774" t="s">
        <v>17</v>
      </c>
      <c r="W33" s="775" t="e">
        <f t="shared" si="14"/>
        <v>#N/A</v>
      </c>
      <c r="X33" s="1813"/>
      <c r="Y33" s="3187"/>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5"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2563</v>
      </c>
      <c r="Q35" s="1810" t="str">
        <f t="shared" si="11"/>
        <v>市政基础设施</v>
      </c>
      <c r="R35" s="774" t="s">
        <v>17</v>
      </c>
      <c r="S35" s="775">
        <f t="shared" si="12"/>
        <v>100</v>
      </c>
      <c r="T35" s="774" t="s">
        <v>17</v>
      </c>
      <c r="U35" s="775">
        <f t="shared" si="13"/>
        <v>100</v>
      </c>
      <c r="V35" s="774" t="s">
        <v>17</v>
      </c>
      <c r="W35" s="775">
        <f t="shared" si="14"/>
        <v>100</v>
      </c>
      <c r="X35" s="1813"/>
      <c r="Y35" s="3187"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10" t="str">
        <f t="shared" si="11"/>
        <v>内部装修</v>
      </c>
      <c r="R36" s="774" t="s">
        <v>17</v>
      </c>
      <c r="S36" s="775">
        <f t="shared" si="12"/>
        <v>100</v>
      </c>
      <c r="T36" s="774" t="s">
        <v>17</v>
      </c>
      <c r="U36" s="775">
        <f t="shared" si="13"/>
        <v>100</v>
      </c>
      <c r="V36" s="774" t="s">
        <v>17</v>
      </c>
      <c r="W36" s="775">
        <f t="shared" si="14"/>
        <v>100</v>
      </c>
      <c r="X36" s="1813"/>
      <c r="Y36" s="3187"/>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10" t="str">
        <f t="shared" si="11"/>
        <v>内部装修状况</v>
      </c>
      <c r="R37" s="774" t="s">
        <v>17</v>
      </c>
      <c r="S37" s="775">
        <f t="shared" si="12"/>
        <v>100</v>
      </c>
      <c r="T37" s="774" t="s">
        <v>17</v>
      </c>
      <c r="U37" s="775">
        <f t="shared" si="13"/>
        <v>100</v>
      </c>
      <c r="V37" s="774" t="s">
        <v>17</v>
      </c>
      <c r="W37" s="775">
        <f t="shared" si="14"/>
        <v>100</v>
      </c>
      <c r="X37" s="1813"/>
      <c r="Y37" s="318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10">
        <f t="shared" si="11"/>
        <v>111</v>
      </c>
      <c r="R39" s="774" t="s">
        <v>17</v>
      </c>
      <c r="S39" s="775">
        <f t="shared" si="12"/>
        <v>100</v>
      </c>
      <c r="T39" s="774" t="s">
        <v>17</v>
      </c>
      <c r="U39" s="775">
        <f t="shared" si="13"/>
        <v>100</v>
      </c>
      <c r="V39" s="774" t="s">
        <v>17</v>
      </c>
      <c r="W39" s="775">
        <f t="shared" si="14"/>
        <v>100</v>
      </c>
      <c r="X39" s="1813"/>
      <c r="Y39" s="3187"/>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4"/>
      <c r="Q40" s="1810">
        <f t="shared" si="11"/>
        <v>111</v>
      </c>
      <c r="R40" s="774" t="s">
        <v>17</v>
      </c>
      <c r="S40" s="775">
        <f t="shared" si="12"/>
        <v>100</v>
      </c>
      <c r="T40" s="774" t="s">
        <v>17</v>
      </c>
      <c r="U40" s="775">
        <f t="shared" si="13"/>
        <v>100</v>
      </c>
      <c r="V40" s="774" t="s">
        <v>17</v>
      </c>
      <c r="W40" s="775">
        <f t="shared" si="14"/>
        <v>100</v>
      </c>
      <c r="X40" s="1813"/>
      <c r="Y40" s="3274"/>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182" t="str">
        <f>A41</f>
        <v>成交单价（元/平方米）</v>
      </c>
      <c r="Q41" s="3182"/>
      <c r="R41" s="3270">
        <f>E41</f>
        <v>0</v>
      </c>
      <c r="S41" s="3270"/>
      <c r="T41" s="3270">
        <f>G41</f>
        <v>0</v>
      </c>
      <c r="U41" s="3270"/>
      <c r="V41" s="3270">
        <f>I41</f>
        <v>0</v>
      </c>
      <c r="W41" s="3270"/>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76" t="str">
        <f>A43</f>
        <v>估价对象XX用房的比较价值（楼面单价，元/平方米）</v>
      </c>
      <c r="Q43" s="3177"/>
      <c r="R43" s="3269" t="e">
        <f>IF(F1="售价",ROUND(AVERAGE(R42:V42),0),ROUND(AVERAGE(R42:V42),1))</f>
        <v>#DIV/0!</v>
      </c>
      <c r="S43" s="3269"/>
      <c r="T43" s="3269"/>
      <c r="U43" s="3269"/>
      <c r="V43" s="3269"/>
      <c r="W43" s="326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3"/>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14" t="s">
        <v>2544</v>
      </c>
      <c r="D6" s="3208"/>
      <c r="E6" s="3277" t="s">
        <v>2544</v>
      </c>
      <c r="F6" s="3216"/>
      <c r="G6" s="3214" t="s">
        <v>2544</v>
      </c>
      <c r="H6" s="3208"/>
      <c r="I6" s="3214" t="s">
        <v>2544</v>
      </c>
      <c r="J6" s="3208"/>
      <c r="K6" s="610" t="s">
        <v>2545</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2546</v>
      </c>
      <c r="B7" s="409"/>
      <c r="C7" s="410">
        <f>'数据-取费表'!B2</f>
        <v>43622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2547</v>
      </c>
      <c r="Q7" s="3213"/>
      <c r="R7" s="770" t="s">
        <v>17</v>
      </c>
      <c r="S7" s="771">
        <f t="shared" ref="S7:S14" si="0">F7</f>
        <v>0</v>
      </c>
      <c r="T7" s="770" t="s">
        <v>17</v>
      </c>
      <c r="U7" s="771">
        <f t="shared" ref="U7:U14" si="1">H7</f>
        <v>0</v>
      </c>
      <c r="V7" s="770" t="s">
        <v>17</v>
      </c>
      <c r="W7" s="771">
        <f t="shared" ref="W7:W14"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2553</v>
      </c>
      <c r="Q9" s="1795"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2558</v>
      </c>
      <c r="Q14" s="1810" t="str">
        <f t="shared" si="6"/>
        <v>交通便捷度</v>
      </c>
      <c r="R14" s="774" t="s">
        <v>17</v>
      </c>
      <c r="S14" s="775">
        <f t="shared" si="0"/>
        <v>100</v>
      </c>
      <c r="T14" s="774" t="s">
        <v>17</v>
      </c>
      <c r="U14" s="775">
        <f t="shared" si="1"/>
        <v>100</v>
      </c>
      <c r="V14" s="774" t="s">
        <v>17</v>
      </c>
      <c r="W14" s="775">
        <f t="shared" si="2"/>
        <v>100</v>
      </c>
      <c r="X14" s="1813"/>
      <c r="Y14" s="3184"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5"/>
      <c r="Q15" s="1810"/>
      <c r="R15" s="774"/>
      <c r="S15" s="775"/>
      <c r="T15" s="774"/>
      <c r="U15" s="775"/>
      <c r="V15" s="774"/>
      <c r="W15" s="775"/>
      <c r="X15" s="1813"/>
      <c r="Y15" s="3185"/>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5"/>
      <c r="Q17" s="1810"/>
      <c r="R17" s="774"/>
      <c r="S17" s="775"/>
      <c r="T17" s="774"/>
      <c r="U17" s="775"/>
      <c r="V17" s="774"/>
      <c r="W17" s="775"/>
      <c r="X17" s="1813"/>
      <c r="Y17" s="3185"/>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5"/>
      <c r="Q19" s="1810"/>
      <c r="R19" s="774"/>
      <c r="S19" s="775"/>
      <c r="T19" s="774"/>
      <c r="U19" s="775"/>
      <c r="V19" s="774"/>
      <c r="W19" s="775"/>
      <c r="X19" s="1813"/>
      <c r="Y19" s="3185"/>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5"/>
      <c r="Q21" s="1810"/>
      <c r="R21" s="774"/>
      <c r="S21" s="775"/>
      <c r="T21" s="774"/>
      <c r="U21" s="775"/>
      <c r="V21" s="774"/>
      <c r="W21" s="775"/>
      <c r="X21" s="1813"/>
      <c r="Y21" s="3185"/>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10">
        <f t="shared" ref="Q24:Q36"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6"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7"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10" t="str">
        <f t="shared" si="11"/>
        <v>公共部分装修</v>
      </c>
      <c r="R28" s="774" t="s">
        <v>17</v>
      </c>
      <c r="S28" s="775">
        <f t="shared" si="12"/>
        <v>100</v>
      </c>
      <c r="T28" s="774" t="s">
        <v>17</v>
      </c>
      <c r="U28" s="775">
        <f t="shared" si="13"/>
        <v>100</v>
      </c>
      <c r="V28" s="774" t="s">
        <v>17</v>
      </c>
      <c r="W28" s="775">
        <f t="shared" si="14"/>
        <v>100</v>
      </c>
      <c r="X28" s="1813"/>
      <c r="Y28" s="3187"/>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10" t="str">
        <f t="shared" si="11"/>
        <v>成新率</v>
      </c>
      <c r="R29" s="774" t="s">
        <v>17</v>
      </c>
      <c r="S29" s="775" t="e">
        <f t="shared" si="12"/>
        <v>#N/A</v>
      </c>
      <c r="T29" s="774" t="s">
        <v>17</v>
      </c>
      <c r="U29" s="775" t="e">
        <f t="shared" si="13"/>
        <v>#N/A</v>
      </c>
      <c r="V29" s="774" t="s">
        <v>17</v>
      </c>
      <c r="W29" s="775" t="e">
        <f t="shared" si="14"/>
        <v>#N/A</v>
      </c>
      <c r="X29" s="1813"/>
      <c r="Y29" s="3187"/>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10" t="str">
        <f t="shared" si="11"/>
        <v>物业等级</v>
      </c>
      <c r="R30" s="774" t="s">
        <v>17</v>
      </c>
      <c r="S30" s="775">
        <f t="shared" si="12"/>
        <v>100</v>
      </c>
      <c r="T30" s="774" t="s">
        <v>17</v>
      </c>
      <c r="U30" s="775">
        <f t="shared" si="13"/>
        <v>100</v>
      </c>
      <c r="V30" s="774" t="s">
        <v>17</v>
      </c>
      <c r="W30" s="775">
        <f t="shared" si="14"/>
        <v>100</v>
      </c>
      <c r="X30" s="1813"/>
      <c r="Y30" s="3187"/>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5"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2563</v>
      </c>
      <c r="Q32" s="1810" t="str">
        <f t="shared" si="11"/>
        <v>车位类型</v>
      </c>
      <c r="R32" s="774" t="s">
        <v>17</v>
      </c>
      <c r="S32" s="775">
        <f t="shared" si="12"/>
        <v>100</v>
      </c>
      <c r="T32" s="774" t="s">
        <v>17</v>
      </c>
      <c r="U32" s="775">
        <f t="shared" si="13"/>
        <v>100</v>
      </c>
      <c r="V32" s="774" t="s">
        <v>17</v>
      </c>
      <c r="W32" s="775">
        <f t="shared" si="14"/>
        <v>100</v>
      </c>
      <c r="X32" s="1813"/>
      <c r="Y32" s="3187"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10" t="str">
        <f t="shared" si="11"/>
        <v>是否直接入户</v>
      </c>
      <c r="R33" s="774" t="s">
        <v>17</v>
      </c>
      <c r="S33" s="775">
        <f t="shared" si="12"/>
        <v>100</v>
      </c>
      <c r="T33" s="774" t="s">
        <v>17</v>
      </c>
      <c r="U33" s="775">
        <f t="shared" si="13"/>
        <v>100</v>
      </c>
      <c r="V33" s="774" t="s">
        <v>17</v>
      </c>
      <c r="W33" s="775">
        <f t="shared" si="14"/>
        <v>100</v>
      </c>
      <c r="X33" s="1813"/>
      <c r="Y33" s="318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10">
        <f t="shared" si="11"/>
        <v>111</v>
      </c>
      <c r="R36" s="774" t="s">
        <v>17</v>
      </c>
      <c r="S36" s="775">
        <f t="shared" si="12"/>
        <v>100</v>
      </c>
      <c r="T36" s="774" t="s">
        <v>17</v>
      </c>
      <c r="U36" s="775">
        <f t="shared" si="13"/>
        <v>100</v>
      </c>
      <c r="V36" s="774" t="s">
        <v>17</v>
      </c>
      <c r="W36" s="775">
        <f t="shared" si="14"/>
        <v>100</v>
      </c>
      <c r="X36" s="1813"/>
      <c r="Y36" s="3187"/>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2" t="str">
        <f>A37</f>
        <v>成交单价</v>
      </c>
      <c r="Q37" s="3182"/>
      <c r="R37" s="3270">
        <f>E37</f>
        <v>0</v>
      </c>
      <c r="S37" s="3270"/>
      <c r="T37" s="3270">
        <f>G37</f>
        <v>0</v>
      </c>
      <c r="U37" s="3270"/>
      <c r="V37" s="3270">
        <f>I37</f>
        <v>0</v>
      </c>
      <c r="W37" s="3270"/>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76" t="str">
        <f>A39</f>
        <v>估价对象XX用房的比较价值（楼面单价，元/平方米）</v>
      </c>
      <c r="Q39" s="3177"/>
      <c r="R39" s="3269" t="e">
        <f>IF(F1="售价",ROUND(AVERAGE(R38:V38),0),ROUND(AVERAGE(R38:V38),1))</f>
        <v>#DIV/0!</v>
      </c>
      <c r="S39" s="3269"/>
      <c r="T39" s="3269"/>
      <c r="U39" s="3269"/>
      <c r="V39" s="3269"/>
      <c r="W39" s="326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3"/>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14" t="s">
        <v>2544</v>
      </c>
      <c r="D6" s="3208"/>
      <c r="E6" s="3277" t="s">
        <v>2544</v>
      </c>
      <c r="F6" s="3216"/>
      <c r="G6" s="3214" t="s">
        <v>2544</v>
      </c>
      <c r="H6" s="3208"/>
      <c r="I6" s="3214" t="s">
        <v>2544</v>
      </c>
      <c r="J6" s="3208"/>
      <c r="K6" s="610" t="s">
        <v>2545</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2546</v>
      </c>
      <c r="B7" s="409"/>
      <c r="C7" s="410">
        <f>'数据-取费表'!B2</f>
        <v>43622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1" t="s">
        <v>2547</v>
      </c>
      <c r="Q7" s="3213"/>
      <c r="R7" s="770" t="s">
        <v>17</v>
      </c>
      <c r="S7" s="771">
        <f t="shared" ref="S7:S14" si="0">F7</f>
        <v>0</v>
      </c>
      <c r="T7" s="770" t="s">
        <v>17</v>
      </c>
      <c r="U7" s="771">
        <f t="shared" ref="U7:U14" si="1">H7</f>
        <v>0</v>
      </c>
      <c r="V7" s="770" t="s">
        <v>17</v>
      </c>
      <c r="W7" s="771">
        <f t="shared" ref="W7:W14"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2553</v>
      </c>
      <c r="Q9" s="1795"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2558</v>
      </c>
      <c r="Q14" s="1810" t="str">
        <f t="shared" si="6"/>
        <v>交通便捷度</v>
      </c>
      <c r="R14" s="774" t="s">
        <v>17</v>
      </c>
      <c r="S14" s="775">
        <f t="shared" si="0"/>
        <v>100</v>
      </c>
      <c r="T14" s="774" t="s">
        <v>17</v>
      </c>
      <c r="U14" s="775">
        <f t="shared" si="1"/>
        <v>100</v>
      </c>
      <c r="V14" s="774" t="s">
        <v>17</v>
      </c>
      <c r="W14" s="775">
        <f t="shared" si="2"/>
        <v>100</v>
      </c>
      <c r="X14" s="1813"/>
      <c r="Y14" s="3184"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5"/>
      <c r="Q15" s="1810"/>
      <c r="R15" s="774"/>
      <c r="S15" s="775"/>
      <c r="T15" s="774"/>
      <c r="U15" s="775"/>
      <c r="V15" s="774"/>
      <c r="W15" s="775"/>
      <c r="X15" s="1813"/>
      <c r="Y15" s="3185"/>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5"/>
      <c r="Q17" s="1810"/>
      <c r="R17" s="774"/>
      <c r="S17" s="775"/>
      <c r="T17" s="774"/>
      <c r="U17" s="775"/>
      <c r="V17" s="774"/>
      <c r="W17" s="775"/>
      <c r="X17" s="1813"/>
      <c r="Y17" s="3185"/>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5"/>
      <c r="Q19" s="1810"/>
      <c r="R19" s="774"/>
      <c r="S19" s="775"/>
      <c r="T19" s="774"/>
      <c r="U19" s="775"/>
      <c r="V19" s="774"/>
      <c r="W19" s="775"/>
      <c r="X19" s="1813"/>
      <c r="Y19" s="3185"/>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5"/>
      <c r="Q21" s="1810"/>
      <c r="R21" s="774"/>
      <c r="S21" s="775"/>
      <c r="T21" s="774"/>
      <c r="U21" s="775"/>
      <c r="V21" s="774"/>
      <c r="W21" s="775"/>
      <c r="X21" s="1813"/>
      <c r="Y21" s="3185"/>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10">
        <f t="shared" ref="Q24:Q34"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6"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7"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10" t="str">
        <f t="shared" si="11"/>
        <v>物业等级</v>
      </c>
      <c r="R28" s="774" t="s">
        <v>17</v>
      </c>
      <c r="S28" s="775">
        <f t="shared" si="12"/>
        <v>100</v>
      </c>
      <c r="T28" s="774" t="s">
        <v>17</v>
      </c>
      <c r="U28" s="775">
        <f t="shared" si="13"/>
        <v>100</v>
      </c>
      <c r="V28" s="774" t="s">
        <v>17</v>
      </c>
      <c r="W28" s="775">
        <f t="shared" si="14"/>
        <v>100</v>
      </c>
      <c r="X28" s="1813"/>
      <c r="Y28" s="3187"/>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10" t="str">
        <f t="shared" si="11"/>
        <v>有无电梯</v>
      </c>
      <c r="R29" s="774" t="s">
        <v>17</v>
      </c>
      <c r="S29" s="775">
        <f t="shared" si="12"/>
        <v>100</v>
      </c>
      <c r="T29" s="774" t="s">
        <v>17</v>
      </c>
      <c r="U29" s="775">
        <f t="shared" si="13"/>
        <v>100</v>
      </c>
      <c r="V29" s="774" t="s">
        <v>17</v>
      </c>
      <c r="W29" s="775">
        <f t="shared" si="14"/>
        <v>100</v>
      </c>
      <c r="X29" s="1813"/>
      <c r="Y29" s="3187"/>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10" t="str">
        <f t="shared" si="11"/>
        <v>建筑面积</v>
      </c>
      <c r="R30" s="774" t="s">
        <v>17</v>
      </c>
      <c r="S30" s="775" t="e">
        <f t="shared" si="12"/>
        <v>#N/A</v>
      </c>
      <c r="T30" s="774" t="s">
        <v>17</v>
      </c>
      <c r="U30" s="775" t="e">
        <f t="shared" si="13"/>
        <v>#N/A</v>
      </c>
      <c r="V30" s="774" t="s">
        <v>17</v>
      </c>
      <c r="W30" s="775" t="e">
        <f t="shared" si="14"/>
        <v>#N/A</v>
      </c>
      <c r="X30" s="1813"/>
      <c r="Y30" s="3187"/>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95"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2563</v>
      </c>
      <c r="Q32" s="1810">
        <f t="shared" si="11"/>
        <v>111</v>
      </c>
      <c r="R32" s="774" t="s">
        <v>17</v>
      </c>
      <c r="S32" s="775">
        <f t="shared" si="12"/>
        <v>100</v>
      </c>
      <c r="T32" s="774" t="s">
        <v>17</v>
      </c>
      <c r="U32" s="775">
        <f t="shared" si="13"/>
        <v>100</v>
      </c>
      <c r="V32" s="774" t="s">
        <v>17</v>
      </c>
      <c r="W32" s="775">
        <f t="shared" si="14"/>
        <v>100</v>
      </c>
      <c r="X32" s="1813"/>
      <c r="Y32" s="3187"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10">
        <f t="shared" si="11"/>
        <v>111</v>
      </c>
      <c r="R33" s="774" t="s">
        <v>17</v>
      </c>
      <c r="S33" s="775">
        <f t="shared" si="12"/>
        <v>100</v>
      </c>
      <c r="T33" s="774" t="s">
        <v>17</v>
      </c>
      <c r="U33" s="775">
        <f t="shared" si="13"/>
        <v>100</v>
      </c>
      <c r="V33" s="774" t="s">
        <v>17</v>
      </c>
      <c r="W33" s="775">
        <f t="shared" si="14"/>
        <v>100</v>
      </c>
      <c r="X33" s="1813"/>
      <c r="Y33" s="3187"/>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82" t="str">
        <f>A35</f>
        <v>成交单价（元/平方米）</v>
      </c>
      <c r="Q35" s="3182"/>
      <c r="R35" s="3270">
        <f>E35</f>
        <v>0</v>
      </c>
      <c r="S35" s="3270"/>
      <c r="T35" s="3270">
        <f>G35</f>
        <v>0</v>
      </c>
      <c r="U35" s="3270"/>
      <c r="V35" s="3270">
        <f>I35</f>
        <v>0</v>
      </c>
      <c r="W35" s="3270"/>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76" t="str">
        <f>A37</f>
        <v>估价对象XX用房的比较价值（楼面单价，元/平方米）</v>
      </c>
      <c r="Q37" s="3177"/>
      <c r="R37" s="3269" t="e">
        <f>IF(F1="售价",ROUND(AVERAGE(R36:V36),0),ROUND(AVERAGE(R36:V36),1))</f>
        <v>#DIV/0!</v>
      </c>
      <c r="S37" s="3269"/>
      <c r="T37" s="3269"/>
      <c r="U37" s="3269"/>
      <c r="V37" s="3269"/>
      <c r="W37" s="326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1"/>
      <c r="B4" s="2990" t="s">
        <v>1626</v>
      </c>
      <c r="C4" s="2990"/>
      <c r="D4" s="2990"/>
      <c r="E4" s="1961"/>
    </row>
    <row r="5" spans="1:5" ht="16.5" thickTop="1">
      <c r="A5" s="1959"/>
      <c r="B5" s="2988" t="s">
        <v>1618</v>
      </c>
      <c r="C5" s="1962" t="s">
        <v>1619</v>
      </c>
      <c r="D5" s="1040">
        <f ca="1">结果表!H101</f>
        <v>1028210</v>
      </c>
      <c r="E5" s="1959"/>
    </row>
    <row r="6" spans="1:5" ht="31.5">
      <c r="A6" s="1959"/>
      <c r="B6" s="2988"/>
      <c r="C6" s="1962" t="s">
        <v>1620</v>
      </c>
      <c r="D6" s="1040" t="str">
        <f ca="1">NUMBERSTRING(INT(D5*10000),2)&amp;"元整"</f>
        <v>壹佰零贰亿捌仟贰佰壹拾万元整</v>
      </c>
      <c r="E6" s="1959"/>
    </row>
    <row r="7" spans="1:5" ht="15.75">
      <c r="A7" s="1959"/>
      <c r="B7" s="2993"/>
      <c r="C7" s="1963" t="s">
        <v>1621</v>
      </c>
      <c r="D7" s="1041">
        <f ca="1">结果表!H102</f>
        <v>28177</v>
      </c>
      <c r="E7" s="1959"/>
    </row>
    <row r="8" spans="1:5" ht="15.75">
      <c r="A8" s="1959"/>
      <c r="B8" s="2994" t="str">
        <f>结果表!E103</f>
        <v>2.估价师知悉的法定优先受偿款</v>
      </c>
      <c r="C8" s="1964" t="s">
        <v>1622</v>
      </c>
      <c r="D8" s="1041">
        <f>结果表!H103</f>
        <v>0</v>
      </c>
      <c r="E8" s="1959"/>
    </row>
    <row r="9" spans="1:5" ht="15.75">
      <c r="A9" s="1959"/>
      <c r="B9" s="299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87" t="str">
        <f>结果表!E107</f>
        <v>3.房地产抵押价值</v>
      </c>
      <c r="C13" s="1967" t="s">
        <v>1619</v>
      </c>
      <c r="D13" s="1043">
        <f ca="1">结果表!H107</f>
        <v>1028210</v>
      </c>
      <c r="E13" s="1959"/>
    </row>
    <row r="14" spans="1:5" ht="31.5">
      <c r="A14" s="1959"/>
      <c r="B14" s="2988"/>
      <c r="C14" s="1962" t="s">
        <v>1620</v>
      </c>
      <c r="D14" s="1040" t="str">
        <f ca="1">NUMBERSTRING(INT(D13*10000),2)&amp;"元整"</f>
        <v>壹佰零贰亿捌仟贰佰壹拾万元整</v>
      </c>
      <c r="E14" s="1959"/>
    </row>
    <row r="15" spans="1:5" ht="15">
      <c r="A15" s="1959"/>
      <c r="B15" s="2993"/>
      <c r="C15" s="1963" t="s">
        <v>1630</v>
      </c>
      <c r="D15" s="1052">
        <f ca="1">结果表!H108</f>
        <v>28177</v>
      </c>
      <c r="E15" s="1959"/>
    </row>
    <row r="16" spans="1:5" ht="15">
      <c r="A16" s="1959"/>
      <c r="B16" s="2994" t="str">
        <f>结果表!E109</f>
        <v>——</v>
      </c>
      <c r="C16" s="1967" t="s">
        <v>1631</v>
      </c>
      <c r="D16" s="1968" t="str">
        <f>结果表!H109</f>
        <v>——</v>
      </c>
      <c r="E16" s="1959"/>
    </row>
    <row r="17" spans="1:5" ht="15.75">
      <c r="A17" s="1959"/>
      <c r="B17" s="2995"/>
      <c r="C17" s="1962" t="s">
        <v>1632</v>
      </c>
      <c r="D17" s="1040" t="e">
        <f>NUMBERSTRING(INT(D16*10000),2)&amp;"元整"</f>
        <v>#VALUE!</v>
      </c>
      <c r="E17" s="1959"/>
    </row>
    <row r="18" spans="1:5" ht="15">
      <c r="A18" s="1959"/>
      <c r="B18" s="2996"/>
      <c r="C18" s="1963" t="s">
        <v>1621</v>
      </c>
      <c r="D18" s="1052" t="str">
        <f>结果表!H110</f>
        <v>——</v>
      </c>
      <c r="E18" s="1959"/>
    </row>
    <row r="19" spans="1:5" ht="15.75">
      <c r="A19" s="1959"/>
      <c r="B19" s="2987" t="str">
        <f>结果表!E111</f>
        <v>——</v>
      </c>
      <c r="C19" s="1967" t="s">
        <v>1619</v>
      </c>
      <c r="D19" s="1041" t="str">
        <f>结果表!H111</f>
        <v>——</v>
      </c>
      <c r="E19" s="1959"/>
    </row>
    <row r="20" spans="1:5" ht="15.75">
      <c r="A20" s="1959"/>
      <c r="B20" s="2988"/>
      <c r="C20" s="1962" t="s">
        <v>1632</v>
      </c>
      <c r="D20" s="1040" t="e">
        <f>NUMBERSTRING(INT(D19*10000),2)&amp;"元整"</f>
        <v>#VALUE!</v>
      </c>
      <c r="E20" s="1959"/>
    </row>
    <row r="21" spans="1:5" ht="15.75" thickBot="1">
      <c r="A21" s="1959"/>
      <c r="B21" s="298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3"/>
      <c r="Y4" s="3201" t="s">
        <v>2649</v>
      </c>
      <c r="Z4" s="3202"/>
      <c r="AA4" s="3189" t="s">
        <v>2645</v>
      </c>
      <c r="AB4" s="3190" t="s">
        <v>2646</v>
      </c>
      <c r="AC4" s="3189" t="s">
        <v>2647</v>
      </c>
    </row>
    <row r="5" spans="1:29" ht="15">
      <c r="A5" s="404"/>
      <c r="B5" s="405"/>
      <c r="C5" s="3209" t="s">
        <v>2540</v>
      </c>
      <c r="D5" s="3210"/>
      <c r="E5" s="3217" t="s">
        <v>2541</v>
      </c>
      <c r="F5" s="3218"/>
      <c r="G5" s="3209" t="s">
        <v>2542</v>
      </c>
      <c r="H5" s="3210"/>
      <c r="I5" s="3209" t="s">
        <v>2543</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93" t="s">
        <v>2794</v>
      </c>
      <c r="D6" s="3294"/>
      <c r="E6" s="3295" t="s">
        <v>2794</v>
      </c>
      <c r="F6" s="3296"/>
      <c r="G6" s="3293" t="s">
        <v>2794</v>
      </c>
      <c r="H6" s="3294"/>
      <c r="I6" s="3293" t="s">
        <v>2794</v>
      </c>
      <c r="J6" s="3294"/>
      <c r="K6" s="610" t="s">
        <v>2545</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2546</v>
      </c>
      <c r="B7" s="409"/>
      <c r="C7" s="410">
        <f>'数据-取费表'!B2</f>
        <v>43622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2" t="s">
        <v>2553</v>
      </c>
      <c r="Q9" s="1795"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82"/>
      <c r="Q10" s="1795" t="str">
        <f t="shared" si="6"/>
        <v>土地使用年限（年）</v>
      </c>
      <c r="R10" s="770" t="s">
        <v>17</v>
      </c>
      <c r="S10" s="771">
        <f t="shared" si="0"/>
        <v>113</v>
      </c>
      <c r="T10" s="770" t="s">
        <v>17</v>
      </c>
      <c r="U10" s="771">
        <f t="shared" si="1"/>
        <v>113</v>
      </c>
      <c r="V10" s="770" t="s">
        <v>17</v>
      </c>
      <c r="W10" s="771">
        <f t="shared" si="2"/>
        <v>113</v>
      </c>
      <c r="X10" s="772"/>
      <c r="Y10" s="3030"/>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2558</v>
      </c>
      <c r="Q15" s="1810" t="str">
        <f t="shared" si="6"/>
        <v>产业集聚程度</v>
      </c>
      <c r="R15" s="774" t="s">
        <v>17</v>
      </c>
      <c r="S15" s="775">
        <f t="shared" si="0"/>
        <v>100</v>
      </c>
      <c r="T15" s="774" t="s">
        <v>17</v>
      </c>
      <c r="U15" s="775">
        <f t="shared" si="1"/>
        <v>100</v>
      </c>
      <c r="V15" s="774" t="s">
        <v>17</v>
      </c>
      <c r="W15" s="775">
        <f t="shared" si="2"/>
        <v>100</v>
      </c>
      <c r="X15" s="1813"/>
      <c r="Y15" s="3184"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10" t="str">
        <f t="shared" ref="Q19:Q33" si="8">B19</f>
        <v>区域土地利用方向</v>
      </c>
      <c r="R19" s="774" t="s">
        <v>17</v>
      </c>
      <c r="S19" s="775">
        <f>F19</f>
        <v>100</v>
      </c>
      <c r="T19" s="774" t="s">
        <v>17</v>
      </c>
      <c r="U19" s="775">
        <f>H19</f>
        <v>100</v>
      </c>
      <c r="V19" s="774" t="s">
        <v>17</v>
      </c>
      <c r="W19" s="775">
        <f>J19</f>
        <v>100</v>
      </c>
      <c r="X19" s="1813"/>
      <c r="Y19" s="3185"/>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5"/>
      <c r="Q20" s="1810"/>
      <c r="R20" s="774"/>
      <c r="S20" s="775"/>
      <c r="T20" s="774"/>
      <c r="U20" s="775"/>
      <c r="V20" s="774"/>
      <c r="W20" s="775"/>
      <c r="X20" s="1813"/>
      <c r="Y20" s="3185"/>
      <c r="Z20" s="1814"/>
      <c r="AA20" s="1811"/>
      <c r="AB20" s="1811"/>
      <c r="AC20" s="1811"/>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10" t="str">
        <f t="shared" si="8"/>
        <v>环境状况</v>
      </c>
      <c r="R21" s="774" t="s">
        <v>17</v>
      </c>
      <c r="S21" s="775">
        <f>F21</f>
        <v>100</v>
      </c>
      <c r="T21" s="774" t="s">
        <v>17</v>
      </c>
      <c r="U21" s="775">
        <f>H21</f>
        <v>100</v>
      </c>
      <c r="V21" s="774" t="s">
        <v>17</v>
      </c>
      <c r="W21" s="775">
        <f>J21</f>
        <v>100</v>
      </c>
      <c r="X21" s="1813"/>
      <c r="Y21" s="3185"/>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5" t="str">
        <f t="shared" si="8"/>
        <v>公共配套设施</v>
      </c>
      <c r="R23" s="770" t="s">
        <v>17</v>
      </c>
      <c r="S23" s="771">
        <f>F23</f>
        <v>100</v>
      </c>
      <c r="T23" s="770" t="s">
        <v>17</v>
      </c>
      <c r="U23" s="771">
        <f>H23</f>
        <v>100</v>
      </c>
      <c r="V23" s="770" t="s">
        <v>17</v>
      </c>
      <c r="W23" s="771">
        <f>J23</f>
        <v>100</v>
      </c>
      <c r="X23" s="772"/>
      <c r="Y23" s="3185"/>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5"/>
      <c r="Q24" s="1795"/>
      <c r="R24" s="770"/>
      <c r="S24" s="771"/>
      <c r="T24" s="770"/>
      <c r="U24" s="771"/>
      <c r="V24" s="770"/>
      <c r="W24" s="771"/>
      <c r="X24" s="772"/>
      <c r="Y24" s="3185"/>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5"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5"/>
      <c r="Q26" s="1795"/>
      <c r="R26" s="770"/>
      <c r="S26" s="771"/>
      <c r="T26" s="770"/>
      <c r="U26" s="771"/>
      <c r="V26" s="770"/>
      <c r="W26" s="771"/>
      <c r="X26" s="772"/>
      <c r="Y26" s="318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5"/>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10" t="str">
        <f t="shared" si="8"/>
        <v>毗邻道路的类型与等级</v>
      </c>
      <c r="R28" s="774" t="s">
        <v>17</v>
      </c>
      <c r="S28" s="775">
        <f t="shared" si="10"/>
        <v>100</v>
      </c>
      <c r="T28" s="774" t="s">
        <v>17</v>
      </c>
      <c r="U28" s="775">
        <f t="shared" si="11"/>
        <v>100</v>
      </c>
      <c r="V28" s="774" t="s">
        <v>17</v>
      </c>
      <c r="W28" s="775">
        <f t="shared" si="12"/>
        <v>100</v>
      </c>
      <c r="X28" s="1813"/>
      <c r="Y28" s="3185"/>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5"/>
      <c r="Q29" s="1810"/>
      <c r="R29" s="774"/>
      <c r="S29" s="775"/>
      <c r="T29" s="774"/>
      <c r="U29" s="775"/>
      <c r="V29" s="774"/>
      <c r="W29" s="775"/>
      <c r="X29" s="1813"/>
      <c r="Y29" s="3185"/>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10" t="str">
        <f t="shared" si="8"/>
        <v>土地级别</v>
      </c>
      <c r="R30" s="774" t="s">
        <v>17</v>
      </c>
      <c r="S30" s="775">
        <f t="shared" si="10"/>
        <v>100</v>
      </c>
      <c r="T30" s="774" t="s">
        <v>17</v>
      </c>
      <c r="U30" s="775">
        <f t="shared" si="11"/>
        <v>100</v>
      </c>
      <c r="V30" s="774" t="s">
        <v>17</v>
      </c>
      <c r="W30" s="775">
        <f t="shared" si="12"/>
        <v>100</v>
      </c>
      <c r="X30" s="1813"/>
      <c r="Y30" s="3185"/>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10">
        <f t="shared" si="8"/>
        <v>111</v>
      </c>
      <c r="R31" s="774" t="s">
        <v>17</v>
      </c>
      <c r="S31" s="775">
        <f t="shared" si="10"/>
        <v>100</v>
      </c>
      <c r="T31" s="774" t="s">
        <v>17</v>
      </c>
      <c r="U31" s="775">
        <f t="shared" si="11"/>
        <v>100</v>
      </c>
      <c r="V31" s="774" t="s">
        <v>17</v>
      </c>
      <c r="W31" s="775">
        <f t="shared" si="12"/>
        <v>100</v>
      </c>
      <c r="X31" s="1813"/>
      <c r="Y31" s="3185"/>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6" t="s">
        <v>2563</v>
      </c>
      <c r="Q32" s="1810">
        <f t="shared" si="8"/>
        <v>111</v>
      </c>
      <c r="R32" s="774" t="s">
        <v>17</v>
      </c>
      <c r="S32" s="775">
        <f t="shared" si="10"/>
        <v>100</v>
      </c>
      <c r="T32" s="774" t="s">
        <v>17</v>
      </c>
      <c r="U32" s="775">
        <f t="shared" si="11"/>
        <v>100</v>
      </c>
      <c r="V32" s="774" t="s">
        <v>17</v>
      </c>
      <c r="W32" s="775">
        <f t="shared" si="12"/>
        <v>100</v>
      </c>
      <c r="X32" s="1813"/>
      <c r="Y32" s="3187"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10">
        <f t="shared" si="8"/>
        <v>111</v>
      </c>
      <c r="R33" s="777" t="s">
        <v>17</v>
      </c>
      <c r="S33" s="778">
        <f t="shared" si="10"/>
        <v>100</v>
      </c>
      <c r="T33" s="777" t="s">
        <v>17</v>
      </c>
      <c r="U33" s="778">
        <f t="shared" si="11"/>
        <v>100</v>
      </c>
      <c r="V33" s="777" t="s">
        <v>17</v>
      </c>
      <c r="W33" s="778">
        <f t="shared" si="12"/>
        <v>100</v>
      </c>
      <c r="X33" s="779"/>
      <c r="Y33" s="3187"/>
      <c r="Z33" s="780">
        <f t="shared" si="13"/>
        <v>111</v>
      </c>
      <c r="AA33" s="1811">
        <f t="shared" si="3"/>
        <v>1</v>
      </c>
      <c r="AB33" s="1811">
        <f t="shared" si="4"/>
        <v>1</v>
      </c>
      <c r="AC33" s="1811">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10" t="str">
        <f>B34</f>
        <v>宗地面积</v>
      </c>
      <c r="R34" s="774" t="s">
        <v>17</v>
      </c>
      <c r="S34" s="775" t="e">
        <f t="shared" si="10"/>
        <v>#N/A</v>
      </c>
      <c r="T34" s="774" t="s">
        <v>17</v>
      </c>
      <c r="U34" s="775" t="e">
        <f t="shared" si="11"/>
        <v>#N/A</v>
      </c>
      <c r="V34" s="774" t="s">
        <v>17</v>
      </c>
      <c r="W34" s="775" t="e">
        <f t="shared" si="12"/>
        <v>#N/A</v>
      </c>
      <c r="X34" s="1813"/>
      <c r="Y34" s="3187"/>
      <c r="Z34" s="1814" t="str">
        <f t="shared" si="13"/>
        <v>宗地面积</v>
      </c>
      <c r="AA34" s="1811" t="e">
        <f t="shared" si="3"/>
        <v>#N/A</v>
      </c>
      <c r="AB34" s="1811" t="e">
        <f t="shared" si="4"/>
        <v>#N/A</v>
      </c>
      <c r="AC34" s="1811"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7"/>
      <c r="Q35" s="1810" t="str">
        <f t="shared" ref="Q35:Q40" si="14">B35</f>
        <v>宗地形状</v>
      </c>
      <c r="R35" s="774" t="s">
        <v>17</v>
      </c>
      <c r="S35" s="775">
        <f t="shared" si="10"/>
        <v>100</v>
      </c>
      <c r="T35" s="774" t="s">
        <v>17</v>
      </c>
      <c r="U35" s="775">
        <f t="shared" si="11"/>
        <v>100</v>
      </c>
      <c r="V35" s="774" t="s">
        <v>17</v>
      </c>
      <c r="W35" s="775">
        <f t="shared" si="12"/>
        <v>100</v>
      </c>
      <c r="X35" s="1813"/>
      <c r="Y35" s="3187"/>
      <c r="Z35" s="1814" t="str">
        <f t="shared" si="13"/>
        <v>宗地形状</v>
      </c>
      <c r="AA35" s="1811">
        <f t="shared" si="3"/>
        <v>1</v>
      </c>
      <c r="AB35" s="1811">
        <f t="shared" si="4"/>
        <v>1</v>
      </c>
      <c r="AC35" s="1811">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7"/>
      <c r="Q36" s="1810"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7" t="s">
        <v>2563</v>
      </c>
      <c r="Q37" s="1810" t="str">
        <f t="shared" si="14"/>
        <v>工程地质条件</v>
      </c>
      <c r="R37" s="774" t="s">
        <v>17</v>
      </c>
      <c r="S37" s="775">
        <f t="shared" si="10"/>
        <v>100</v>
      </c>
      <c r="T37" s="774" t="s">
        <v>17</v>
      </c>
      <c r="U37" s="775">
        <f t="shared" si="11"/>
        <v>100</v>
      </c>
      <c r="V37" s="774" t="s">
        <v>17</v>
      </c>
      <c r="W37" s="775">
        <f t="shared" si="12"/>
        <v>100</v>
      </c>
      <c r="X37" s="1813"/>
      <c r="Y37" s="3187"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10">
        <f t="shared" si="14"/>
        <v>111</v>
      </c>
      <c r="R38" s="774" t="s">
        <v>17</v>
      </c>
      <c r="S38" s="775">
        <f t="shared" si="10"/>
        <v>100</v>
      </c>
      <c r="T38" s="774" t="s">
        <v>17</v>
      </c>
      <c r="U38" s="775">
        <f t="shared" si="11"/>
        <v>100</v>
      </c>
      <c r="V38" s="774" t="s">
        <v>17</v>
      </c>
      <c r="W38" s="775">
        <f t="shared" si="12"/>
        <v>100</v>
      </c>
      <c r="X38" s="1813"/>
      <c r="Y38" s="318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10">
        <f t="shared" si="14"/>
        <v>111</v>
      </c>
      <c r="R39" s="774" t="s">
        <v>17</v>
      </c>
      <c r="S39" s="775">
        <f t="shared" si="10"/>
        <v>100</v>
      </c>
      <c r="T39" s="774" t="s">
        <v>17</v>
      </c>
      <c r="U39" s="775">
        <f t="shared" si="11"/>
        <v>100</v>
      </c>
      <c r="V39" s="774" t="s">
        <v>17</v>
      </c>
      <c r="W39" s="775">
        <f t="shared" si="12"/>
        <v>100</v>
      </c>
      <c r="X39" s="1813"/>
      <c r="Y39" s="3187"/>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10">
        <f t="shared" si="14"/>
        <v>111</v>
      </c>
      <c r="R40" s="777" t="s">
        <v>17</v>
      </c>
      <c r="S40" s="778">
        <f t="shared" si="10"/>
        <v>100</v>
      </c>
      <c r="T40" s="777" t="s">
        <v>17</v>
      </c>
      <c r="U40" s="778">
        <f t="shared" si="11"/>
        <v>100</v>
      </c>
      <c r="V40" s="777" t="s">
        <v>17</v>
      </c>
      <c r="W40" s="778">
        <f t="shared" si="12"/>
        <v>100</v>
      </c>
      <c r="X40" s="779"/>
      <c r="Y40" s="3187"/>
      <c r="Z40" s="780">
        <f t="shared" si="13"/>
        <v>111</v>
      </c>
      <c r="AA40" s="1811">
        <f t="shared" si="3"/>
        <v>1</v>
      </c>
      <c r="AB40" s="1811">
        <f t="shared" si="4"/>
        <v>1</v>
      </c>
      <c r="AC40" s="1811">
        <f t="shared" si="5"/>
        <v>1</v>
      </c>
    </row>
    <row r="41" spans="1:29" ht="15">
      <c r="A41" s="479" t="s">
        <v>2718</v>
      </c>
      <c r="B41" s="2704" t="s">
        <v>2797</v>
      </c>
      <c r="C41" s="682" t="s">
        <v>1</v>
      </c>
      <c r="D41" s="481"/>
      <c r="E41" s="482"/>
      <c r="F41" s="483"/>
      <c r="G41" s="484"/>
      <c r="H41" s="485"/>
      <c r="I41" s="482"/>
      <c r="J41" s="485"/>
      <c r="K41" s="783"/>
      <c r="L41" s="1143"/>
      <c r="M41" s="1131"/>
      <c r="N41" s="1131"/>
      <c r="O41" s="1144"/>
      <c r="P41" s="3182" t="str">
        <f>A41</f>
        <v>成交单价</v>
      </c>
      <c r="Q41" s="3182"/>
      <c r="R41" s="3188">
        <f>E41</f>
        <v>0</v>
      </c>
      <c r="S41" s="3188"/>
      <c r="T41" s="3188">
        <f>G41</f>
        <v>0</v>
      </c>
      <c r="U41" s="3188"/>
      <c r="V41" s="3188">
        <f>I41</f>
        <v>0</v>
      </c>
      <c r="W41" s="318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175" t="e">
        <f>ROUND(PRODUCT(R41,AA7:AA40),0)</f>
        <v>#DIV/0!</v>
      </c>
      <c r="S42" s="3175"/>
      <c r="T42" s="3175" t="e">
        <f>ROUND(PRODUCT(T41,AB7:AB40),0)</f>
        <v>#DIV/0!</v>
      </c>
      <c r="U42" s="3175"/>
      <c r="V42" s="3175" t="e">
        <f>ROUND(PRODUCT(V41,AC7:AC40),0)</f>
        <v>#DIV/0!</v>
      </c>
      <c r="W42" s="317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76" t="str">
        <f>A43</f>
        <v>估价对象XX用房的比较价值（楼面单价，元/平方米）</v>
      </c>
      <c r="Q43" s="3177"/>
      <c r="R43" s="3178" t="e">
        <f>ROUND(AVERAGE(R42:V42),0)</f>
        <v>#DIV/0!</v>
      </c>
      <c r="S43" s="3178"/>
      <c r="T43" s="3178"/>
      <c r="U43" s="3178"/>
      <c r="V43" s="3178"/>
      <c r="W43" s="31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5" t="s">
        <v>2757</v>
      </c>
      <c r="D50" s="2706" t="s">
        <v>2758</v>
      </c>
      <c r="E50" s="686" t="s">
        <v>2759</v>
      </c>
      <c r="F50" s="687" t="s">
        <v>2760</v>
      </c>
      <c r="G50" s="3179" t="s">
        <v>2761</v>
      </c>
      <c r="H50" s="3180"/>
      <c r="I50" s="1814" t="s">
        <v>2798</v>
      </c>
      <c r="J50" s="1814">
        <f>项目基本情况!F35</f>
        <v>0</v>
      </c>
      <c r="K50" s="2708" t="s">
        <v>2763</v>
      </c>
      <c r="L50" s="1106"/>
      <c r="M50" s="1144"/>
      <c r="N50" s="1144"/>
      <c r="O50" s="1144"/>
    </row>
    <row r="51" spans="1:17" s="692" customFormat="1">
      <c r="A51" s="688" t="s">
        <v>2764</v>
      </c>
      <c r="B51" s="689" t="e">
        <f>C43</f>
        <v>#DIV/0!</v>
      </c>
      <c r="C51" s="690">
        <v>1</v>
      </c>
      <c r="D51" s="1163">
        <v>1</v>
      </c>
      <c r="E51" s="690">
        <f>'数据-汇总表'!E8+'数据-汇总表'!E9</f>
        <v>252487.32</v>
      </c>
      <c r="F51" s="691" t="e">
        <f t="shared" ref="F51:F60" si="15">ROUND(B51*E51/10000,0)</f>
        <v>#DIV/0!</v>
      </c>
      <c r="G51" s="3181"/>
      <c r="H51" s="3182"/>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183" t="s">
        <v>2766</v>
      </c>
      <c r="H52" s="1104" t="str">
        <f>项目基本情况!B37</f>
        <v>五级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183"/>
      <c r="H53" s="1104" t="str">
        <f>项目基本情况!B37</f>
        <v>五级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183"/>
      <c r="H54" s="1104" t="str">
        <f>项目基本情况!B37</f>
        <v>五级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183"/>
      <c r="H55" s="1104" t="str">
        <f>项目基本情况!B37</f>
        <v>五级</v>
      </c>
      <c r="I55" s="942">
        <f>SUMIF(修正!A45:A56,H55,修正!E45:E56)</f>
        <v>0.25</v>
      </c>
      <c r="J55" s="943"/>
      <c r="K55" s="1145"/>
      <c r="L55" s="941"/>
      <c r="M55" s="941"/>
      <c r="N55" s="941"/>
      <c r="O55" s="941"/>
    </row>
    <row r="56" spans="1:17" s="692" customFormat="1">
      <c r="A56" s="693" t="s">
        <v>2770</v>
      </c>
      <c r="B56" s="262" t="e">
        <f t="shared" si="17"/>
        <v>#DIV/0!</v>
      </c>
      <c r="C56" s="200">
        <f t="shared" si="16"/>
        <v>0.25</v>
      </c>
      <c r="D56" s="1164">
        <v>0.25</v>
      </c>
      <c r="E56" s="261">
        <f>'数据-汇总表'!E11</f>
        <v>0</v>
      </c>
      <c r="F56" s="691" t="e">
        <f t="shared" si="15"/>
        <v>#DIV/0!</v>
      </c>
      <c r="G56" s="2709" t="s">
        <v>2771</v>
      </c>
      <c r="H56" s="1104" t="str">
        <f>项目基本情况!C37</f>
        <v>五级</v>
      </c>
      <c r="I56" s="942">
        <f>SUMIF(修正!A45:A56,H56,修正!F45:F56)</f>
        <v>0.25</v>
      </c>
      <c r="J56" s="943"/>
      <c r="K56" s="1144"/>
      <c r="L56" s="941"/>
      <c r="M56" s="941"/>
      <c r="N56" s="941"/>
      <c r="O56" s="941"/>
    </row>
    <row r="57" spans="1:17" s="692" customFormat="1">
      <c r="A57" s="693" t="s">
        <v>2772</v>
      </c>
      <c r="B57" s="262" t="e">
        <f t="shared" si="17"/>
        <v>#DIV/0!</v>
      </c>
      <c r="C57" s="200">
        <f t="shared" si="16"/>
        <v>0.25</v>
      </c>
      <c r="D57" s="1164">
        <v>0.25</v>
      </c>
      <c r="E57" s="261">
        <f>'数据-汇总表'!E12</f>
        <v>27732.94</v>
      </c>
      <c r="F57" s="691" t="e">
        <f t="shared" si="15"/>
        <v>#DIV/0!</v>
      </c>
      <c r="G57" s="1109" t="s">
        <v>2773</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2774</v>
      </c>
      <c r="B58" s="262" t="e">
        <f t="shared" si="17"/>
        <v>#DIV/0!</v>
      </c>
      <c r="C58" s="200">
        <f t="shared" si="16"/>
        <v>0.2</v>
      </c>
      <c r="D58" s="1164">
        <v>0.25</v>
      </c>
      <c r="E58" s="261">
        <f>'数据-汇总表'!E13</f>
        <v>84685.74</v>
      </c>
      <c r="F58" s="691" t="e">
        <f t="shared" si="15"/>
        <v>#DIV/0!</v>
      </c>
      <c r="G58" s="1109" t="s">
        <v>2775</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09" t="s">
        <v>2766</v>
      </c>
      <c r="H59" s="1104" t="str">
        <f>项目基本情况!B37</f>
        <v>五级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0.2</v>
      </c>
      <c r="D60" s="1164">
        <v>0.25</v>
      </c>
      <c r="E60" s="261">
        <f>'数据-汇总表'!E15</f>
        <v>0</v>
      </c>
      <c r="F60" s="691" t="e">
        <f t="shared" si="15"/>
        <v>#DIV/0!</v>
      </c>
      <c r="G60" s="2710" t="s">
        <v>2771</v>
      </c>
      <c r="H60" s="1114" t="str">
        <f>项目基本情况!C37</f>
        <v>五级</v>
      </c>
      <c r="I60" s="942">
        <f>SUMIF(修正!A45:A56,H60,修正!H45:H56)</f>
        <v>0.2</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48267.47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2799</v>
      </c>
      <c r="B66" s="332" t="str">
        <f>"北京市平均增长率"&amp;TEXT('基准地价修正（商业）'!P24,"0.00%")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SUMPRODUCT((A105:A204=ROUNDDOWN('基准地价修正（商业）'!G3,1))*(B104:M104='基准地价修正（商业）'!G2)*(B105:M204))</f>
        <v>0.81359999999999999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E1"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3" t="s">
        <v>1146</v>
      </c>
      <c r="C1" s="3303"/>
      <c r="D1" s="3303"/>
      <c r="E1" s="3303"/>
      <c r="F1" s="3303"/>
      <c r="G1" s="3302" t="s">
        <v>1147</v>
      </c>
      <c r="H1" s="3302"/>
      <c r="I1" s="3302"/>
      <c r="J1" s="3302"/>
      <c r="K1" s="3302"/>
      <c r="L1" s="3302"/>
      <c r="N1" s="3302" t="s">
        <v>1148</v>
      </c>
      <c r="O1" s="3302"/>
      <c r="P1" s="3302"/>
      <c r="Q1" s="3302"/>
      <c r="R1" s="1446"/>
      <c r="S1" s="3302" t="s">
        <v>1149</v>
      </c>
      <c r="T1" s="3302"/>
      <c r="U1" s="3302"/>
      <c r="V1" s="3302"/>
      <c r="X1" s="3301" t="s">
        <v>1150</v>
      </c>
      <c r="Y1" s="3302"/>
      <c r="Z1" s="3302"/>
      <c r="AA1" s="3302"/>
      <c r="AB1" s="3302"/>
      <c r="AD1" s="3301" t="s">
        <v>1151</v>
      </c>
      <c r="AE1" s="3302"/>
      <c r="AF1" s="3302"/>
      <c r="AG1" s="3302"/>
      <c r="AH1" s="330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3034</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3035</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9">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3030</v>
      </c>
      <c r="B11" s="1469">
        <v>439</v>
      </c>
      <c r="C11" s="1469">
        <v>327</v>
      </c>
      <c r="D11" s="1469">
        <f>C11</f>
        <v>327</v>
      </c>
      <c r="E11" s="1469">
        <v>627</v>
      </c>
      <c r="F11" s="1470">
        <v>283</v>
      </c>
      <c r="G11" s="330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0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0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0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0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0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0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0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0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0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0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0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0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0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0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0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10" t="s">
        <v>3002</v>
      </c>
      <c r="D1" s="3311"/>
      <c r="E1" s="3311"/>
      <c r="F1" s="3311"/>
      <c r="G1" s="3311"/>
      <c r="H1" s="3311"/>
      <c r="I1" s="3311"/>
      <c r="J1" s="3311"/>
      <c r="K1" s="3311"/>
      <c r="L1" s="3311"/>
      <c r="M1" s="3311"/>
      <c r="N1" s="3311"/>
      <c r="O1" s="3311"/>
      <c r="P1" s="3311"/>
      <c r="Q1" s="3311"/>
      <c r="R1" s="3311"/>
      <c r="S1" s="3312"/>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1" t="s">
        <v>3015</v>
      </c>
      <c r="E20" s="1793"/>
      <c r="F20" s="1204" t="e">
        <f ca="1">SUMIF(INDIRECT("'"&amp;H20&amp;"'"&amp;"!A:A"),"承租人权益价值",INDIRECT("'"&amp;H20&amp;"'"&amp;"!c:c"))</f>
        <v>#REF!</v>
      </c>
      <c r="G20" s="1204" t="s">
        <v>3016</v>
      </c>
      <c r="H20" s="2912"/>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67" t="s">
        <v>33</v>
      </c>
      <c r="D22" s="3168"/>
      <c r="E22" s="3168"/>
      <c r="F22" s="3168"/>
      <c r="G22" s="3168"/>
      <c r="H22" s="3168"/>
      <c r="I22" s="3168"/>
      <c r="J22" s="3168"/>
      <c r="K22" s="3168"/>
      <c r="L22" s="3168"/>
      <c r="M22" s="3168"/>
      <c r="N22" s="3168"/>
      <c r="O22" s="3168"/>
      <c r="P22" s="3168"/>
      <c r="Q22" s="3309"/>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205593</v>
      </c>
      <c r="C2" s="2" t="s">
        <v>133</v>
      </c>
      <c r="D2" s="243"/>
      <c r="E2" s="243"/>
      <c r="F2" s="243"/>
      <c r="G2" s="243"/>
    </row>
    <row r="3" spans="1:7" s="244" customFormat="1" ht="18" customHeight="1" thickBot="1">
      <c r="A3" s="247" t="s">
        <v>85</v>
      </c>
      <c r="B3" s="248">
        <f ca="1">ROUND(B2*10000/'数据-汇总表'!E3,0)</f>
        <v>5634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7298</v>
      </c>
      <c r="D10" s="1032">
        <f>'数据-汇总表'!E6</f>
        <v>364906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7298</v>
      </c>
      <c r="D19" s="1036">
        <f>'数据-汇总表'!E3</f>
        <v>364906</v>
      </c>
      <c r="E19" s="255">
        <f>'数据-取费表'!B31</f>
        <v>200</v>
      </c>
      <c r="F19" s="275"/>
      <c r="G19" s="1" t="s">
        <v>1071</v>
      </c>
    </row>
    <row r="20" spans="1:7" s="258" customFormat="1" ht="13.5" customHeight="1">
      <c r="A20" s="948" t="s">
        <v>1054</v>
      </c>
      <c r="B20" s="254" t="s">
        <v>104</v>
      </c>
      <c r="C20" s="276">
        <f>ROUND((C5+C19)*F20,0)</f>
        <v>558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3466</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2535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898</v>
      </c>
      <c r="D24" s="282"/>
      <c r="E24" s="282"/>
      <c r="F24" s="283"/>
      <c r="G24" s="284" t="s">
        <v>109</v>
      </c>
    </row>
    <row r="25" spans="1:7" s="258" customFormat="1" ht="24">
      <c r="A25" s="951" t="s">
        <v>793</v>
      </c>
      <c r="B25" s="259" t="s">
        <v>1055</v>
      </c>
      <c r="C25" s="1355">
        <f ca="1">ROUND(IF('数据-取费表'!B22&lt;=1,C20*F22*'数据-取费表'!B23/2,C20*(POWER((1+F22),'数据-取费表'!B23/2)-1)),0)</f>
        <v>33</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4839</v>
      </c>
      <c r="D27" s="279">
        <f>C29</f>
        <v>3.3999999999999998E-3</v>
      </c>
      <c r="E27" s="280" t="s">
        <v>126</v>
      </c>
      <c r="F27" s="290">
        <f>'数据-取费表'!Q16</f>
        <v>0.17</v>
      </c>
      <c r="G27" s="291" t="s">
        <v>1066</v>
      </c>
    </row>
    <row r="28" spans="1:7" s="258" customFormat="1" ht="13.5" customHeight="1">
      <c r="A28" s="951" t="s">
        <v>794</v>
      </c>
      <c r="B28" s="292" t="s">
        <v>1059</v>
      </c>
      <c r="C28" s="293">
        <f>ROUND((C5+C19+C20)*F27*'数据-取费表'!B21/'数据-取费表'!B20,0)</f>
        <v>4839</v>
      </c>
      <c r="D28" s="279"/>
      <c r="E28" s="280"/>
      <c r="F28" s="290"/>
      <c r="G28" s="291"/>
    </row>
    <row r="29" spans="1:7" s="258" customFormat="1" ht="13.5" customHeight="1">
      <c r="A29" s="951" t="s">
        <v>792</v>
      </c>
      <c r="B29" s="292" t="s">
        <v>1060</v>
      </c>
      <c r="C29" s="282">
        <f>ROUND(C21*F27*'数据-取费表'!B21/'数据-取费表'!B20,4)</f>
        <v>3.3999999999999998E-3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39879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143317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127717</v>
      </c>
      <c r="D34" s="261"/>
      <c r="E34" s="264"/>
      <c r="F34" s="301">
        <f>IF('数据-取费表'!B24=0,1,'数据-取费表'!N16)</f>
        <v>1</v>
      </c>
      <c r="G34" s="263" t="s">
        <v>116</v>
      </c>
    </row>
    <row r="35" spans="1:7" ht="13.5" customHeight="1">
      <c r="A35" s="951" t="s">
        <v>796</v>
      </c>
      <c r="B35" s="259" t="s">
        <v>60</v>
      </c>
      <c r="C35" s="264">
        <f>ROUND(C34*F35,0)</f>
        <v>6386</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7298</v>
      </c>
      <c r="D37" s="261">
        <f>'数据-汇总表'!E3</f>
        <v>364906</v>
      </c>
      <c r="E37" s="293">
        <f>'数据-取费表'!B35</f>
        <v>200</v>
      </c>
      <c r="F37" s="303"/>
      <c r="G37" s="305" t="s">
        <v>119</v>
      </c>
    </row>
    <row r="38" spans="1:7" ht="13.5" customHeight="1">
      <c r="A38" s="951" t="s">
        <v>799</v>
      </c>
      <c r="B38" s="259" t="s">
        <v>63</v>
      </c>
      <c r="C38" s="264">
        <f>ROUND(C34*F38,0)</f>
        <v>1916</v>
      </c>
      <c r="D38" s="264"/>
      <c r="E38" s="264"/>
      <c r="F38" s="303">
        <f>'数据-取费表'!B36</f>
        <v>1.4999999999999999E-2</v>
      </c>
      <c r="G38" s="263" t="s">
        <v>117</v>
      </c>
    </row>
    <row r="39" spans="1:7" s="258" customFormat="1" ht="13.5" customHeight="1">
      <c r="A39" s="948" t="s">
        <v>783</v>
      </c>
      <c r="B39" s="254" t="s">
        <v>104</v>
      </c>
      <c r="C39" s="276">
        <f>ROUND(C33*F20,0)</f>
        <v>2866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8730</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8559</v>
      </c>
      <c r="D42" s="282"/>
      <c r="E42" s="282"/>
      <c r="F42" s="283"/>
      <c r="G42" s="3172" t="s">
        <v>121</v>
      </c>
    </row>
    <row r="43" spans="1:7" ht="13.5" customHeight="1">
      <c r="A43" s="951" t="s">
        <v>792</v>
      </c>
      <c r="B43" s="259" t="s">
        <v>1061</v>
      </c>
      <c r="C43" s="282">
        <f ca="1">ROUND(IF('数据-取费表'!B22&lt;=1,C39*F22*'数据-取费表'!B21/2,C39*(POWER((1+F22),'数据-取费表'!B21/2)-1)),0)</f>
        <v>171</v>
      </c>
      <c r="D43" s="282"/>
      <c r="E43" s="282"/>
      <c r="F43" s="283"/>
      <c r="G43" s="3173"/>
    </row>
    <row r="44" spans="1:7" ht="13.5" customHeight="1">
      <c r="A44" s="951" t="s">
        <v>793</v>
      </c>
      <c r="B44" s="259" t="s">
        <v>1063</v>
      </c>
      <c r="C44" s="282">
        <f ca="1">ROUND(IF('数据-取费表'!B22&lt;=1,C40*F22*'数据-取费表'!B21/2,C40*(POWER((1+F22),'数据-取费表'!B21/2)-1)),4)</f>
        <v>1.1999999999999999E-3</v>
      </c>
      <c r="D44" s="282"/>
      <c r="E44" s="282"/>
      <c r="F44" s="283"/>
      <c r="G44" s="3174"/>
    </row>
    <row r="45" spans="1:7" s="258" customFormat="1" ht="13.5" customHeight="1">
      <c r="A45" s="948" t="s">
        <v>786</v>
      </c>
      <c r="B45" s="288" t="s">
        <v>112</v>
      </c>
      <c r="C45" s="289">
        <f>C46</f>
        <v>24851</v>
      </c>
      <c r="D45" s="279">
        <f>C47</f>
        <v>3.3999999999999998E-3</v>
      </c>
      <c r="E45" s="280" t="s">
        <v>129</v>
      </c>
      <c r="F45" s="290"/>
      <c r="G45" s="291" t="s">
        <v>1069</v>
      </c>
    </row>
    <row r="46" spans="1:7" s="258" customFormat="1" ht="13.5" customHeight="1">
      <c r="A46" s="951" t="s">
        <v>794</v>
      </c>
      <c r="B46" s="292" t="s">
        <v>1062</v>
      </c>
      <c r="C46" s="293">
        <f>ROUND((C33+C39)*F27,0)</f>
        <v>24851</v>
      </c>
      <c r="D46" s="307"/>
      <c r="E46" s="280"/>
      <c r="F46" s="290"/>
      <c r="G46" s="291"/>
    </row>
    <row r="47" spans="1:7" s="258" customFormat="1" ht="13.5" customHeight="1">
      <c r="A47" s="951" t="s">
        <v>792</v>
      </c>
      <c r="B47" s="292" t="s">
        <v>1064</v>
      </c>
      <c r="C47" s="282">
        <f>ROUND(C40*F27,4)</f>
        <v>3.3999999999999998E-3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194958</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165714</v>
      </c>
      <c r="D51" s="276"/>
      <c r="E51" s="276"/>
      <c r="F51" s="308"/>
      <c r="G51" s="278" t="s">
        <v>64</v>
      </c>
    </row>
    <row r="52" spans="1:7" s="252" customFormat="1" ht="16.5" thickBot="1">
      <c r="A52" s="309" t="s">
        <v>65</v>
      </c>
      <c r="B52" s="310"/>
      <c r="C52" s="311">
        <f ca="1">C31+C51</f>
        <v>205593</v>
      </c>
      <c r="D52" s="310"/>
      <c r="E52" s="310"/>
      <c r="F52" s="310"/>
      <c r="G52" s="312"/>
    </row>
    <row r="55" spans="1:7" ht="15">
      <c r="B55" s="314" t="s">
        <v>66</v>
      </c>
      <c r="C55" s="315"/>
    </row>
    <row r="56" spans="1:7">
      <c r="B56" s="317" t="s">
        <v>67</v>
      </c>
      <c r="C56" s="318">
        <f ca="1">ROUND(C51/C52,3)</f>
        <v>0.80600000000000005</v>
      </c>
    </row>
    <row r="57" spans="1:7">
      <c r="B57" s="317" t="s">
        <v>68</v>
      </c>
      <c r="C57" s="319">
        <f ca="1">1-C56</f>
        <v>0.19399999999999995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868</v>
      </c>
      <c r="B1" s="331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43622</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结果表!D116</f>
        <v>出让国有建设用地使用权价值</v>
      </c>
      <c r="E2" s="3007"/>
      <c r="F2" s="3007" t="str">
        <f>结果表!F116</f>
        <v>建筑物价值</v>
      </c>
      <c r="G2" s="3007"/>
      <c r="H2" s="3007" t="str">
        <f>IF(项目基本情况!B9="房地产市场价值","房地产市场价值","房地产价值")</f>
        <v>房地产价值</v>
      </c>
      <c r="I2" s="3007"/>
    </row>
    <row r="3" spans="1:9" ht="15">
      <c r="A3" s="3001"/>
      <c r="B3" s="3001"/>
      <c r="C3" s="3001"/>
      <c r="D3" s="1044" t="s">
        <v>1634</v>
      </c>
      <c r="E3" s="1044" t="s">
        <v>1640</v>
      </c>
      <c r="F3" s="1044" t="s">
        <v>1634</v>
      </c>
      <c r="G3" s="1044" t="s">
        <v>1635</v>
      </c>
      <c r="H3" s="1044" t="s">
        <v>1634</v>
      </c>
      <c r="I3" s="1044" t="s">
        <v>1635</v>
      </c>
    </row>
    <row r="4" spans="1:9" ht="30">
      <c r="A4" s="1973" t="str">
        <f>项目基本情况!S2</f>
        <v>北京市丰台区南四环西路182号房地产</v>
      </c>
      <c r="B4" s="1044">
        <f>项目基本情况!C17</f>
        <v>364906</v>
      </c>
      <c r="C4" s="1044">
        <f>项目基本情况!C18</f>
        <v>48267.47</v>
      </c>
      <c r="D4" s="1044">
        <f ca="1">结果表!D118</f>
        <v>891458</v>
      </c>
      <c r="E4" s="1044">
        <f ca="1">结果表!E118</f>
        <v>24429</v>
      </c>
      <c r="F4" s="1044">
        <f ca="1">结果表!F118</f>
        <v>136752</v>
      </c>
      <c r="G4" s="1044">
        <f ca="1">结果表!G118</f>
        <v>3748</v>
      </c>
      <c r="H4" s="1044">
        <f ca="1">结果表!H118</f>
        <v>1028210</v>
      </c>
      <c r="I4" s="1044">
        <f ca="1">结果表!I118</f>
        <v>28177</v>
      </c>
    </row>
    <row r="5" spans="1:9" ht="30" customHeight="1">
      <c r="A5" s="3001" t="s">
        <v>1636</v>
      </c>
      <c r="B5" s="3001"/>
      <c r="C5" s="3001"/>
      <c r="D5" s="3002" t="str">
        <f ca="1">结果表!D119</f>
        <v>捌拾玖亿壹仟肆佰伍拾捌万元整</v>
      </c>
      <c r="E5" s="3002"/>
      <c r="F5" s="3002" t="str">
        <f ca="1">结果表!F119</f>
        <v>壹拾叁亿陆仟柒佰伍拾贰万元整</v>
      </c>
      <c r="G5" s="3002"/>
      <c r="H5" s="3002" t="str">
        <f ca="1">结果表!H119</f>
        <v>壹佰零贰亿捌仟贰佰壹拾万元整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1636</v>
      </c>
      <c r="B7" s="3001"/>
      <c r="C7" s="3001"/>
      <c r="D7" s="3003" t="str">
        <f>结果表!D121</f>
        <v>零元整</v>
      </c>
      <c r="E7" s="3004"/>
      <c r="F7" s="3004"/>
      <c r="G7" s="3004"/>
      <c r="H7" s="3004"/>
      <c r="I7" s="3005"/>
    </row>
    <row r="8" spans="1:9" ht="15.75">
      <c r="A8" s="3000" t="str">
        <f>结果表!A122</f>
        <v>房地产抵押价值</v>
      </c>
      <c r="B8" s="3000"/>
      <c r="C8" s="3000"/>
      <c r="D8" s="3000">
        <f ca="1">结果表!D122</f>
        <v>1028210</v>
      </c>
      <c r="E8" s="3000"/>
      <c r="F8" s="3000"/>
      <c r="G8" s="3000"/>
      <c r="H8" s="3000"/>
      <c r="I8" s="3000"/>
    </row>
    <row r="9" spans="1:9" ht="15">
      <c r="A9" s="3001" t="s">
        <v>1636</v>
      </c>
      <c r="B9" s="3001"/>
      <c r="C9" s="3001"/>
      <c r="D9" s="3002" t="str">
        <f ca="1">结果表!D123</f>
        <v>壹佰零贰亿捌仟贰佰壹拾万元整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1636</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1636</v>
      </c>
      <c r="B13" s="2997"/>
      <c r="C13" s="2997"/>
      <c r="D13" s="2998" t="e">
        <f>结果表!D127</f>
        <v>#VALUE!</v>
      </c>
      <c r="E13" s="2998"/>
      <c r="F13" s="2998"/>
      <c r="G13" s="2998"/>
      <c r="H13" s="2998"/>
      <c r="I13" s="2998"/>
    </row>
    <row r="14" spans="1:9" ht="15" thickTop="1">
      <c r="A14" s="2999" t="s">
        <v>1641</v>
      </c>
      <c r="B14" s="2999"/>
      <c r="C14" s="2999"/>
      <c r="D14" s="2999"/>
      <c r="E14" s="2999"/>
      <c r="F14" s="2999"/>
      <c r="G14" s="2999"/>
      <c r="H14" s="2999"/>
      <c r="I14" s="299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I10" sqref="I10"/>
    </sheetView>
  </sheetViews>
  <sheetFormatPr defaultRowHeight="13.5"/>
  <cols>
    <col min="2" max="2" width="12.625" customWidth="1"/>
  </cols>
  <sheetData>
    <row r="1" spans="1:10">
      <c r="A1" s="2975" t="s">
        <v>3105</v>
      </c>
      <c r="D1" s="2975" t="s">
        <v>3106</v>
      </c>
    </row>
    <row r="2" spans="1:10" ht="15">
      <c r="A2" s="2975" t="s">
        <v>3098</v>
      </c>
      <c r="B2" s="1603">
        <f>'基准地价修正（商业）'!U2</f>
        <v>3320.53</v>
      </c>
      <c r="C2">
        <v>1</v>
      </c>
      <c r="D2">
        <v>8</v>
      </c>
      <c r="E2">
        <f>D2*B2</f>
        <v>26564.240000000002</v>
      </c>
      <c r="G2">
        <f>B2+B12</f>
        <v>22385.98</v>
      </c>
      <c r="H2">
        <v>1</v>
      </c>
      <c r="I2">
        <v>8</v>
      </c>
      <c r="J2">
        <f>I2*G2</f>
        <v>179087.84</v>
      </c>
    </row>
    <row r="3" spans="1:10" ht="15">
      <c r="A3" s="2975" t="s">
        <v>3099</v>
      </c>
      <c r="B3" s="1603">
        <f>'基准地价修正（商业）'!U3</f>
        <v>4001.08</v>
      </c>
      <c r="C3">
        <v>0.75</v>
      </c>
      <c r="D3">
        <f>D2*C3</f>
        <v>6</v>
      </c>
      <c r="E3">
        <f t="shared" ref="E3:E8" si="0">D3*B3</f>
        <v>24006.48</v>
      </c>
      <c r="G3">
        <f>B3+B13</f>
        <v>28797</v>
      </c>
      <c r="H3">
        <v>0.75</v>
      </c>
      <c r="I3">
        <f>I2*H3</f>
        <v>6</v>
      </c>
      <c r="J3">
        <f t="shared" ref="J3:J8" si="1">I3*G3</f>
        <v>172782</v>
      </c>
    </row>
    <row r="4" spans="1:10" ht="15">
      <c r="A4" s="2975" t="s">
        <v>3100</v>
      </c>
      <c r="B4" s="1603">
        <f>'基准地价修正（商业）'!U4</f>
        <v>4331.13</v>
      </c>
      <c r="C4">
        <v>0.65</v>
      </c>
      <c r="D4">
        <f>D2*C4</f>
        <v>5.2</v>
      </c>
      <c r="E4">
        <f t="shared" si="0"/>
        <v>22521.876</v>
      </c>
      <c r="G4">
        <f t="shared" ref="G3:G8" si="2">B4+B14</f>
        <v>29108.03</v>
      </c>
      <c r="H4">
        <v>0.65</v>
      </c>
      <c r="I4">
        <f>I2*H4</f>
        <v>5.2</v>
      </c>
      <c r="J4">
        <f t="shared" si="1"/>
        <v>151361.75599999999</v>
      </c>
    </row>
    <row r="5" spans="1:10" ht="15">
      <c r="A5" s="2975" t="s">
        <v>3101</v>
      </c>
      <c r="B5" s="1603">
        <f>'基准地价修正（商业）'!U5</f>
        <v>4438.08</v>
      </c>
      <c r="C5">
        <v>0.6</v>
      </c>
      <c r="D5">
        <f>D2*C5</f>
        <v>4.8</v>
      </c>
      <c r="E5">
        <f t="shared" si="0"/>
        <v>21302.784</v>
      </c>
      <c r="G5">
        <f t="shared" si="2"/>
        <v>29346.489999999998</v>
      </c>
      <c r="H5">
        <v>0.6</v>
      </c>
      <c r="I5">
        <f>I2*H5</f>
        <v>4.8</v>
      </c>
      <c r="J5">
        <f t="shared" si="1"/>
        <v>140863.15199999997</v>
      </c>
    </row>
    <row r="6" spans="1:10" ht="15">
      <c r="A6" s="2975" t="s">
        <v>3102</v>
      </c>
      <c r="B6" s="1603">
        <f>'基准地价修正（商业）'!U6</f>
        <v>4437.38</v>
      </c>
      <c r="C6">
        <v>0.6</v>
      </c>
      <c r="D6">
        <f>D2*C6</f>
        <v>4.8</v>
      </c>
      <c r="E6">
        <f t="shared" si="0"/>
        <v>21299.423999999999</v>
      </c>
      <c r="G6">
        <f t="shared" si="2"/>
        <v>29417.47</v>
      </c>
      <c r="H6">
        <v>0.6</v>
      </c>
      <c r="I6">
        <f>I2*H6</f>
        <v>4.8</v>
      </c>
      <c r="J6">
        <f t="shared" si="1"/>
        <v>141203.856</v>
      </c>
    </row>
    <row r="7" spans="1:10" ht="15">
      <c r="A7" s="2975" t="s">
        <v>3103</v>
      </c>
      <c r="B7" s="1603">
        <f>'基准地价修正（商业）'!U7</f>
        <v>4437.38</v>
      </c>
      <c r="C7">
        <v>0.6</v>
      </c>
      <c r="D7">
        <f>D2*C7</f>
        <v>4.8</v>
      </c>
      <c r="E7">
        <f t="shared" si="0"/>
        <v>21299.423999999999</v>
      </c>
      <c r="G7">
        <f t="shared" si="2"/>
        <v>29409.840000000004</v>
      </c>
      <c r="H7">
        <v>0.6</v>
      </c>
      <c r="I7">
        <f>I2*H7</f>
        <v>4.8</v>
      </c>
      <c r="J7">
        <f t="shared" si="1"/>
        <v>141167.23200000002</v>
      </c>
    </row>
    <row r="8" spans="1:10" ht="15">
      <c r="A8" s="2975" t="s">
        <v>3104</v>
      </c>
      <c r="B8" s="1603">
        <f>'基准地价修正（商业）'!U8</f>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2979">
        <f>I9*0.85</f>
        <v>4.59</v>
      </c>
    </row>
    <row r="11" spans="1:10">
      <c r="A11" s="2975" t="s">
        <v>3133</v>
      </c>
    </row>
    <row r="12" spans="1:10">
      <c r="A12" s="2975" t="s">
        <v>3098</v>
      </c>
      <c r="B12">
        <f>2304.24+6580.14+4893.8+5287.27</f>
        <v>19065.45</v>
      </c>
      <c r="C12">
        <f>C2</f>
        <v>1</v>
      </c>
      <c r="D12">
        <f>D2</f>
        <v>8</v>
      </c>
      <c r="E12">
        <f>D12*B12</f>
        <v>152523.6</v>
      </c>
    </row>
    <row r="13" spans="1:10">
      <c r="A13" s="2975" t="s">
        <v>3099</v>
      </c>
      <c r="B13">
        <f>2689.12+7234.91+8688.75+6183.14</f>
        <v>24795.919999999998</v>
      </c>
      <c r="C13">
        <f t="shared" ref="C13:C18" si="3">C3</f>
        <v>0.75</v>
      </c>
      <c r="D13">
        <f>D12*C13</f>
        <v>6</v>
      </c>
      <c r="E13">
        <f t="shared" ref="E13:E18" si="4">D13*B13</f>
        <v>148775.51999999999</v>
      </c>
    </row>
    <row r="14" spans="1:10">
      <c r="A14" s="2975" t="s">
        <v>3100</v>
      </c>
      <c r="B14">
        <f>2671.44+7234.85+8688.56+6182.05</f>
        <v>24776.899999999998</v>
      </c>
      <c r="C14">
        <f t="shared" si="3"/>
        <v>0.65</v>
      </c>
      <c r="D14">
        <f>D12*C14</f>
        <v>5.2</v>
      </c>
      <c r="E14">
        <f t="shared" si="4"/>
        <v>128839.87999999999</v>
      </c>
    </row>
    <row r="15" spans="1:10">
      <c r="A15" s="2975" t="s">
        <v>3101</v>
      </c>
      <c r="B15">
        <f>2786.02+7387.21+8446.48+6288.7</f>
        <v>24908.41</v>
      </c>
      <c r="C15">
        <f t="shared" si="3"/>
        <v>0.6</v>
      </c>
      <c r="D15">
        <f>D12*C15</f>
        <v>4.8</v>
      </c>
      <c r="E15">
        <f t="shared" si="4"/>
        <v>119560.36799999999</v>
      </c>
    </row>
    <row r="16" spans="1:10">
      <c r="A16" s="2975" t="s">
        <v>3102</v>
      </c>
      <c r="B16">
        <f>2786.27+7388.72+8516.97+6288.13</f>
        <v>24980.09</v>
      </c>
      <c r="C16">
        <f t="shared" si="3"/>
        <v>0.6</v>
      </c>
      <c r="D16">
        <f>D12*C16</f>
        <v>4.8</v>
      </c>
      <c r="E16">
        <f t="shared" si="4"/>
        <v>119904.432</v>
      </c>
    </row>
    <row r="17" spans="1:5">
      <c r="A17" s="2975" t="s">
        <v>3103</v>
      </c>
      <c r="B17">
        <f>2786.59+7388.9+8508.95+6288.02</f>
        <v>24972.460000000003</v>
      </c>
      <c r="C17">
        <f t="shared" si="3"/>
        <v>0.6</v>
      </c>
      <c r="D17">
        <f>D12*C17</f>
        <v>4.8</v>
      </c>
      <c r="E17">
        <f t="shared" si="4"/>
        <v>119867.808</v>
      </c>
    </row>
    <row r="18" spans="1:5">
      <c r="A18" s="2975" t="s">
        <v>3104</v>
      </c>
      <c r="B18">
        <f>2787.47+7352.84+7783.31+6269.22</f>
        <v>24192.84</v>
      </c>
      <c r="C18">
        <f t="shared" si="3"/>
        <v>0.6</v>
      </c>
      <c r="D18">
        <f>D12*C18</f>
        <v>4.8</v>
      </c>
      <c r="E18">
        <f t="shared" si="4"/>
        <v>116125.632</v>
      </c>
    </row>
    <row r="19" spans="1:5">
      <c r="B19">
        <f>SUM(B12:B18)</f>
        <v>167692.06999999998</v>
      </c>
      <c r="D19">
        <f>ROUND(E19/B19,2)</f>
        <v>5.4</v>
      </c>
      <c r="E19">
        <f>SUM(E12:E18)</f>
        <v>905597.24</v>
      </c>
    </row>
    <row r="22" spans="1:5">
      <c r="A22" s="2975"/>
    </row>
    <row r="23" spans="1:5">
      <c r="A23" s="2975" t="s">
        <v>3134</v>
      </c>
      <c r="B23">
        <f>12660.14+37744.69+30859.57+3421.34</f>
        <v>84685.739999999991</v>
      </c>
    </row>
    <row r="24" spans="1:5">
      <c r="A24" s="2975" t="s">
        <v>3135</v>
      </c>
      <c r="B24">
        <f>99.63+95.15+198.06+82.87+82.92+82.77+87.27+82.76+458.83+82.78+147.8+50.75+24.6+26156.75</f>
        <v>27732.94</v>
      </c>
    </row>
    <row r="25" spans="1:5">
      <c r="A25" s="2975" t="s">
        <v>3136</v>
      </c>
      <c r="B25">
        <v>55403.69</v>
      </c>
    </row>
  </sheetData>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2:O72"/>
  <sheetViews>
    <sheetView topLeftCell="A37" workbookViewId="0">
      <selection activeCell="P52" sqref="P52"/>
    </sheetView>
  </sheetViews>
  <sheetFormatPr defaultRowHeight="13.5"/>
  <sheetData>
    <row r="52" spans="15:15">
      <c r="O52">
        <v>8.1300000000000008</v>
      </c>
    </row>
    <row r="62" spans="15:15">
      <c r="O62">
        <v>9.1300000000000008</v>
      </c>
    </row>
    <row r="72" spans="15:15">
      <c r="O72">
        <v>7.1</v>
      </c>
    </row>
  </sheetData>
  <phoneticPr fontId="143"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7" workbookViewId="0">
      <selection sqref="A1:XFD1048576"/>
    </sheetView>
  </sheetViews>
  <sheetFormatPr defaultRowHeight="13.5"/>
  <cols>
    <col min="1" max="1" width="53.5" customWidth="1"/>
  </cols>
  <sheetData>
    <row r="1" spans="1:12">
      <c r="A1" s="2977" t="s">
        <v>3137</v>
      </c>
      <c r="B1" s="2977" t="s">
        <v>3138</v>
      </c>
      <c r="C1" s="2977" t="s">
        <v>3139</v>
      </c>
      <c r="D1" s="2977" t="s">
        <v>3140</v>
      </c>
      <c r="E1" s="2977" t="s">
        <v>3141</v>
      </c>
      <c r="F1" s="2977" t="s">
        <v>3142</v>
      </c>
      <c r="G1" s="2977" t="s">
        <v>3143</v>
      </c>
      <c r="H1" s="2977" t="s">
        <v>3144</v>
      </c>
      <c r="I1" s="2977" t="s">
        <v>3145</v>
      </c>
      <c r="J1" s="2977" t="s">
        <v>3146</v>
      </c>
      <c r="K1" s="2977" t="s">
        <v>3147</v>
      </c>
      <c r="L1" s="2977" t="s">
        <v>3148</v>
      </c>
    </row>
    <row r="2" spans="1:12" s="2979" customFormat="1">
      <c r="A2" s="2978" t="s">
        <v>3149</v>
      </c>
      <c r="B2" s="2978" t="s">
        <v>3150</v>
      </c>
      <c r="C2" s="2978">
        <v>39410.74</v>
      </c>
      <c r="D2" s="2978">
        <v>120000</v>
      </c>
      <c r="E2" s="2978">
        <v>3.04</v>
      </c>
      <c r="F2" s="2978" t="s">
        <v>3151</v>
      </c>
      <c r="G2" s="2978" t="s">
        <v>3152</v>
      </c>
      <c r="H2" s="2978" t="s">
        <v>1327</v>
      </c>
      <c r="I2" s="2978">
        <v>318758</v>
      </c>
      <c r="J2" s="2978">
        <v>26563.16</v>
      </c>
      <c r="K2" s="2978" t="s">
        <v>1327</v>
      </c>
      <c r="L2" s="2978" t="s">
        <v>3153</v>
      </c>
    </row>
    <row r="3" spans="1:12">
      <c r="A3" s="2977" t="s">
        <v>3154</v>
      </c>
      <c r="B3" s="2977" t="s">
        <v>3150</v>
      </c>
      <c r="C3" s="2977">
        <v>14089.17</v>
      </c>
      <c r="D3" s="2977">
        <v>105000</v>
      </c>
      <c r="E3" s="2977">
        <v>7.4525300000000003</v>
      </c>
      <c r="F3" s="2977" t="s">
        <v>3155</v>
      </c>
      <c r="G3" s="2977" t="s">
        <v>3156</v>
      </c>
      <c r="H3" s="2977">
        <v>252000</v>
      </c>
      <c r="I3" s="2977">
        <v>355000</v>
      </c>
      <c r="J3" s="2977">
        <v>33809.51</v>
      </c>
      <c r="K3" s="2977">
        <v>40.869999999999997</v>
      </c>
      <c r="L3" s="2977" t="s">
        <v>3157</v>
      </c>
    </row>
    <row r="4" spans="1:12" s="2979" customFormat="1">
      <c r="A4" s="2978" t="s">
        <v>3158</v>
      </c>
      <c r="B4" s="2978" t="s">
        <v>3150</v>
      </c>
      <c r="C4" s="2978">
        <v>27295.08</v>
      </c>
      <c r="D4" s="2978">
        <v>160000</v>
      </c>
      <c r="E4" s="2978">
        <v>5.8</v>
      </c>
      <c r="F4" s="2978" t="s">
        <v>3155</v>
      </c>
      <c r="G4" s="2978" t="s">
        <v>3159</v>
      </c>
      <c r="H4" s="2978">
        <v>432000</v>
      </c>
      <c r="I4" s="2978">
        <v>434000</v>
      </c>
      <c r="J4" s="2978">
        <v>27125</v>
      </c>
      <c r="K4" s="2978">
        <v>0.46</v>
      </c>
      <c r="L4" s="2978" t="s">
        <v>3160</v>
      </c>
    </row>
    <row r="5" spans="1:12" s="2979" customFormat="1">
      <c r="A5" s="2978" t="s">
        <v>3161</v>
      </c>
      <c r="B5" s="2978" t="s">
        <v>3150</v>
      </c>
      <c r="C5" s="2978">
        <v>14788.3</v>
      </c>
      <c r="D5" s="2978">
        <v>59153</v>
      </c>
      <c r="E5" s="2978">
        <v>4</v>
      </c>
      <c r="F5" s="2978" t="s">
        <v>3155</v>
      </c>
      <c r="G5" s="2978" t="s">
        <v>3162</v>
      </c>
      <c r="H5" s="2978">
        <v>71500</v>
      </c>
      <c r="I5" s="2978">
        <v>176000</v>
      </c>
      <c r="J5" s="2978">
        <v>29753.34</v>
      </c>
      <c r="K5" s="2978">
        <v>146.15</v>
      </c>
      <c r="L5" s="2978" t="s">
        <v>3163</v>
      </c>
    </row>
    <row r="6" spans="1:12">
      <c r="A6" s="2977" t="s">
        <v>3164</v>
      </c>
      <c r="B6" s="2977" t="s">
        <v>3150</v>
      </c>
      <c r="C6" s="2977">
        <v>29500</v>
      </c>
      <c r="D6" s="2977">
        <v>118000</v>
      </c>
      <c r="E6" s="2977">
        <v>4</v>
      </c>
      <c r="F6" s="2977" t="s">
        <v>3155</v>
      </c>
      <c r="G6" s="2977" t="s">
        <v>3162</v>
      </c>
      <c r="H6" s="2977">
        <v>142000</v>
      </c>
      <c r="I6" s="2977">
        <v>342000</v>
      </c>
      <c r="J6" s="2977">
        <v>28983.040000000001</v>
      </c>
      <c r="K6" s="2977">
        <v>140.85</v>
      </c>
      <c r="L6" s="2977" t="s">
        <v>3163</v>
      </c>
    </row>
    <row r="7" spans="1:12">
      <c r="A7" s="2977" t="s">
        <v>3165</v>
      </c>
      <c r="B7" s="2977" t="s">
        <v>3150</v>
      </c>
      <c r="C7" s="2977">
        <v>15089.35</v>
      </c>
      <c r="D7" s="2977">
        <v>60357</v>
      </c>
      <c r="E7" s="2977">
        <v>4</v>
      </c>
      <c r="F7" s="2977" t="s">
        <v>3155</v>
      </c>
      <c r="G7" s="2977" t="s">
        <v>3166</v>
      </c>
      <c r="H7" s="2977">
        <v>71000</v>
      </c>
      <c r="I7" s="2977">
        <v>110000</v>
      </c>
      <c r="J7" s="2977">
        <v>18224.900000000001</v>
      </c>
      <c r="K7" s="2977">
        <v>54.93</v>
      </c>
      <c r="L7" s="2977" t="s">
        <v>3167</v>
      </c>
    </row>
    <row r="8" spans="1:12">
      <c r="A8" s="2977" t="s">
        <v>3168</v>
      </c>
      <c r="B8" s="2977" t="s">
        <v>3150</v>
      </c>
      <c r="C8" s="2977">
        <v>27500</v>
      </c>
      <c r="D8" s="2977">
        <v>110000</v>
      </c>
      <c r="E8" s="2977">
        <v>4</v>
      </c>
      <c r="F8" s="2977" t="s">
        <v>3155</v>
      </c>
      <c r="G8" s="2977" t="s">
        <v>3169</v>
      </c>
      <c r="H8" s="2977">
        <v>129000</v>
      </c>
      <c r="I8" s="2977">
        <v>176000</v>
      </c>
      <c r="J8" s="2977">
        <v>16000</v>
      </c>
      <c r="K8" s="2977">
        <v>36.43</v>
      </c>
      <c r="L8" s="2977" t="s">
        <v>3170</v>
      </c>
    </row>
    <row r="9" spans="1:12">
      <c r="A9" s="2977" t="s">
        <v>3171</v>
      </c>
      <c r="B9" s="2977" t="s">
        <v>3150</v>
      </c>
      <c r="C9" s="2977">
        <v>35708.800000000003</v>
      </c>
      <c r="D9" s="2977">
        <v>336000</v>
      </c>
      <c r="E9" s="2977">
        <v>9.4</v>
      </c>
      <c r="F9" s="2977" t="s">
        <v>3155</v>
      </c>
      <c r="G9" s="2977" t="s">
        <v>3172</v>
      </c>
      <c r="H9" s="2977">
        <v>504000</v>
      </c>
      <c r="I9" s="2977">
        <v>504000</v>
      </c>
      <c r="J9" s="2977">
        <v>15000</v>
      </c>
      <c r="K9" s="2977">
        <v>0</v>
      </c>
      <c r="L9" s="2977" t="s">
        <v>3173</v>
      </c>
    </row>
    <row r="10" spans="1:12">
      <c r="A10" s="2977" t="s">
        <v>3174</v>
      </c>
      <c r="B10" s="2977" t="s">
        <v>3150</v>
      </c>
      <c r="C10" s="2977">
        <v>35418.839999999997</v>
      </c>
      <c r="D10" s="2977">
        <v>141675</v>
      </c>
      <c r="E10" s="2977">
        <v>4</v>
      </c>
      <c r="F10" s="2977" t="s">
        <v>3151</v>
      </c>
      <c r="G10" s="2977" t="s">
        <v>3175</v>
      </c>
      <c r="H10" s="2977" t="s">
        <v>1327</v>
      </c>
      <c r="I10" s="2977">
        <v>255015</v>
      </c>
      <c r="J10" s="2977">
        <v>18000</v>
      </c>
      <c r="K10" s="2977" t="s">
        <v>1327</v>
      </c>
      <c r="L10" s="2977" t="s">
        <v>3176</v>
      </c>
    </row>
    <row r="11" spans="1:12">
      <c r="A11" s="2977" t="s">
        <v>3177</v>
      </c>
      <c r="B11" s="2977" t="s">
        <v>3150</v>
      </c>
      <c r="C11" s="2977">
        <v>19979.490000000002</v>
      </c>
      <c r="D11" s="2977">
        <v>120000</v>
      </c>
      <c r="E11" s="2977">
        <v>6</v>
      </c>
      <c r="F11" s="2977" t="s">
        <v>3155</v>
      </c>
      <c r="G11" s="2977" t="s">
        <v>3178</v>
      </c>
      <c r="H11" s="2977">
        <v>180000</v>
      </c>
      <c r="I11" s="2977">
        <v>251000</v>
      </c>
      <c r="J11" s="2977">
        <v>20916.66</v>
      </c>
      <c r="K11" s="2977">
        <v>39.44</v>
      </c>
      <c r="L11" s="2977" t="s">
        <v>3179</v>
      </c>
    </row>
    <row r="12" spans="1:12">
      <c r="A12" s="2977" t="s">
        <v>3180</v>
      </c>
      <c r="B12" s="2977" t="s">
        <v>3150</v>
      </c>
      <c r="C12" s="2977">
        <v>20070.2</v>
      </c>
      <c r="D12" s="2977">
        <v>45275</v>
      </c>
      <c r="E12" s="2977">
        <v>2.2599999999999998</v>
      </c>
      <c r="F12" s="2977" t="s">
        <v>3155</v>
      </c>
      <c r="G12" s="2977" t="s">
        <v>3181</v>
      </c>
      <c r="H12" s="2977">
        <v>55000</v>
      </c>
      <c r="I12" s="2977">
        <v>55000</v>
      </c>
      <c r="J12" s="2977">
        <v>12147.97</v>
      </c>
      <c r="K12" s="2977">
        <v>0</v>
      </c>
      <c r="L12" s="2977" t="s">
        <v>3182</v>
      </c>
    </row>
    <row r="13" spans="1:12">
      <c r="A13" s="2977" t="s">
        <v>3183</v>
      </c>
      <c r="B13" s="2977" t="s">
        <v>3150</v>
      </c>
      <c r="C13" s="2977">
        <v>21137.72</v>
      </c>
      <c r="D13" s="2977">
        <v>84551</v>
      </c>
      <c r="E13" s="2977">
        <v>4</v>
      </c>
      <c r="F13" s="2977" t="s">
        <v>3155</v>
      </c>
      <c r="G13" s="2977" t="s">
        <v>3184</v>
      </c>
      <c r="H13" s="2977">
        <v>85000</v>
      </c>
      <c r="I13" s="2977">
        <v>85000</v>
      </c>
      <c r="J13" s="2977">
        <v>10053.1</v>
      </c>
      <c r="K13" s="2977">
        <v>0</v>
      </c>
      <c r="L13" s="2977" t="s">
        <v>3185</v>
      </c>
    </row>
    <row r="14" spans="1:12">
      <c r="A14" s="2977" t="s">
        <v>3186</v>
      </c>
      <c r="B14" s="2977" t="s">
        <v>3150</v>
      </c>
      <c r="C14" s="2977">
        <v>54711.27</v>
      </c>
      <c r="D14" s="2977">
        <v>164134</v>
      </c>
      <c r="E14" s="2977">
        <v>3</v>
      </c>
      <c r="F14" s="2977" t="s">
        <v>3155</v>
      </c>
      <c r="G14" s="2977" t="s">
        <v>3187</v>
      </c>
      <c r="H14" s="2977">
        <v>165000</v>
      </c>
      <c r="I14" s="2977">
        <v>258000</v>
      </c>
      <c r="J14" s="2977">
        <v>15718.86</v>
      </c>
      <c r="K14" s="2977">
        <v>56.36</v>
      </c>
      <c r="L14" s="2977" t="s">
        <v>3188</v>
      </c>
    </row>
    <row r="15" spans="1:12">
      <c r="A15" s="2977" t="s">
        <v>3189</v>
      </c>
      <c r="B15" s="2977" t="s">
        <v>3150</v>
      </c>
      <c r="C15" s="2977">
        <v>4435.8599999999997</v>
      </c>
      <c r="D15" s="2977">
        <v>10000</v>
      </c>
      <c r="E15" s="2977">
        <v>2.25</v>
      </c>
      <c r="F15" s="2977" t="s">
        <v>3155</v>
      </c>
      <c r="G15" s="2977" t="s">
        <v>3190</v>
      </c>
      <c r="H15" s="2977">
        <v>15350</v>
      </c>
      <c r="I15" s="2977">
        <v>15350</v>
      </c>
      <c r="J15" s="2977">
        <v>15350</v>
      </c>
      <c r="K15" s="2977">
        <v>0</v>
      </c>
      <c r="L15" s="2977" t="s">
        <v>3191</v>
      </c>
    </row>
    <row r="16" spans="1:12">
      <c r="A16" s="2977" t="s">
        <v>3192</v>
      </c>
      <c r="B16" s="2977" t="s">
        <v>3150</v>
      </c>
      <c r="C16" s="2977">
        <v>23493.01</v>
      </c>
      <c r="D16" s="2977">
        <v>70479</v>
      </c>
      <c r="E16" s="2977">
        <v>3</v>
      </c>
      <c r="F16" s="2977" t="s">
        <v>3155</v>
      </c>
      <c r="G16" s="2977" t="s">
        <v>3193</v>
      </c>
      <c r="H16" s="2977">
        <v>56400</v>
      </c>
      <c r="I16" s="2977">
        <v>56400</v>
      </c>
      <c r="J16" s="2977">
        <v>8002.38</v>
      </c>
      <c r="K16" s="2977">
        <v>0</v>
      </c>
      <c r="L16" s="2977" t="s">
        <v>3194</v>
      </c>
    </row>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4" t="s">
        <v>1658</v>
      </c>
      <c r="B1" s="3014"/>
      <c r="C1" s="3014"/>
      <c r="D1" s="3014"/>
    </row>
    <row r="2" spans="1:4" ht="18">
      <c r="A2" s="3015" t="s">
        <v>1642</v>
      </c>
      <c r="B2" s="3015"/>
      <c r="C2" s="3015"/>
      <c r="D2" s="3015"/>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崔锴</v>
      </c>
      <c r="B5" s="1979">
        <f ca="1">项目基本情况!E4</f>
        <v>0</v>
      </c>
      <c r="C5" s="1982"/>
      <c r="D5" s="1981" t="s">
        <v>1647</v>
      </c>
    </row>
    <row r="6" spans="1:4" ht="18">
      <c r="A6" s="3015" t="s">
        <v>1648</v>
      </c>
      <c r="B6" s="3015"/>
      <c r="C6" s="3015"/>
      <c r="D6" s="3015"/>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16" t="s">
        <v>1651</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22" t="s">
        <v>1665</v>
      </c>
      <c r="B15" s="3017" t="s">
        <v>136</v>
      </c>
      <c r="C15" s="3018"/>
    </row>
    <row r="16" spans="1:7" ht="13.5">
      <c r="A16" s="3023"/>
      <c r="B16" s="3017" t="s">
        <v>69</v>
      </c>
      <c r="C16" s="3018"/>
    </row>
    <row r="17" spans="1:3" ht="13.5">
      <c r="A17" s="3023"/>
      <c r="B17" s="3020" t="s">
        <v>1666</v>
      </c>
      <c r="C17" s="2000" t="s">
        <v>1665</v>
      </c>
    </row>
    <row r="18" spans="1:3" ht="13.5">
      <c r="A18" s="3023"/>
      <c r="B18" s="3020"/>
      <c r="C18" s="2000" t="s">
        <v>1667</v>
      </c>
    </row>
    <row r="19" spans="1:3" ht="13.5">
      <c r="A19" s="3023"/>
      <c r="B19" s="3020"/>
      <c r="C19" s="2000" t="s">
        <v>1668</v>
      </c>
    </row>
    <row r="20" spans="1:3" ht="13.5">
      <c r="A20" s="3024"/>
      <c r="B20" s="3019" t="s">
        <v>1669</v>
      </c>
      <c r="C20" s="3018"/>
    </row>
    <row r="21" spans="1:3" ht="13.5">
      <c r="A21" s="2001" t="s">
        <v>1670</v>
      </c>
      <c r="B21" s="2002"/>
      <c r="C21" s="2003"/>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2000" t="s">
        <v>1676</v>
      </c>
    </row>
    <row r="26" spans="1:3" ht="13.5">
      <c r="A26" s="3021"/>
      <c r="B26" s="3020"/>
      <c r="C26" s="2000" t="s">
        <v>1677</v>
      </c>
    </row>
    <row r="27" spans="1:3" ht="13.5">
      <c r="A27" s="3021"/>
      <c r="B27" s="3020"/>
      <c r="C27" s="2000" t="s">
        <v>1678</v>
      </c>
    </row>
    <row r="28" spans="1:3" ht="13.5">
      <c r="A28" s="3021"/>
      <c r="B28" s="3020"/>
      <c r="C28" s="2000" t="s">
        <v>1679</v>
      </c>
    </row>
    <row r="29" spans="1:3" ht="13.5">
      <c r="A29" s="3021"/>
      <c r="B29" s="3020"/>
      <c r="C29" s="2000" t="s">
        <v>1680</v>
      </c>
    </row>
    <row r="30" spans="1:3" ht="13.5">
      <c r="A30" s="3021"/>
      <c r="B30" s="3020"/>
      <c r="C30" s="2000" t="s">
        <v>1681</v>
      </c>
    </row>
    <row r="31" spans="1:3" ht="13.5">
      <c r="A31" s="3021"/>
      <c r="B31" s="3020"/>
      <c r="C31" s="2000" t="s">
        <v>1682</v>
      </c>
    </row>
    <row r="32" spans="1:3" ht="13.5">
      <c r="A32" s="3021"/>
      <c r="B32" s="3020"/>
      <c r="C32" s="2000" t="s">
        <v>1683</v>
      </c>
    </row>
    <row r="33" spans="1:3" ht="13.5">
      <c r="A33" s="3021"/>
      <c r="B33" s="302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43634</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3042</v>
      </c>
      <c r="B14" s="1022">
        <f ca="1">IF(C14&lt;B2,"已过期",1120040230)</f>
        <v>1120040230</v>
      </c>
      <c r="C14" s="2345">
        <v>43835</v>
      </c>
      <c r="D14" s="2348" t="s">
        <v>3042</v>
      </c>
      <c r="E14" s="1022">
        <f ca="1">IF(F14&lt;B2,"已过期",98030020)</f>
        <v>98030020</v>
      </c>
      <c r="F14" s="1030">
        <v>47118</v>
      </c>
    </row>
    <row r="15" spans="1:6" ht="24" customHeight="1">
      <c r="A15" s="1703" t="s">
        <v>3043</v>
      </c>
      <c r="B15" s="1022">
        <f ca="1">IF(C15&lt;B2,"已过期",1120070085)</f>
        <v>1120070085</v>
      </c>
      <c r="C15" s="2345">
        <v>43814</v>
      </c>
      <c r="D15" s="2349" t="s">
        <v>3043</v>
      </c>
      <c r="E15" s="1022">
        <f ca="1">IF(F15&lt;B2,"已过期",2004110128)</f>
        <v>2004110128</v>
      </c>
      <c r="F15" s="1023">
        <v>47118</v>
      </c>
    </row>
    <row r="16" spans="1:6" ht="24" customHeight="1">
      <c r="A16" s="1702" t="s">
        <v>3044</v>
      </c>
      <c r="B16" s="1022">
        <f ca="1">IF(C16&lt;B2,"已过期",1120140022)</f>
        <v>1120140022</v>
      </c>
      <c r="C16" s="2928">
        <v>44029</v>
      </c>
      <c r="D16" s="2348" t="s">
        <v>3044</v>
      </c>
      <c r="E16" s="1022">
        <f ca="1">IF(F16&lt;B2,"已过期",2008110059)</f>
        <v>2008110059</v>
      </c>
      <c r="F16" s="1030">
        <v>47177</v>
      </c>
    </row>
    <row r="17" spans="1:7" ht="24" customHeight="1">
      <c r="A17" s="1702"/>
      <c r="B17" s="1022"/>
      <c r="C17" s="2345"/>
      <c r="D17" s="2348" t="s">
        <v>3045</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25" t="s">
        <v>843</v>
      </c>
      <c r="B25" s="3025"/>
      <c r="C25" s="3025"/>
      <c r="D25" s="3025"/>
      <c r="E25" s="3025"/>
      <c r="F25" s="3025"/>
      <c r="G25" s="3025"/>
    </row>
    <row r="26" spans="1:7" s="1025" customFormat="1" ht="24" customHeight="1">
      <c r="A26" s="3026" t="s">
        <v>844</v>
      </c>
      <c r="B26" s="3026"/>
      <c r="C26" s="3027"/>
      <c r="D26" s="3028" t="s">
        <v>845</v>
      </c>
      <c r="E26" s="3026"/>
      <c r="F26" s="3026"/>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139</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基准地价修正（商业）</vt:lpstr>
      <vt:lpstr>基准地价修正(办公)</vt:lpstr>
      <vt:lpstr>基准地价（汇总）</vt:lpstr>
      <vt:lpstr>成本法 (元)</vt:lpstr>
      <vt:lpstr>假设开发法</vt:lpstr>
      <vt:lpstr>收益法（汇总）</vt:lpstr>
      <vt:lpstr>收益法（商业）</vt:lpstr>
      <vt:lpstr>收益法(会展)</vt:lpstr>
      <vt:lpstr>收益法(酒店)</vt:lpstr>
      <vt:lpstr>收益法(车库)</vt:lpstr>
      <vt:lpstr>收益法(仓储)</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Sheet2</vt:lpstr>
      <vt:lpstr>Sheet1</vt:lpstr>
      <vt:lpstr>Sheet3</vt:lpstr>
      <vt:lpstr>估价师及机构信息!Print_Area</vt:lpstr>
      <vt:lpstr>'收益法 (元)'!Print_Area</vt:lpstr>
      <vt:lpstr>'收益法(仓储)'!Print_Area</vt:lpstr>
      <vt:lpstr>'收益法(车库)'!Print_Area</vt:lpstr>
      <vt:lpstr>'收益法(会展)'!Print_Area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2019-06-18T07:56:52Z</dcterms:modified>
</cp:coreProperties>
</file>